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D:\CENTRUM\TESIS\TESIS NOV 2105\DOCUMENTO\"/>
    </mc:Choice>
  </mc:AlternateContent>
  <bookViews>
    <workbookView xWindow="0" yWindow="0" windowWidth="28800" windowHeight="12435" tabRatio="721" activeTab="9"/>
  </bookViews>
  <sheets>
    <sheet name="INFO PROYECTO" sheetId="11" r:id="rId1"/>
    <sheet name="Estudio de Ejemplo" sheetId="39" state="hidden" r:id="rId2"/>
    <sheet name="CUADRO DE VENTAS" sheetId="46" r:id="rId3"/>
    <sheet name="CONSTRUCCION" sheetId="37" r:id="rId4"/>
    <sheet name="CRONOG VALORIZADO DE OBRA" sheetId="45" r:id="rId5"/>
    <sheet name="EGRESOS DETALLADO" sheetId="5" r:id="rId6"/>
    <sheet name="ESTRUCTURA FIN" sheetId="47" r:id="rId7"/>
    <sheet name="Flujo Ingresos" sheetId="4" r:id="rId8"/>
    <sheet name="Flujo Egresos" sheetId="1" r:id="rId9"/>
    <sheet name="FC 1" sheetId="9" r:id="rId10"/>
  </sheets>
  <externalReferences>
    <externalReference r:id="rId11"/>
  </externalReferences>
  <definedNames>
    <definedName name="_xlnm._FilterDatabase" localSheetId="2" hidden="1">'CUADRO DE VENTAS'!#REF!</definedName>
    <definedName name="a" localSheetId="4">#REF!</definedName>
    <definedName name="a" localSheetId="2">#REF!</definedName>
    <definedName name="a" localSheetId="6">#REF!</definedName>
    <definedName name="a">#REF!</definedName>
    <definedName name="AAAAA" localSheetId="6">#REF!</definedName>
    <definedName name="AAAAA">#REF!</definedName>
    <definedName name="_xlnm.Print_Area" localSheetId="2">'CUADRO DE VENTAS'!$A$1:$M$212</definedName>
    <definedName name="_xlnm.Print_Area" localSheetId="5">'EGRESOS DETALLADO'!$B$1:$AO$95</definedName>
    <definedName name="_xlnm.Print_Area" localSheetId="9">'FC 1'!$B$4:$AR$78</definedName>
    <definedName name="_xlnm.Print_Area" localSheetId="8">'Flujo Egresos'!$B$2:$AR$44</definedName>
    <definedName name="_xlnm.Print_Area" localSheetId="7">'Flujo Ingresos'!$B$2:$AR$77</definedName>
    <definedName name="basedatos2" localSheetId="4">#REF!</definedName>
    <definedName name="basedatos2" localSheetId="2">#REF!</definedName>
    <definedName name="basedatos2" localSheetId="6">#REF!</definedName>
    <definedName name="basedatos2">#REF!</definedName>
    <definedName name="_xlnm.Database" localSheetId="4">#REF!</definedName>
    <definedName name="_xlnm.Database" localSheetId="2">#REF!</definedName>
    <definedName name="_xlnm.Database" localSheetId="6">#REF!</definedName>
    <definedName name="_xlnm.Database">#REF!</definedName>
    <definedName name="COSTOS" localSheetId="4">#REF!</definedName>
    <definedName name="COSTOS" localSheetId="2">#REF!</definedName>
    <definedName name="COSTOS" localSheetId="6">#REF!</definedName>
    <definedName name="COSTOS">#REF!</definedName>
    <definedName name="Print_Area_MI" localSheetId="4">#REF!</definedName>
    <definedName name="Print_Area_MI" localSheetId="2">#REF!</definedName>
    <definedName name="Print_Area_MI" localSheetId="6">#REF!</definedName>
    <definedName name="Print_Area_MI">#REF!</definedName>
    <definedName name="Tabla" localSheetId="4">[1]Datos!$A$2:$L$549</definedName>
    <definedName name="Tabla">[1]Datos!$A$2:$L$549</definedName>
    <definedName name="tc" localSheetId="4">'[1]Eval. Ing.'!$M$3</definedName>
    <definedName name="tc">'[1]Eval. Ing.'!$M$3</definedName>
    <definedName name="_xlnm.Print_Titles" localSheetId="5">'EGRESOS DETALLADO'!$B:$H</definedName>
    <definedName name="yyy" localSheetId="6">#REF!</definedName>
    <definedName name="yyy">#REF!</definedName>
  </definedNames>
  <calcPr calcId="15251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I54" i="4" l="1"/>
  <c r="AF34" i="9" l="1"/>
  <c r="AG34" i="9"/>
  <c r="AG35" i="9" s="1"/>
  <c r="AG45" i="9" s="1"/>
  <c r="AH34" i="9"/>
  <c r="AF35" i="9"/>
  <c r="AH35" i="9"/>
  <c r="AF45" i="9"/>
  <c r="AH45" i="9"/>
  <c r="AI24" i="9"/>
  <c r="AC131" i="5"/>
  <c r="AD131" i="5" l="1"/>
  <c r="AE131" i="5"/>
  <c r="AF131" i="5"/>
  <c r="AG131" i="5"/>
  <c r="AH131" i="5"/>
  <c r="AI131" i="5"/>
  <c r="AJ131" i="5"/>
  <c r="E3" i="4"/>
  <c r="AC25" i="9" l="1"/>
  <c r="I25" i="1"/>
  <c r="J25" i="1"/>
  <c r="K25" i="1"/>
  <c r="L25" i="1"/>
  <c r="P25" i="1"/>
  <c r="Q25" i="1"/>
  <c r="R25" i="1"/>
  <c r="S25" i="1"/>
  <c r="T25" i="1"/>
  <c r="U25" i="1"/>
  <c r="V25" i="1"/>
  <c r="W25" i="1"/>
  <c r="X25" i="1"/>
  <c r="Y25" i="1"/>
  <c r="Z25" i="1"/>
  <c r="AA25" i="1"/>
  <c r="H26" i="1"/>
  <c r="I26" i="1"/>
  <c r="J26" i="1"/>
  <c r="K26" i="1"/>
  <c r="L26" i="1"/>
  <c r="M26" i="1"/>
  <c r="W26" i="1"/>
  <c r="X26" i="1"/>
  <c r="Y26" i="1"/>
  <c r="Z26" i="1"/>
  <c r="AA26" i="1"/>
  <c r="H27" i="1"/>
  <c r="I27" i="1"/>
  <c r="J27" i="1"/>
  <c r="K27" i="1"/>
  <c r="L27" i="1"/>
  <c r="M27" i="1"/>
  <c r="N27" i="1"/>
  <c r="O27" i="1"/>
  <c r="P27" i="1"/>
  <c r="Q27" i="1"/>
  <c r="R27" i="1"/>
  <c r="AA27" i="1"/>
  <c r="H28" i="1"/>
  <c r="I28" i="1"/>
  <c r="J28" i="1"/>
  <c r="K28" i="1"/>
  <c r="L28" i="1"/>
  <c r="M28" i="1"/>
  <c r="H29" i="1"/>
  <c r="I29" i="1"/>
  <c r="J29" i="1"/>
  <c r="K29" i="1"/>
  <c r="L29" i="1"/>
  <c r="M29" i="1"/>
  <c r="H30" i="1"/>
  <c r="I30" i="1"/>
  <c r="J30" i="1"/>
  <c r="K30" i="1"/>
  <c r="L30" i="1"/>
  <c r="M30" i="1"/>
  <c r="N30" i="1"/>
  <c r="O30" i="1"/>
  <c r="P30" i="1"/>
  <c r="Y30" i="1"/>
  <c r="Z30" i="1"/>
  <c r="AA30" i="1"/>
  <c r="H34" i="1"/>
  <c r="I34" i="1"/>
  <c r="J34" i="1"/>
  <c r="K34" i="1"/>
  <c r="M34" i="1"/>
  <c r="N34" i="1"/>
  <c r="O34" i="1"/>
  <c r="P34" i="1"/>
  <c r="Q34" i="1"/>
  <c r="R34" i="1"/>
  <c r="S34" i="1"/>
  <c r="T34" i="1"/>
  <c r="U34" i="1"/>
  <c r="V34" i="1"/>
  <c r="W34" i="1"/>
  <c r="X34" i="1"/>
  <c r="Y34" i="1"/>
  <c r="Z34" i="1"/>
  <c r="AA34" i="1"/>
  <c r="AG74" i="4"/>
  <c r="K28" i="4"/>
  <c r="AJ93" i="5" l="1"/>
  <c r="AK93" i="5"/>
  <c r="AL93" i="5"/>
  <c r="AM93" i="5"/>
  <c r="AN93" i="5"/>
  <c r="AB108" i="5"/>
  <c r="AC108" i="5"/>
  <c r="AD108" i="5"/>
  <c r="AE108" i="5"/>
  <c r="AF108" i="5"/>
  <c r="AG108" i="5"/>
  <c r="AD109" i="5"/>
  <c r="AE109" i="5"/>
  <c r="AF109" i="5"/>
  <c r="AG109" i="5"/>
  <c r="AF113" i="5"/>
  <c r="AG113" i="5"/>
  <c r="AC114" i="5"/>
  <c r="AF114" i="5"/>
  <c r="AB118" i="5"/>
  <c r="AC118" i="5"/>
  <c r="AD118" i="5"/>
  <c r="AE118" i="5"/>
  <c r="AF118" i="5"/>
  <c r="AG118" i="5"/>
  <c r="P108" i="5"/>
  <c r="Q108" i="5"/>
  <c r="R108" i="5"/>
  <c r="S108" i="5"/>
  <c r="W108" i="5"/>
  <c r="X108" i="5"/>
  <c r="Y108" i="5"/>
  <c r="Z108" i="5"/>
  <c r="AA108" i="5"/>
  <c r="O109" i="5"/>
  <c r="P109" i="5"/>
  <c r="Q109" i="5"/>
  <c r="R109" i="5"/>
  <c r="S109" i="5"/>
  <c r="T109" i="5"/>
  <c r="O110" i="5"/>
  <c r="P110" i="5"/>
  <c r="Q110" i="5"/>
  <c r="R110" i="5"/>
  <c r="S110" i="5"/>
  <c r="T110" i="5"/>
  <c r="U110" i="5"/>
  <c r="V110" i="5"/>
  <c r="W110" i="5"/>
  <c r="X110" i="5"/>
  <c r="Y110" i="5"/>
  <c r="O111" i="5"/>
  <c r="P111" i="5"/>
  <c r="Q111" i="5"/>
  <c r="R111" i="5"/>
  <c r="S111" i="5"/>
  <c r="T111" i="5"/>
  <c r="O112" i="5"/>
  <c r="P112" i="5"/>
  <c r="Q112" i="5"/>
  <c r="R112" i="5"/>
  <c r="S112" i="5"/>
  <c r="T112" i="5"/>
  <c r="O113" i="5"/>
  <c r="P113" i="5"/>
  <c r="Q113" i="5"/>
  <c r="R113" i="5"/>
  <c r="S113" i="5"/>
  <c r="T113" i="5"/>
  <c r="U113" i="5"/>
  <c r="V113" i="5"/>
  <c r="W113" i="5"/>
  <c r="V114" i="5"/>
  <c r="Y114" i="5"/>
  <c r="AA114" i="5"/>
  <c r="O118" i="5"/>
  <c r="P118" i="5"/>
  <c r="Q118" i="5"/>
  <c r="R118" i="5"/>
  <c r="T118" i="5"/>
  <c r="U118" i="5"/>
  <c r="V118" i="5"/>
  <c r="W118" i="5"/>
  <c r="X118" i="5"/>
  <c r="Y118" i="5"/>
  <c r="Z118" i="5"/>
  <c r="AA118" i="5"/>
  <c r="K73" i="5"/>
  <c r="L73" i="5"/>
  <c r="M73" i="5"/>
  <c r="N73" i="5"/>
  <c r="J73" i="5"/>
  <c r="AG57" i="5"/>
  <c r="AA23" i="45"/>
  <c r="AA31" i="1" s="1"/>
  <c r="AA16" i="45"/>
  <c r="E8" i="45"/>
  <c r="F8" i="45"/>
  <c r="I8" i="45"/>
  <c r="J8" i="45"/>
  <c r="K8" i="45"/>
  <c r="L8" i="45"/>
  <c r="R8" i="45"/>
  <c r="U8" i="45"/>
  <c r="N16" i="45"/>
  <c r="O16" i="45"/>
  <c r="P16" i="45"/>
  <c r="M23" i="45"/>
  <c r="M31" i="1" s="1"/>
  <c r="O23" i="45"/>
  <c r="O31" i="1" s="1"/>
  <c r="P23" i="45"/>
  <c r="P31" i="1" s="1"/>
  <c r="R23" i="45"/>
  <c r="R31" i="1" s="1"/>
  <c r="S23" i="45"/>
  <c r="S31" i="1" s="1"/>
  <c r="T23" i="45"/>
  <c r="T31" i="1" s="1"/>
  <c r="U23" i="45"/>
  <c r="U31" i="1" s="1"/>
  <c r="V23" i="45"/>
  <c r="V31" i="1" s="1"/>
  <c r="X23" i="45"/>
  <c r="X31" i="1" s="1"/>
  <c r="Y23" i="45"/>
  <c r="Y31" i="1" s="1"/>
  <c r="L28" i="4"/>
  <c r="A27" i="4"/>
  <c r="K26" i="4"/>
  <c r="AJ107" i="5"/>
  <c r="AK107" i="5"/>
  <c r="AL107" i="5"/>
  <c r="AM107" i="5"/>
  <c r="AN107" i="5"/>
  <c r="K80" i="5"/>
  <c r="K83" i="5" s="1"/>
  <c r="K124" i="5" s="1"/>
  <c r="L80" i="5"/>
  <c r="M80" i="5"/>
  <c r="M83" i="5" s="1"/>
  <c r="M124" i="5" s="1"/>
  <c r="N80" i="5"/>
  <c r="N83" i="5" s="1"/>
  <c r="N124" i="5" s="1"/>
  <c r="G26" i="1"/>
  <c r="G27" i="1"/>
  <c r="G28" i="1"/>
  <c r="G29" i="1"/>
  <c r="G30" i="1"/>
  <c r="G34" i="1"/>
  <c r="AJ50" i="5"/>
  <c r="AK50" i="5"/>
  <c r="AL50" i="5"/>
  <c r="AM50" i="5"/>
  <c r="AN50" i="5"/>
  <c r="M50" i="5"/>
  <c r="P50" i="5"/>
  <c r="Q50" i="5"/>
  <c r="L26" i="4" l="1"/>
  <c r="M28" i="4"/>
  <c r="Z114" i="5"/>
  <c r="W114" i="5"/>
  <c r="T114" i="5"/>
  <c r="AE114" i="5"/>
  <c r="AB114" i="5"/>
  <c r="Y28" i="4"/>
  <c r="J80" i="5"/>
  <c r="F73" i="5"/>
  <c r="H73" i="5" s="1"/>
  <c r="F72" i="5"/>
  <c r="H72" i="5" s="1"/>
  <c r="F71" i="5"/>
  <c r="F70" i="5"/>
  <c r="G70" i="5" s="1"/>
  <c r="F69" i="5"/>
  <c r="F68" i="5"/>
  <c r="G68" i="5" s="1"/>
  <c r="F67" i="5"/>
  <c r="F54" i="5"/>
  <c r="F55" i="5"/>
  <c r="F56" i="5"/>
  <c r="Z28" i="4" l="1"/>
  <c r="N28" i="4"/>
  <c r="M26" i="4"/>
  <c r="V76" i="5"/>
  <c r="AG72" i="5"/>
  <c r="AI72" i="5"/>
  <c r="O72" i="5"/>
  <c r="Q72" i="5"/>
  <c r="S72" i="5"/>
  <c r="U72" i="5"/>
  <c r="W72" i="5"/>
  <c r="Y72" i="5"/>
  <c r="AA72" i="5"/>
  <c r="AC72" i="5"/>
  <c r="AE72" i="5"/>
  <c r="AH72" i="5"/>
  <c r="N72" i="5"/>
  <c r="P72" i="5"/>
  <c r="R72" i="5"/>
  <c r="T72" i="5"/>
  <c r="V72" i="5"/>
  <c r="X72" i="5"/>
  <c r="Z72" i="5"/>
  <c r="AB72" i="5"/>
  <c r="AD72" i="5"/>
  <c r="AF72" i="5"/>
  <c r="G67" i="5"/>
  <c r="H67" i="5" s="1"/>
  <c r="H68" i="5"/>
  <c r="G69" i="5"/>
  <c r="H69" i="5" s="1"/>
  <c r="H70" i="5"/>
  <c r="G71" i="5"/>
  <c r="H71" i="5" s="1"/>
  <c r="E202" i="46"/>
  <c r="D200" i="46"/>
  <c r="A25" i="4" s="1"/>
  <c r="AD48" i="4" s="1"/>
  <c r="K173" i="46"/>
  <c r="K174" i="46" s="1"/>
  <c r="K175" i="46" s="1"/>
  <c r="K176" i="46" s="1"/>
  <c r="K177" i="46" s="1"/>
  <c r="K178" i="46" s="1"/>
  <c r="K179" i="46" s="1"/>
  <c r="K180" i="46" s="1"/>
  <c r="K181" i="46" s="1"/>
  <c r="K182" i="46" s="1"/>
  <c r="K183" i="46" s="1"/>
  <c r="K184" i="46" s="1"/>
  <c r="K185" i="46" s="1"/>
  <c r="K186" i="46" s="1"/>
  <c r="K187" i="46" s="1"/>
  <c r="K188" i="46" s="1"/>
  <c r="K189" i="46" s="1"/>
  <c r="K190" i="46" s="1"/>
  <c r="K191" i="46" s="1"/>
  <c r="K192" i="46" s="1"/>
  <c r="K193" i="46" s="1"/>
  <c r="K194" i="46" s="1"/>
  <c r="K195" i="46" s="1"/>
  <c r="N26" i="4" l="1"/>
  <c r="O28" i="4"/>
  <c r="AA28" i="4"/>
  <c r="K108" i="46"/>
  <c r="K109" i="46" s="1"/>
  <c r="K110" i="46" s="1"/>
  <c r="K111" i="46" s="1"/>
  <c r="K112" i="46" s="1"/>
  <c r="K113" i="46" s="1"/>
  <c r="K114" i="46" s="1"/>
  <c r="K115" i="46" s="1"/>
  <c r="K116" i="46" s="1"/>
  <c r="K117" i="46" s="1"/>
  <c r="K118" i="46" s="1"/>
  <c r="K119" i="46" s="1"/>
  <c r="K120" i="46" s="1"/>
  <c r="K121" i="46" s="1"/>
  <c r="K122" i="46" s="1"/>
  <c r="K123" i="46" s="1"/>
  <c r="K124" i="46" s="1"/>
  <c r="K125" i="46" s="1"/>
  <c r="K126" i="46" s="1"/>
  <c r="K127" i="46" s="1"/>
  <c r="K128" i="46" s="1"/>
  <c r="K129" i="46" s="1"/>
  <c r="K130" i="46" s="1"/>
  <c r="K131" i="46" s="1"/>
  <c r="K132" i="46" s="1"/>
  <c r="K133" i="46" s="1"/>
  <c r="K134" i="46" s="1"/>
  <c r="K135" i="46" s="1"/>
  <c r="K136" i="46" s="1"/>
  <c r="K137" i="46" s="1"/>
  <c r="K138" i="46" s="1"/>
  <c r="K139" i="46" s="1"/>
  <c r="K140" i="46" s="1"/>
  <c r="K141" i="46" s="1"/>
  <c r="K142" i="46" s="1"/>
  <c r="K143" i="46" s="1"/>
  <c r="K144" i="46" s="1"/>
  <c r="K145" i="46" s="1"/>
  <c r="K146" i="46" s="1"/>
  <c r="K147" i="46" s="1"/>
  <c r="K148" i="46" s="1"/>
  <c r="K149" i="46" s="1"/>
  <c r="K150" i="46" s="1"/>
  <c r="K151" i="46" s="1"/>
  <c r="K152" i="46" s="1"/>
  <c r="K153" i="46" s="1"/>
  <c r="K154" i="46" s="1"/>
  <c r="K155" i="46" s="1"/>
  <c r="K156" i="46" s="1"/>
  <c r="K157" i="46" s="1"/>
  <c r="K158" i="46" s="1"/>
  <c r="K159" i="46" s="1"/>
  <c r="K160" i="46" s="1"/>
  <c r="AB28" i="4" l="1"/>
  <c r="P28" i="4"/>
  <c r="O26" i="4"/>
  <c r="E93" i="46"/>
  <c r="E200" i="46" s="1"/>
  <c r="F93" i="46"/>
  <c r="F200" i="46" s="1"/>
  <c r="F201" i="46" s="1"/>
  <c r="G93" i="46"/>
  <c r="P26" i="4" l="1"/>
  <c r="Q28" i="4"/>
  <c r="H35" i="9"/>
  <c r="V34" i="9"/>
  <c r="AB80" i="5" s="1"/>
  <c r="W34" i="9"/>
  <c r="AC80" i="5" s="1"/>
  <c r="X34" i="9"/>
  <c r="AD80" i="5" s="1"/>
  <c r="Y34" i="9"/>
  <c r="AE80" i="5" s="1"/>
  <c r="Z34" i="9"/>
  <c r="AF80" i="5" s="1"/>
  <c r="AA34" i="9"/>
  <c r="AG80" i="5" s="1"/>
  <c r="AB34" i="9"/>
  <c r="AH80" i="5" s="1"/>
  <c r="AD34" i="9"/>
  <c r="AJ80" i="5" s="1"/>
  <c r="AJ83" i="5" s="1"/>
  <c r="AJ124" i="5" s="1"/>
  <c r="AE34" i="9"/>
  <c r="AK80" i="5" s="1"/>
  <c r="AL80" i="5"/>
  <c r="AM80" i="5"/>
  <c r="AN80" i="5"/>
  <c r="U34" i="9"/>
  <c r="AA80" i="5" s="1"/>
  <c r="E35" i="9"/>
  <c r="F35" i="9"/>
  <c r="G35" i="9"/>
  <c r="D35" i="9"/>
  <c r="J34" i="9"/>
  <c r="P80" i="5" s="1"/>
  <c r="K34" i="9"/>
  <c r="Q80" i="5" s="1"/>
  <c r="Q83" i="5" s="1"/>
  <c r="Q124" i="5" s="1"/>
  <c r="L34" i="9"/>
  <c r="R80" i="5" s="1"/>
  <c r="R83" i="5" s="1"/>
  <c r="R124" i="5" s="1"/>
  <c r="M34" i="9"/>
  <c r="S80" i="5" s="1"/>
  <c r="S83" i="5" s="1"/>
  <c r="S124" i="5" s="1"/>
  <c r="N34" i="9"/>
  <c r="T80" i="5" s="1"/>
  <c r="O34" i="9"/>
  <c r="U80" i="5" s="1"/>
  <c r="P34" i="9"/>
  <c r="V80" i="5" s="1"/>
  <c r="Q34" i="9"/>
  <c r="W80" i="5" s="1"/>
  <c r="R34" i="9"/>
  <c r="X80" i="5" s="1"/>
  <c r="S34" i="9"/>
  <c r="Y80" i="5" s="1"/>
  <c r="T34" i="9"/>
  <c r="Z80" i="5" s="1"/>
  <c r="I34" i="9"/>
  <c r="O80" i="5" s="1"/>
  <c r="O83" i="5" s="1"/>
  <c r="O124" i="5" s="1"/>
  <c r="R28" i="4" l="1"/>
  <c r="Q26" i="4"/>
  <c r="AA35" i="9"/>
  <c r="W35" i="9"/>
  <c r="Y35" i="9"/>
  <c r="U35" i="9"/>
  <c r="S35" i="9"/>
  <c r="Q35" i="9"/>
  <c r="O35" i="9"/>
  <c r="M35" i="9"/>
  <c r="K35" i="9"/>
  <c r="I35" i="9"/>
  <c r="AB35" i="9"/>
  <c r="Z35" i="9"/>
  <c r="X35" i="9"/>
  <c r="V35" i="9"/>
  <c r="T35" i="9"/>
  <c r="R35" i="9"/>
  <c r="P35" i="9"/>
  <c r="N35" i="9"/>
  <c r="L35" i="9"/>
  <c r="J35" i="9"/>
  <c r="AI23" i="9"/>
  <c r="AE25" i="9" s="1"/>
  <c r="R26" i="4" l="1"/>
  <c r="S28" i="4"/>
  <c r="C48" i="4"/>
  <c r="T28" i="4" l="1"/>
  <c r="S26" i="4"/>
  <c r="C50" i="4"/>
  <c r="C74" i="4"/>
  <c r="D74" i="4"/>
  <c r="E74" i="4"/>
  <c r="F74" i="4"/>
  <c r="AB101" i="5"/>
  <c r="AC101" i="5"/>
  <c r="AD101" i="5"/>
  <c r="AE101" i="5"/>
  <c r="AF101" i="5"/>
  <c r="AG101" i="5"/>
  <c r="AH101" i="5"/>
  <c r="AJ101" i="5"/>
  <c r="AK101" i="5"/>
  <c r="AL101" i="5"/>
  <c r="AM101" i="5"/>
  <c r="AN101" i="5"/>
  <c r="N109" i="5"/>
  <c r="N110" i="5"/>
  <c r="N111" i="5"/>
  <c r="N112" i="5"/>
  <c r="N113" i="5"/>
  <c r="N118" i="5"/>
  <c r="K101" i="5"/>
  <c r="L101" i="5"/>
  <c r="M101" i="5"/>
  <c r="N101" i="5"/>
  <c r="P101" i="5"/>
  <c r="Q101" i="5"/>
  <c r="R101" i="5"/>
  <c r="S101" i="5"/>
  <c r="T101" i="5"/>
  <c r="U101" i="5"/>
  <c r="V101" i="5"/>
  <c r="W101" i="5"/>
  <c r="X101" i="5"/>
  <c r="Y101" i="5"/>
  <c r="Z101" i="5"/>
  <c r="AA101" i="5"/>
  <c r="J101" i="5"/>
  <c r="K107" i="5"/>
  <c r="K102" i="5" s="1"/>
  <c r="L107" i="5"/>
  <c r="L102" i="5" s="1"/>
  <c r="M107" i="5"/>
  <c r="M102" i="5" s="1"/>
  <c r="J107" i="5"/>
  <c r="H100" i="5"/>
  <c r="H120" i="5"/>
  <c r="H121" i="5"/>
  <c r="H122" i="5"/>
  <c r="H123" i="5"/>
  <c r="F100" i="5"/>
  <c r="G100" i="5"/>
  <c r="F110" i="5"/>
  <c r="G120" i="5"/>
  <c r="G121" i="5"/>
  <c r="G122" i="5"/>
  <c r="G123" i="5"/>
  <c r="G124" i="5"/>
  <c r="E105" i="5"/>
  <c r="E100" i="5"/>
  <c r="B101" i="5"/>
  <c r="B102" i="5"/>
  <c r="B103" i="5"/>
  <c r="B104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T26" i="4" l="1"/>
  <c r="U28" i="4"/>
  <c r="J102" i="5"/>
  <c r="J127" i="5"/>
  <c r="J128" i="5" s="1"/>
  <c r="C73" i="4" s="1"/>
  <c r="C75" i="4" s="1"/>
  <c r="C76" i="4" s="1"/>
  <c r="V28" i="4" l="1"/>
  <c r="U26" i="4"/>
  <c r="J130" i="5"/>
  <c r="AA8" i="45"/>
  <c r="AD23" i="1"/>
  <c r="AE23" i="1"/>
  <c r="AF23" i="1"/>
  <c r="AG23" i="1"/>
  <c r="U23" i="1"/>
  <c r="V23" i="1"/>
  <c r="W23" i="1"/>
  <c r="X23" i="1"/>
  <c r="Y23" i="1"/>
  <c r="Z23" i="1"/>
  <c r="AA23" i="1"/>
  <c r="AC23" i="1"/>
  <c r="D23" i="1"/>
  <c r="E23" i="1"/>
  <c r="F23" i="1"/>
  <c r="G23" i="1"/>
  <c r="I23" i="1"/>
  <c r="J23" i="1"/>
  <c r="K23" i="1"/>
  <c r="L23" i="1"/>
  <c r="M23" i="1"/>
  <c r="N23" i="1"/>
  <c r="O23" i="1"/>
  <c r="P23" i="1"/>
  <c r="Q23" i="1"/>
  <c r="R23" i="1"/>
  <c r="S23" i="1"/>
  <c r="T23" i="1"/>
  <c r="C23" i="1"/>
  <c r="V26" i="4" l="1"/>
  <c r="W28" i="4"/>
  <c r="AA28" i="45"/>
  <c r="AA26" i="45"/>
  <c r="AA29" i="45" s="1"/>
  <c r="W26" i="4" l="1"/>
  <c r="AA31" i="45"/>
  <c r="AA33" i="1" s="1"/>
  <c r="AA30" i="45"/>
  <c r="AA32" i="1" s="1"/>
  <c r="X26" i="4" l="1"/>
  <c r="AA32" i="45"/>
  <c r="AA33" i="45" s="1"/>
  <c r="Y26" i="4" l="1"/>
  <c r="J25" i="47"/>
  <c r="G119" i="5" s="1"/>
  <c r="E25" i="47"/>
  <c r="E13" i="47"/>
  <c r="F13" i="47"/>
  <c r="J16" i="47"/>
  <c r="G110" i="5" s="1"/>
  <c r="J17" i="47"/>
  <c r="G111" i="5" s="1"/>
  <c r="K17" i="47"/>
  <c r="H111" i="5" s="1"/>
  <c r="J18" i="47"/>
  <c r="G112" i="5" s="1"/>
  <c r="K18" i="47"/>
  <c r="H112" i="5" s="1"/>
  <c r="J19" i="47"/>
  <c r="G113" i="5" s="1"/>
  <c r="K19" i="47"/>
  <c r="H113" i="5" s="1"/>
  <c r="J20" i="47"/>
  <c r="G114" i="5" s="1"/>
  <c r="K20" i="47"/>
  <c r="H114" i="5" s="1"/>
  <c r="J21" i="47"/>
  <c r="G115" i="5" s="1"/>
  <c r="K21" i="47"/>
  <c r="H115" i="5" s="1"/>
  <c r="J22" i="47"/>
  <c r="G116" i="5" s="1"/>
  <c r="K22" i="47"/>
  <c r="H116" i="5" s="1"/>
  <c r="J23" i="47"/>
  <c r="G117" i="5" s="1"/>
  <c r="K23" i="47"/>
  <c r="H117" i="5" s="1"/>
  <c r="J24" i="47"/>
  <c r="G118" i="5" s="1"/>
  <c r="K24" i="47"/>
  <c r="H118" i="5" s="1"/>
  <c r="J15" i="47"/>
  <c r="G109" i="5" s="1"/>
  <c r="K14" i="47"/>
  <c r="H108" i="5" s="1"/>
  <c r="J14" i="47"/>
  <c r="G108" i="5" s="1"/>
  <c r="K7" i="47"/>
  <c r="H101" i="5" s="1"/>
  <c r="K8" i="47"/>
  <c r="H102" i="5" s="1"/>
  <c r="K9" i="47"/>
  <c r="H103" i="5" s="1"/>
  <c r="J9" i="47"/>
  <c r="G103" i="5" s="1"/>
  <c r="J8" i="47"/>
  <c r="G102" i="5" s="1"/>
  <c r="J7" i="47"/>
  <c r="G101" i="5" s="1"/>
  <c r="C25" i="47"/>
  <c r="C13" i="47"/>
  <c r="D8" i="45"/>
  <c r="D26" i="45" s="1"/>
  <c r="D27" i="45" s="1"/>
  <c r="D16" i="45"/>
  <c r="D23" i="45"/>
  <c r="J10" i="47" l="1"/>
  <c r="J13" i="47"/>
  <c r="G107" i="5" s="1"/>
  <c r="K10" i="47"/>
  <c r="Z26" i="4"/>
  <c r="D28" i="45"/>
  <c r="D29" i="45" s="1"/>
  <c r="D31" i="45" s="1"/>
  <c r="AA26" i="4" l="1"/>
  <c r="H104" i="5"/>
  <c r="F76" i="11"/>
  <c r="G104" i="5"/>
  <c r="F75" i="11"/>
  <c r="D30" i="45"/>
  <c r="D32" i="45" s="1"/>
  <c r="D33" i="45" s="1"/>
  <c r="E48" i="5"/>
  <c r="E49" i="5"/>
  <c r="D48" i="5"/>
  <c r="D49" i="5"/>
  <c r="G61" i="37"/>
  <c r="G62" i="37"/>
  <c r="H61" i="37"/>
  <c r="I61" i="37" s="1"/>
  <c r="H48" i="5" s="1"/>
  <c r="F10" i="5"/>
  <c r="F209" i="46"/>
  <c r="J207" i="46"/>
  <c r="G28" i="11" s="1"/>
  <c r="J208" i="46"/>
  <c r="F203" i="46"/>
  <c r="D203" i="46"/>
  <c r="A29" i="4" s="1"/>
  <c r="L173" i="46"/>
  <c r="L174" i="46"/>
  <c r="L175" i="46"/>
  <c r="L176" i="46"/>
  <c r="L177" i="46"/>
  <c r="L178" i="46"/>
  <c r="L179" i="46"/>
  <c r="L180" i="46"/>
  <c r="L181" i="46"/>
  <c r="L182" i="46"/>
  <c r="L183" i="46"/>
  <c r="L184" i="46"/>
  <c r="L185" i="46"/>
  <c r="L186" i="46"/>
  <c r="L187" i="46"/>
  <c r="L188" i="46"/>
  <c r="L189" i="46"/>
  <c r="L190" i="46"/>
  <c r="L191" i="46"/>
  <c r="L192" i="46"/>
  <c r="L193" i="46"/>
  <c r="L194" i="46"/>
  <c r="L195" i="46"/>
  <c r="L172" i="46"/>
  <c r="H173" i="46"/>
  <c r="I173" i="46"/>
  <c r="J173" i="46" s="1"/>
  <c r="H174" i="46"/>
  <c r="I174" i="46"/>
  <c r="J174" i="46" s="1"/>
  <c r="H175" i="46"/>
  <c r="I175" i="46"/>
  <c r="J175" i="46" s="1"/>
  <c r="H176" i="46"/>
  <c r="I176" i="46"/>
  <c r="J176" i="46" s="1"/>
  <c r="H177" i="46"/>
  <c r="I177" i="46"/>
  <c r="J177" i="46" s="1"/>
  <c r="H178" i="46"/>
  <c r="I178" i="46"/>
  <c r="J178" i="46" s="1"/>
  <c r="H179" i="46"/>
  <c r="I179" i="46"/>
  <c r="J179" i="46" s="1"/>
  <c r="H180" i="46"/>
  <c r="I180" i="46"/>
  <c r="J180" i="46" s="1"/>
  <c r="H181" i="46"/>
  <c r="I181" i="46"/>
  <c r="J181" i="46" s="1"/>
  <c r="H182" i="46"/>
  <c r="I182" i="46"/>
  <c r="J182" i="46" s="1"/>
  <c r="H183" i="46"/>
  <c r="I183" i="46"/>
  <c r="J183" i="46" s="1"/>
  <c r="H184" i="46"/>
  <c r="I184" i="46"/>
  <c r="J184" i="46" s="1"/>
  <c r="H185" i="46"/>
  <c r="I185" i="46"/>
  <c r="J185" i="46" s="1"/>
  <c r="H186" i="46"/>
  <c r="I186" i="46"/>
  <c r="J186" i="46" s="1"/>
  <c r="H187" i="46"/>
  <c r="I187" i="46"/>
  <c r="J187" i="46" s="1"/>
  <c r="H188" i="46"/>
  <c r="I188" i="46"/>
  <c r="J188" i="46" s="1"/>
  <c r="H189" i="46"/>
  <c r="I189" i="46"/>
  <c r="J189" i="46" s="1"/>
  <c r="H190" i="46"/>
  <c r="I190" i="46"/>
  <c r="J190" i="46" s="1"/>
  <c r="H191" i="46"/>
  <c r="I191" i="46"/>
  <c r="J191" i="46" s="1"/>
  <c r="H192" i="46"/>
  <c r="I192" i="46"/>
  <c r="J192" i="46" s="1"/>
  <c r="H193" i="46"/>
  <c r="I193" i="46"/>
  <c r="J193" i="46" s="1"/>
  <c r="H194" i="46"/>
  <c r="I194" i="46"/>
  <c r="J194" i="46" s="1"/>
  <c r="H195" i="46"/>
  <c r="I195" i="46"/>
  <c r="J195" i="46" s="1"/>
  <c r="I172" i="46"/>
  <c r="J172" i="46" s="1"/>
  <c r="H172" i="46"/>
  <c r="F196" i="46"/>
  <c r="E210" i="46" s="1"/>
  <c r="G196" i="46"/>
  <c r="K196" i="46"/>
  <c r="J210" i="46" s="1"/>
  <c r="N196" i="46"/>
  <c r="O196" i="46"/>
  <c r="R196" i="46"/>
  <c r="P196" i="46"/>
  <c r="E196" i="46"/>
  <c r="D210" i="46" s="1"/>
  <c r="R93" i="46"/>
  <c r="P93" i="46"/>
  <c r="P169" i="46"/>
  <c r="R169" i="46"/>
  <c r="R104" i="46"/>
  <c r="P104" i="46"/>
  <c r="F104" i="46"/>
  <c r="O93" i="46"/>
  <c r="N93" i="46"/>
  <c r="G169" i="46"/>
  <c r="F208" i="46" s="1"/>
  <c r="F206" i="46" s="1"/>
  <c r="E29" i="11" s="1"/>
  <c r="F169" i="46"/>
  <c r="E207" i="46" s="1"/>
  <c r="E206" i="46" s="1"/>
  <c r="E28" i="11" s="1"/>
  <c r="O169" i="46"/>
  <c r="N169" i="46"/>
  <c r="O104" i="46"/>
  <c r="N104" i="46"/>
  <c r="K169" i="46"/>
  <c r="L108" i="46"/>
  <c r="L109" i="46"/>
  <c r="L110" i="46"/>
  <c r="L111" i="46"/>
  <c r="L112" i="46"/>
  <c r="L113" i="46"/>
  <c r="L114" i="46"/>
  <c r="L115" i="46"/>
  <c r="L116" i="46"/>
  <c r="L117" i="46"/>
  <c r="L118" i="46"/>
  <c r="L119" i="46"/>
  <c r="L120" i="46"/>
  <c r="L121" i="46"/>
  <c r="L122" i="46"/>
  <c r="L123" i="46"/>
  <c r="L124" i="46"/>
  <c r="L125" i="46"/>
  <c r="L126" i="46"/>
  <c r="L127" i="46"/>
  <c r="L128" i="46"/>
  <c r="L129" i="46"/>
  <c r="L130" i="46"/>
  <c r="L131" i="46"/>
  <c r="L132" i="46"/>
  <c r="L133" i="46"/>
  <c r="L134" i="46"/>
  <c r="L135" i="46"/>
  <c r="L136" i="46"/>
  <c r="L137" i="46"/>
  <c r="L138" i="46"/>
  <c r="L139" i="46"/>
  <c r="L140" i="46"/>
  <c r="L141" i="46"/>
  <c r="L142" i="46"/>
  <c r="L143" i="46"/>
  <c r="L144" i="46"/>
  <c r="L145" i="46"/>
  <c r="L146" i="46"/>
  <c r="L147" i="46"/>
  <c r="L148" i="46"/>
  <c r="L149" i="46"/>
  <c r="L150" i="46"/>
  <c r="L151" i="46"/>
  <c r="L152" i="46"/>
  <c r="L153" i="46"/>
  <c r="L154" i="46"/>
  <c r="L155" i="46"/>
  <c r="L156" i="46"/>
  <c r="L157" i="46"/>
  <c r="L158" i="46"/>
  <c r="L159" i="46"/>
  <c r="L160" i="46"/>
  <c r="L161" i="46"/>
  <c r="L162" i="46"/>
  <c r="L163" i="46"/>
  <c r="L164" i="46"/>
  <c r="L165" i="46"/>
  <c r="L166" i="46"/>
  <c r="L167" i="46"/>
  <c r="L168" i="46"/>
  <c r="L107" i="46"/>
  <c r="E169" i="46"/>
  <c r="D207" i="46" s="1"/>
  <c r="H108" i="46"/>
  <c r="I108" i="46"/>
  <c r="J108" i="46" s="1"/>
  <c r="H109" i="46"/>
  <c r="I109" i="46"/>
  <c r="J109" i="46" s="1"/>
  <c r="H110" i="46"/>
  <c r="I110" i="46"/>
  <c r="J110" i="46" s="1"/>
  <c r="H111" i="46"/>
  <c r="I111" i="46"/>
  <c r="J111" i="46" s="1"/>
  <c r="H112" i="46"/>
  <c r="I112" i="46"/>
  <c r="J112" i="46" s="1"/>
  <c r="H113" i="46"/>
  <c r="I113" i="46"/>
  <c r="J113" i="46" s="1"/>
  <c r="H114" i="46"/>
  <c r="I114" i="46"/>
  <c r="J114" i="46" s="1"/>
  <c r="H115" i="46"/>
  <c r="I115" i="46"/>
  <c r="J115" i="46" s="1"/>
  <c r="H116" i="46"/>
  <c r="I116" i="46"/>
  <c r="J116" i="46" s="1"/>
  <c r="H117" i="46"/>
  <c r="I117" i="46"/>
  <c r="J117" i="46" s="1"/>
  <c r="H118" i="46"/>
  <c r="I118" i="46"/>
  <c r="J118" i="46" s="1"/>
  <c r="H119" i="46"/>
  <c r="I119" i="46"/>
  <c r="J119" i="46" s="1"/>
  <c r="H120" i="46"/>
  <c r="I120" i="46"/>
  <c r="J120" i="46" s="1"/>
  <c r="H121" i="46"/>
  <c r="I121" i="46"/>
  <c r="J121" i="46" s="1"/>
  <c r="H122" i="46"/>
  <c r="I122" i="46"/>
  <c r="J122" i="46" s="1"/>
  <c r="H123" i="46"/>
  <c r="I123" i="46"/>
  <c r="J123" i="46" s="1"/>
  <c r="H124" i="46"/>
  <c r="I124" i="46"/>
  <c r="J124" i="46" s="1"/>
  <c r="H125" i="46"/>
  <c r="I125" i="46"/>
  <c r="J125" i="46" s="1"/>
  <c r="H126" i="46"/>
  <c r="I126" i="46"/>
  <c r="J126" i="46" s="1"/>
  <c r="H127" i="46"/>
  <c r="I127" i="46"/>
  <c r="J127" i="46" s="1"/>
  <c r="H128" i="46"/>
  <c r="I128" i="46"/>
  <c r="J128" i="46" s="1"/>
  <c r="H129" i="46"/>
  <c r="I129" i="46"/>
  <c r="J129" i="46" s="1"/>
  <c r="H130" i="46"/>
  <c r="I130" i="46"/>
  <c r="J130" i="46" s="1"/>
  <c r="H131" i="46"/>
  <c r="I131" i="46"/>
  <c r="J131" i="46" s="1"/>
  <c r="H132" i="46"/>
  <c r="I132" i="46"/>
  <c r="J132" i="46" s="1"/>
  <c r="H133" i="46"/>
  <c r="I133" i="46"/>
  <c r="J133" i="46" s="1"/>
  <c r="H134" i="46"/>
  <c r="I134" i="46"/>
  <c r="J134" i="46" s="1"/>
  <c r="H135" i="46"/>
  <c r="I135" i="46"/>
  <c r="J135" i="46" s="1"/>
  <c r="H136" i="46"/>
  <c r="I136" i="46"/>
  <c r="J136" i="46" s="1"/>
  <c r="H137" i="46"/>
  <c r="I137" i="46"/>
  <c r="J137" i="46" s="1"/>
  <c r="H138" i="46"/>
  <c r="I138" i="46"/>
  <c r="J138" i="46" s="1"/>
  <c r="H139" i="46"/>
  <c r="I139" i="46"/>
  <c r="J139" i="46" s="1"/>
  <c r="H140" i="46"/>
  <c r="I140" i="46"/>
  <c r="J140" i="46" s="1"/>
  <c r="H141" i="46"/>
  <c r="I141" i="46"/>
  <c r="J141" i="46" s="1"/>
  <c r="H142" i="46"/>
  <c r="I142" i="46"/>
  <c r="J142" i="46" s="1"/>
  <c r="H143" i="46"/>
  <c r="I143" i="46"/>
  <c r="J143" i="46" s="1"/>
  <c r="H144" i="46"/>
  <c r="I144" i="46"/>
  <c r="J144" i="46" s="1"/>
  <c r="H145" i="46"/>
  <c r="I145" i="46"/>
  <c r="J145" i="46" s="1"/>
  <c r="H146" i="46"/>
  <c r="I146" i="46"/>
  <c r="J146" i="46" s="1"/>
  <c r="H147" i="46"/>
  <c r="I147" i="46"/>
  <c r="J147" i="46" s="1"/>
  <c r="H148" i="46"/>
  <c r="I148" i="46"/>
  <c r="J148" i="46" s="1"/>
  <c r="H149" i="46"/>
  <c r="I149" i="46"/>
  <c r="J149" i="46" s="1"/>
  <c r="H150" i="46"/>
  <c r="I150" i="46"/>
  <c r="J150" i="46" s="1"/>
  <c r="H151" i="46"/>
  <c r="I151" i="46"/>
  <c r="J151" i="46" s="1"/>
  <c r="H152" i="46"/>
  <c r="I152" i="46"/>
  <c r="J152" i="46" s="1"/>
  <c r="H153" i="46"/>
  <c r="I153" i="46"/>
  <c r="J153" i="46" s="1"/>
  <c r="H154" i="46"/>
  <c r="I154" i="46"/>
  <c r="J154" i="46" s="1"/>
  <c r="H155" i="46"/>
  <c r="I155" i="46"/>
  <c r="J155" i="46" s="1"/>
  <c r="H156" i="46"/>
  <c r="I156" i="46"/>
  <c r="J156" i="46" s="1"/>
  <c r="H157" i="46"/>
  <c r="I157" i="46"/>
  <c r="J157" i="46" s="1"/>
  <c r="H158" i="46"/>
  <c r="I158" i="46"/>
  <c r="J158" i="46" s="1"/>
  <c r="H159" i="46"/>
  <c r="I159" i="46"/>
  <c r="J159" i="46" s="1"/>
  <c r="H160" i="46"/>
  <c r="I160" i="46"/>
  <c r="J160" i="46" s="1"/>
  <c r="H161" i="46"/>
  <c r="I161" i="46"/>
  <c r="J161" i="46" s="1"/>
  <c r="H162" i="46"/>
  <c r="I162" i="46"/>
  <c r="J162" i="46" s="1"/>
  <c r="H163" i="46"/>
  <c r="I163" i="46"/>
  <c r="J163" i="46" s="1"/>
  <c r="H164" i="46"/>
  <c r="I164" i="46"/>
  <c r="J164" i="46" s="1"/>
  <c r="H165" i="46"/>
  <c r="I165" i="46"/>
  <c r="J165" i="46" s="1"/>
  <c r="H166" i="46"/>
  <c r="I166" i="46"/>
  <c r="J166" i="46" s="1"/>
  <c r="H167" i="46"/>
  <c r="I167" i="46"/>
  <c r="J167" i="46" s="1"/>
  <c r="H168" i="46"/>
  <c r="I168" i="46"/>
  <c r="J168" i="46" s="1"/>
  <c r="I107" i="46"/>
  <c r="J107" i="46" s="1"/>
  <c r="H107" i="46"/>
  <c r="E205" i="46"/>
  <c r="E204" i="46"/>
  <c r="E25" i="11"/>
  <c r="G12" i="11"/>
  <c r="D24" i="11"/>
  <c r="D23" i="11" s="1"/>
  <c r="C17" i="11"/>
  <c r="C9" i="37"/>
  <c r="C18" i="11" s="1"/>
  <c r="R8" i="46"/>
  <c r="C60" i="37"/>
  <c r="C61" i="37"/>
  <c r="C62" i="37"/>
  <c r="B61" i="37"/>
  <c r="B62" i="37"/>
  <c r="B60" i="37"/>
  <c r="D209" i="46" l="1"/>
  <c r="A28" i="4"/>
  <c r="D206" i="46"/>
  <c r="A26" i="4"/>
  <c r="L10" i="46"/>
  <c r="L11" i="46"/>
  <c r="L13" i="46"/>
  <c r="K13" i="46" s="1"/>
  <c r="L15" i="46"/>
  <c r="L17" i="46"/>
  <c r="L19" i="46"/>
  <c r="K19" i="46" s="1"/>
  <c r="L21" i="46"/>
  <c r="L23" i="46"/>
  <c r="L25" i="46"/>
  <c r="L27" i="46"/>
  <c r="L29" i="46"/>
  <c r="L31" i="46"/>
  <c r="L33" i="46"/>
  <c r="L35" i="46"/>
  <c r="L37" i="46"/>
  <c r="L39" i="46"/>
  <c r="L41" i="46"/>
  <c r="L43" i="46"/>
  <c r="L45" i="46"/>
  <c r="L47" i="46"/>
  <c r="L49" i="46"/>
  <c r="L51" i="46"/>
  <c r="L53" i="46"/>
  <c r="L55" i="46"/>
  <c r="L57" i="46"/>
  <c r="L59" i="46"/>
  <c r="L61" i="46"/>
  <c r="L63" i="46"/>
  <c r="L65" i="46"/>
  <c r="L67" i="46"/>
  <c r="L69" i="46"/>
  <c r="L71" i="46"/>
  <c r="L73" i="46"/>
  <c r="L75" i="46"/>
  <c r="L77" i="46"/>
  <c r="L79" i="46"/>
  <c r="L81" i="46"/>
  <c r="L83" i="46"/>
  <c r="K83" i="46" s="1"/>
  <c r="L85" i="46"/>
  <c r="K85" i="46" s="1"/>
  <c r="L87" i="46"/>
  <c r="K87" i="46" s="1"/>
  <c r="L89" i="46"/>
  <c r="L91" i="46"/>
  <c r="K91" i="46" s="1"/>
  <c r="L12" i="46"/>
  <c r="L14" i="46"/>
  <c r="L16" i="46"/>
  <c r="L18" i="46"/>
  <c r="K18" i="46" s="1"/>
  <c r="L20" i="46"/>
  <c r="L22" i="46"/>
  <c r="L24" i="46"/>
  <c r="L26" i="46"/>
  <c r="L28" i="46"/>
  <c r="L30" i="46"/>
  <c r="L32" i="46"/>
  <c r="L34" i="46"/>
  <c r="K34" i="46" s="1"/>
  <c r="L36" i="46"/>
  <c r="L38" i="46"/>
  <c r="L40" i="46"/>
  <c r="L42" i="46"/>
  <c r="L44" i="46"/>
  <c r="L46" i="46"/>
  <c r="L48" i="46"/>
  <c r="L50" i="46"/>
  <c r="K50" i="46" s="1"/>
  <c r="L52" i="46"/>
  <c r="L54" i="46"/>
  <c r="L56" i="46"/>
  <c r="L58" i="46"/>
  <c r="L60" i="46"/>
  <c r="L62" i="46"/>
  <c r="L64" i="46"/>
  <c r="L66" i="46"/>
  <c r="K66" i="46" s="1"/>
  <c r="L68" i="46"/>
  <c r="L70" i="46"/>
  <c r="L72" i="46"/>
  <c r="L74" i="46"/>
  <c r="L76" i="46"/>
  <c r="L78" i="46"/>
  <c r="L80" i="46"/>
  <c r="L82" i="46"/>
  <c r="K82" i="46" s="1"/>
  <c r="L84" i="46"/>
  <c r="K84" i="46" s="1"/>
  <c r="L86" i="46"/>
  <c r="K86" i="46" s="1"/>
  <c r="L88" i="46"/>
  <c r="K88" i="46" s="1"/>
  <c r="L90" i="46"/>
  <c r="K90" i="46" s="1"/>
  <c r="L92" i="46"/>
  <c r="K92" i="46" s="1"/>
  <c r="L9" i="46"/>
  <c r="K9" i="46" s="1"/>
  <c r="K89" i="46"/>
  <c r="G207" i="46"/>
  <c r="E203" i="46"/>
  <c r="E26" i="11" s="1"/>
  <c r="J206" i="46"/>
  <c r="G31" i="11"/>
  <c r="G30" i="11" s="1"/>
  <c r="J209" i="46"/>
  <c r="E31" i="11"/>
  <c r="E30" i="11" s="1"/>
  <c r="E209" i="46"/>
  <c r="G208" i="46"/>
  <c r="D211" i="46"/>
  <c r="G29" i="11"/>
  <c r="G27" i="11" s="1"/>
  <c r="F211" i="46"/>
  <c r="I208" i="46"/>
  <c r="I207" i="46"/>
  <c r="H196" i="46"/>
  <c r="G210" i="46" s="1"/>
  <c r="F45" i="11"/>
  <c r="H62" i="37"/>
  <c r="F49" i="5"/>
  <c r="F48" i="5"/>
  <c r="G48" i="5"/>
  <c r="E27" i="11"/>
  <c r="F28" i="11"/>
  <c r="H208" i="46"/>
  <c r="H207" i="46"/>
  <c r="I196" i="46"/>
  <c r="H210" i="46" s="1"/>
  <c r="H209" i="46" s="1"/>
  <c r="J196" i="46"/>
  <c r="I210" i="46" s="1"/>
  <c r="I209" i="46" s="1"/>
  <c r="H169" i="46"/>
  <c r="J169" i="46"/>
  <c r="I169" i="46"/>
  <c r="F30" i="47"/>
  <c r="D29" i="47"/>
  <c r="D28" i="47"/>
  <c r="D27" i="47"/>
  <c r="D26" i="47"/>
  <c r="D25" i="47" s="1"/>
  <c r="E10" i="47"/>
  <c r="F10" i="47"/>
  <c r="D10" i="47"/>
  <c r="C10" i="47"/>
  <c r="D24" i="47"/>
  <c r="D14" i="47"/>
  <c r="D13" i="47" s="1"/>
  <c r="K30" i="47" l="1"/>
  <c r="F25" i="47"/>
  <c r="I45" i="4"/>
  <c r="AC45" i="4"/>
  <c r="AE45" i="4"/>
  <c r="H45" i="4"/>
  <c r="J45" i="4"/>
  <c r="X45" i="4"/>
  <c r="AD45" i="4"/>
  <c r="AF45" i="4"/>
  <c r="K45" i="4"/>
  <c r="L45" i="4"/>
  <c r="Y45" i="4"/>
  <c r="M45" i="4"/>
  <c r="N45" i="4"/>
  <c r="Z45" i="4"/>
  <c r="AA45" i="4"/>
  <c r="O45" i="4"/>
  <c r="AB45" i="4"/>
  <c r="P45" i="4"/>
  <c r="Q45" i="4"/>
  <c r="R45" i="4"/>
  <c r="S45" i="4"/>
  <c r="T45" i="4"/>
  <c r="U45" i="4"/>
  <c r="V45" i="4"/>
  <c r="W45" i="4"/>
  <c r="AB43" i="4"/>
  <c r="F31" i="11"/>
  <c r="F30" i="11" s="1"/>
  <c r="H43" i="4"/>
  <c r="H41" i="4"/>
  <c r="J41" i="4"/>
  <c r="AB41" i="4"/>
  <c r="AD41" i="4"/>
  <c r="AF41" i="4"/>
  <c r="I41" i="4"/>
  <c r="AC41" i="4"/>
  <c r="AE41" i="4"/>
  <c r="G41" i="4"/>
  <c r="K41" i="4"/>
  <c r="L41" i="4"/>
  <c r="M41" i="4"/>
  <c r="N41" i="4"/>
  <c r="O41" i="4"/>
  <c r="P41" i="4"/>
  <c r="Q41" i="4"/>
  <c r="R41" i="4"/>
  <c r="S41" i="4"/>
  <c r="T41" i="4"/>
  <c r="U41" i="4"/>
  <c r="V41" i="4"/>
  <c r="W41" i="4"/>
  <c r="X41" i="4"/>
  <c r="Y41" i="4"/>
  <c r="Z41" i="4"/>
  <c r="AA41" i="4"/>
  <c r="F29" i="11"/>
  <c r="H9" i="46"/>
  <c r="I9" i="46"/>
  <c r="J9" i="46" s="1"/>
  <c r="H90" i="46"/>
  <c r="I90" i="46"/>
  <c r="J90" i="46" s="1"/>
  <c r="I86" i="46"/>
  <c r="J86" i="46" s="1"/>
  <c r="H86" i="46"/>
  <c r="I82" i="46"/>
  <c r="J82" i="46" s="1"/>
  <c r="H82" i="46"/>
  <c r="I66" i="46"/>
  <c r="J66" i="46" s="1"/>
  <c r="H66" i="46"/>
  <c r="H50" i="46"/>
  <c r="I50" i="46"/>
  <c r="J50" i="46" s="1"/>
  <c r="H34" i="46"/>
  <c r="I34" i="46"/>
  <c r="J34" i="46" s="1"/>
  <c r="H18" i="46"/>
  <c r="I18" i="46"/>
  <c r="J18" i="46" s="1"/>
  <c r="H91" i="46"/>
  <c r="I91" i="46"/>
  <c r="J91" i="46" s="1"/>
  <c r="H87" i="46"/>
  <c r="I87" i="46"/>
  <c r="J87" i="46" s="1"/>
  <c r="H83" i="46"/>
  <c r="I83" i="46"/>
  <c r="J83" i="46" s="1"/>
  <c r="I19" i="46"/>
  <c r="J19" i="46" s="1"/>
  <c r="H19" i="46"/>
  <c r="I89" i="46"/>
  <c r="J89" i="46" s="1"/>
  <c r="H89" i="46"/>
  <c r="I92" i="46"/>
  <c r="J92" i="46" s="1"/>
  <c r="H92" i="46"/>
  <c r="I88" i="46"/>
  <c r="J88" i="46" s="1"/>
  <c r="H88" i="46"/>
  <c r="I84" i="46"/>
  <c r="J84" i="46" s="1"/>
  <c r="H84" i="46"/>
  <c r="I85" i="46"/>
  <c r="J85" i="46" s="1"/>
  <c r="H85" i="46"/>
  <c r="I206" i="46"/>
  <c r="X43" i="4"/>
  <c r="T43" i="4"/>
  <c r="P43" i="4"/>
  <c r="L43" i="4"/>
  <c r="AC43" i="4"/>
  <c r="Y43" i="4"/>
  <c r="U43" i="4"/>
  <c r="Q43" i="4"/>
  <c r="M43" i="4"/>
  <c r="I43" i="4"/>
  <c r="G45" i="4"/>
  <c r="G209" i="46"/>
  <c r="G206" i="46"/>
  <c r="Z43" i="4"/>
  <c r="V43" i="4"/>
  <c r="R43" i="4"/>
  <c r="N43" i="4"/>
  <c r="J43" i="4"/>
  <c r="AA43" i="4"/>
  <c r="W43" i="4"/>
  <c r="S43" i="4"/>
  <c r="O43" i="4"/>
  <c r="K43" i="4"/>
  <c r="I62" i="37"/>
  <c r="G49" i="5"/>
  <c r="F11" i="47"/>
  <c r="D11" i="47"/>
  <c r="E11" i="47"/>
  <c r="H206" i="46"/>
  <c r="H124" i="5" l="1"/>
  <c r="AI129" i="5" s="1"/>
  <c r="K25" i="47"/>
  <c r="H119" i="5" s="1"/>
  <c r="AH43" i="4"/>
  <c r="AI43" i="4" s="1"/>
  <c r="AH41" i="4"/>
  <c r="AI41" i="4" s="1"/>
  <c r="AH45" i="4"/>
  <c r="AI45" i="4" s="1"/>
  <c r="F46" i="11"/>
  <c r="H49" i="5"/>
  <c r="H25" i="4" l="1"/>
  <c r="D16" i="9"/>
  <c r="E23" i="45"/>
  <c r="F23" i="45"/>
  <c r="G23" i="45"/>
  <c r="H23" i="45"/>
  <c r="I23" i="45"/>
  <c r="K23" i="45"/>
  <c r="L23" i="45"/>
  <c r="I16" i="45"/>
  <c r="J16" i="45"/>
  <c r="K16" i="45"/>
  <c r="L16" i="45"/>
  <c r="M16" i="45"/>
  <c r="K31" i="1" l="1"/>
  <c r="R114" i="5"/>
  <c r="H31" i="1"/>
  <c r="O114" i="5"/>
  <c r="L31" i="1"/>
  <c r="S114" i="5"/>
  <c r="I31" i="1"/>
  <c r="P114" i="5"/>
  <c r="O73" i="5"/>
  <c r="G31" i="1"/>
  <c r="N114" i="5"/>
  <c r="I25" i="4"/>
  <c r="O45" i="5"/>
  <c r="N45" i="5"/>
  <c r="P79" i="5"/>
  <c r="AK57" i="5"/>
  <c r="AL57" i="5"/>
  <c r="AM57" i="5"/>
  <c r="AN57" i="5"/>
  <c r="AO88" i="5"/>
  <c r="AO87" i="5"/>
  <c r="AO74" i="5"/>
  <c r="AO62" i="5"/>
  <c r="K28" i="45"/>
  <c r="Y45" i="5"/>
  <c r="Z45" i="5"/>
  <c r="AA45" i="5"/>
  <c r="U28" i="45"/>
  <c r="AE45" i="5"/>
  <c r="V45" i="5"/>
  <c r="V44" i="5"/>
  <c r="H16" i="45"/>
  <c r="O44" i="5" s="1"/>
  <c r="G16" i="45"/>
  <c r="N44" i="5" s="1"/>
  <c r="F16" i="45"/>
  <c r="AB43" i="5"/>
  <c r="V8" i="45"/>
  <c r="AC43" i="5" s="1"/>
  <c r="W8" i="45"/>
  <c r="AD43" i="5" s="1"/>
  <c r="X8" i="45"/>
  <c r="Y8" i="45"/>
  <c r="Z8" i="45"/>
  <c r="AG43" i="5" s="1"/>
  <c r="T28" i="45"/>
  <c r="X28" i="45"/>
  <c r="P73" i="5" l="1"/>
  <c r="P84" i="5"/>
  <c r="P83" i="5"/>
  <c r="J25" i="4"/>
  <c r="AB45" i="5"/>
  <c r="AF43" i="5"/>
  <c r="AE43" i="5"/>
  <c r="K26" i="45"/>
  <c r="AH28" i="4"/>
  <c r="AI28" i="4" s="1"/>
  <c r="AH26" i="4"/>
  <c r="AI26" i="4" s="1"/>
  <c r="AH27" i="4"/>
  <c r="AI27" i="4" s="1"/>
  <c r="AH29" i="4"/>
  <c r="AI29" i="4" s="1"/>
  <c r="C30" i="4"/>
  <c r="D30" i="4"/>
  <c r="E30" i="4"/>
  <c r="F30" i="4"/>
  <c r="Q73" i="5" l="1"/>
  <c r="P124" i="5"/>
  <c r="K25" i="4"/>
  <c r="K29" i="45"/>
  <c r="R73" i="5" l="1"/>
  <c r="L25" i="4"/>
  <c r="S73" i="5" l="1"/>
  <c r="M25" i="4"/>
  <c r="G15" i="37"/>
  <c r="T73" i="5" l="1"/>
  <c r="N25" i="4"/>
  <c r="D55" i="9"/>
  <c r="U73" i="5" l="1"/>
  <c r="O25" i="4"/>
  <c r="D45" i="9"/>
  <c r="K79" i="46"/>
  <c r="H79" i="46" l="1"/>
  <c r="I79" i="46"/>
  <c r="J79" i="46" s="1"/>
  <c r="V73" i="5"/>
  <c r="P25" i="4"/>
  <c r="C33" i="9"/>
  <c r="AD35" i="4"/>
  <c r="AE35" i="4"/>
  <c r="AF35" i="4"/>
  <c r="AG35" i="4"/>
  <c r="V70" i="5"/>
  <c r="W73" i="5" l="1"/>
  <c r="Q25" i="4"/>
  <c r="V69" i="5"/>
  <c r="K67" i="5"/>
  <c r="L76" i="5"/>
  <c r="L67" i="5"/>
  <c r="AG70" i="5"/>
  <c r="AE70" i="5"/>
  <c r="AB70" i="5"/>
  <c r="P70" i="5"/>
  <c r="M70" i="5"/>
  <c r="P71" i="5"/>
  <c r="AG69" i="5"/>
  <c r="AE69" i="5"/>
  <c r="AB69" i="5"/>
  <c r="P69" i="5"/>
  <c r="M69" i="5"/>
  <c r="X73" i="5" l="1"/>
  <c r="S71" i="5"/>
  <c r="AA71" i="5"/>
  <c r="AO69" i="5"/>
  <c r="R25" i="4"/>
  <c r="AA76" i="5"/>
  <c r="S76" i="5"/>
  <c r="AG76" i="5"/>
  <c r="P76" i="5"/>
  <c r="AB76" i="5"/>
  <c r="AE76" i="5"/>
  <c r="AO70" i="5"/>
  <c r="AO67" i="5"/>
  <c r="K76" i="5"/>
  <c r="Y73" i="5" l="1"/>
  <c r="S25" i="4"/>
  <c r="AO71" i="5"/>
  <c r="AP88" i="5"/>
  <c r="AP74" i="5"/>
  <c r="AP62" i="5"/>
  <c r="L50" i="5"/>
  <c r="J50" i="5"/>
  <c r="AK89" i="5"/>
  <c r="AL89" i="5"/>
  <c r="AM89" i="5"/>
  <c r="AN89" i="5"/>
  <c r="K11" i="5"/>
  <c r="L11" i="5"/>
  <c r="M11" i="5"/>
  <c r="N11" i="5"/>
  <c r="P11" i="5"/>
  <c r="Q11" i="5"/>
  <c r="R11" i="5"/>
  <c r="S11" i="5"/>
  <c r="T11" i="5"/>
  <c r="U11" i="5"/>
  <c r="V11" i="5"/>
  <c r="W11" i="5"/>
  <c r="X11" i="5"/>
  <c r="Y11" i="5"/>
  <c r="Z11" i="5"/>
  <c r="AA11" i="5"/>
  <c r="AB11" i="5"/>
  <c r="AC11" i="5"/>
  <c r="AD11" i="5"/>
  <c r="AE11" i="5"/>
  <c r="AF11" i="5"/>
  <c r="AG11" i="5"/>
  <c r="AH11" i="5"/>
  <c r="AJ11" i="5"/>
  <c r="AK11" i="5"/>
  <c r="AL11" i="5"/>
  <c r="AM11" i="5"/>
  <c r="AN11" i="5"/>
  <c r="J11" i="5"/>
  <c r="AK14" i="5"/>
  <c r="AK27" i="5" s="1"/>
  <c r="AK42" i="5" s="1"/>
  <c r="AK53" i="5" s="1"/>
  <c r="AK60" i="5" s="1"/>
  <c r="AK66" i="5" s="1"/>
  <c r="AK78" i="5" s="1"/>
  <c r="AK86" i="5" s="1"/>
  <c r="AL14" i="5"/>
  <c r="AL27" i="5" s="1"/>
  <c r="AL42" i="5" s="1"/>
  <c r="AL53" i="5" s="1"/>
  <c r="AL60" i="5" s="1"/>
  <c r="AL66" i="5" s="1"/>
  <c r="AL78" i="5" s="1"/>
  <c r="AL86" i="5" s="1"/>
  <c r="AM14" i="5"/>
  <c r="AM27" i="5" s="1"/>
  <c r="AM42" i="5" s="1"/>
  <c r="AM53" i="5" s="1"/>
  <c r="AM60" i="5" s="1"/>
  <c r="AM66" i="5" s="1"/>
  <c r="AM78" i="5" s="1"/>
  <c r="AM86" i="5" s="1"/>
  <c r="AN14" i="5"/>
  <c r="AN27" i="5" s="1"/>
  <c r="AN42" i="5" s="1"/>
  <c r="AN53" i="5" s="1"/>
  <c r="AN60" i="5" s="1"/>
  <c r="AN66" i="5" s="1"/>
  <c r="AN78" i="5" s="1"/>
  <c r="AN86" i="5" s="1"/>
  <c r="AK39" i="5"/>
  <c r="AK121" i="5" s="1"/>
  <c r="AK24" i="5"/>
  <c r="AK120" i="5" s="1"/>
  <c r="AL24" i="5"/>
  <c r="AL120" i="5" s="1"/>
  <c r="AM24" i="5"/>
  <c r="AM120" i="5" s="1"/>
  <c r="AN24" i="5"/>
  <c r="AN120" i="5" s="1"/>
  <c r="Z73" i="5" l="1"/>
  <c r="T25" i="4"/>
  <c r="AG36" i="1"/>
  <c r="AE36" i="1"/>
  <c r="AD37" i="1"/>
  <c r="AF36" i="1"/>
  <c r="AD36" i="1"/>
  <c r="AA73" i="5" l="1"/>
  <c r="U25" i="4"/>
  <c r="AB73" i="5" l="1"/>
  <c r="V25" i="4"/>
  <c r="K72" i="46"/>
  <c r="H72" i="46" l="1"/>
  <c r="I72" i="46"/>
  <c r="J72" i="46" s="1"/>
  <c r="AC73" i="5"/>
  <c r="W25" i="4"/>
  <c r="G15" i="11"/>
  <c r="D29" i="11" s="1"/>
  <c r="E104" i="46"/>
  <c r="K103" i="46"/>
  <c r="I103" i="46" s="1"/>
  <c r="J103" i="46" s="1"/>
  <c r="K102" i="46"/>
  <c r="H102" i="46" s="1"/>
  <c r="K101" i="46"/>
  <c r="I101" i="46" s="1"/>
  <c r="J101" i="46" s="1"/>
  <c r="K100" i="46"/>
  <c r="K99" i="46"/>
  <c r="I99" i="46" s="1"/>
  <c r="J99" i="46" s="1"/>
  <c r="K98" i="46"/>
  <c r="I98" i="46" s="1"/>
  <c r="J98" i="46" s="1"/>
  <c r="K97" i="46"/>
  <c r="H97" i="46" s="1"/>
  <c r="K96" i="46"/>
  <c r="E201" i="46"/>
  <c r="AD73" i="5" l="1"/>
  <c r="X25" i="4"/>
  <c r="J204" i="46"/>
  <c r="E24" i="11"/>
  <c r="E23" i="11" s="1"/>
  <c r="E32" i="11" s="1"/>
  <c r="E211" i="46"/>
  <c r="I100" i="46"/>
  <c r="J205" i="46"/>
  <c r="J203" i="46" s="1"/>
  <c r="G26" i="11" s="1"/>
  <c r="I96" i="46"/>
  <c r="H96" i="46"/>
  <c r="G104" i="46"/>
  <c r="K104" i="46"/>
  <c r="I102" i="46"/>
  <c r="J102" i="46" s="1"/>
  <c r="I97" i="46"/>
  <c r="J97" i="46" s="1"/>
  <c r="H103" i="46"/>
  <c r="H98" i="46"/>
  <c r="H100" i="46"/>
  <c r="H99" i="46"/>
  <c r="H101" i="46"/>
  <c r="AI25" i="9" l="1"/>
  <c r="AI7" i="5"/>
  <c r="AE73" i="5"/>
  <c r="Y25" i="4"/>
  <c r="G204" i="46"/>
  <c r="H204" i="46"/>
  <c r="G205" i="46"/>
  <c r="G203" i="46" s="1"/>
  <c r="H205" i="46"/>
  <c r="H203" i="46" s="1"/>
  <c r="J96" i="46"/>
  <c r="I204" i="46" s="1"/>
  <c r="J100" i="46"/>
  <c r="I205" i="46" s="1"/>
  <c r="I104" i="46"/>
  <c r="H104" i="46"/>
  <c r="G16" i="11"/>
  <c r="D31" i="11" s="1"/>
  <c r="D30" i="11" s="1"/>
  <c r="G14" i="11"/>
  <c r="D28" i="11" s="1"/>
  <c r="D30" i="9"/>
  <c r="K81" i="46"/>
  <c r="K80" i="46"/>
  <c r="K78" i="46"/>
  <c r="K77" i="46"/>
  <c r="K76" i="46"/>
  <c r="K75" i="46"/>
  <c r="K74" i="46"/>
  <c r="K73" i="46"/>
  <c r="K71" i="46"/>
  <c r="K70" i="46"/>
  <c r="K69" i="46"/>
  <c r="K68" i="46"/>
  <c r="K67" i="46"/>
  <c r="K65" i="46"/>
  <c r="K64" i="46"/>
  <c r="K63" i="46"/>
  <c r="K62" i="46"/>
  <c r="K61" i="46"/>
  <c r="K60" i="46"/>
  <c r="K59" i="46"/>
  <c r="K58" i="46"/>
  <c r="K57" i="46"/>
  <c r="K56" i="46"/>
  <c r="K55" i="46"/>
  <c r="K54" i="46"/>
  <c r="K53" i="46"/>
  <c r="K52" i="46"/>
  <c r="K51" i="46"/>
  <c r="K49" i="46"/>
  <c r="K48" i="46"/>
  <c r="K47" i="46"/>
  <c r="K46" i="46"/>
  <c r="K45" i="46"/>
  <c r="K44" i="46"/>
  <c r="K43" i="46"/>
  <c r="K42" i="46"/>
  <c r="K41" i="46"/>
  <c r="K40" i="46"/>
  <c r="K39" i="46"/>
  <c r="K38" i="46"/>
  <c r="K37" i="46"/>
  <c r="K36" i="46"/>
  <c r="K35" i="46"/>
  <c r="K33" i="46"/>
  <c r="K32" i="46"/>
  <c r="K31" i="46"/>
  <c r="K30" i="46"/>
  <c r="K29" i="46"/>
  <c r="K28" i="46"/>
  <c r="K27" i="46"/>
  <c r="K26" i="46"/>
  <c r="K25" i="46"/>
  <c r="K24" i="46"/>
  <c r="K23" i="46"/>
  <c r="K22" i="46"/>
  <c r="K21" i="46"/>
  <c r="K20" i="46"/>
  <c r="K17" i="46"/>
  <c r="K16" i="46"/>
  <c r="K15" i="46"/>
  <c r="K14" i="46"/>
  <c r="K12" i="46"/>
  <c r="H12" i="46" s="1"/>
  <c r="K11" i="46"/>
  <c r="I11" i="46" s="1"/>
  <c r="J11" i="46" s="1"/>
  <c r="K10" i="46"/>
  <c r="C6" i="46"/>
  <c r="AI101" i="5" l="1"/>
  <c r="AB23" i="1"/>
  <c r="AI11" i="5"/>
  <c r="H47" i="4"/>
  <c r="I15" i="46"/>
  <c r="J15" i="46" s="1"/>
  <c r="H15" i="46"/>
  <c r="H21" i="46"/>
  <c r="I21" i="46"/>
  <c r="J21" i="46" s="1"/>
  <c r="H25" i="46"/>
  <c r="I25" i="46"/>
  <c r="J25" i="46" s="1"/>
  <c r="H14" i="46"/>
  <c r="I14" i="46"/>
  <c r="J14" i="46" s="1"/>
  <c r="I16" i="46"/>
  <c r="J16" i="46" s="1"/>
  <c r="H16" i="46"/>
  <c r="I20" i="46"/>
  <c r="J20" i="46" s="1"/>
  <c r="H20" i="46"/>
  <c r="H22" i="46"/>
  <c r="I22" i="46"/>
  <c r="J22" i="46" s="1"/>
  <c r="I24" i="46"/>
  <c r="J24" i="46" s="1"/>
  <c r="H24" i="46"/>
  <c r="H26" i="46"/>
  <c r="I26" i="46"/>
  <c r="J26" i="46" s="1"/>
  <c r="I28" i="46"/>
  <c r="J28" i="46" s="1"/>
  <c r="H28" i="46"/>
  <c r="H30" i="46"/>
  <c r="I30" i="46"/>
  <c r="J30" i="46" s="1"/>
  <c r="I32" i="46"/>
  <c r="J32" i="46" s="1"/>
  <c r="H32" i="46"/>
  <c r="I35" i="46"/>
  <c r="J35" i="46" s="1"/>
  <c r="H35" i="46"/>
  <c r="H37" i="46"/>
  <c r="I37" i="46"/>
  <c r="J37" i="46" s="1"/>
  <c r="I39" i="46"/>
  <c r="J39" i="46" s="1"/>
  <c r="H39" i="46"/>
  <c r="H41" i="46"/>
  <c r="I41" i="46"/>
  <c r="J41" i="46" s="1"/>
  <c r="I43" i="46"/>
  <c r="J43" i="46" s="1"/>
  <c r="H43" i="46"/>
  <c r="H45" i="46"/>
  <c r="I45" i="46"/>
  <c r="J45" i="46" s="1"/>
  <c r="I47" i="46"/>
  <c r="J47" i="46" s="1"/>
  <c r="H47" i="46"/>
  <c r="H49" i="46"/>
  <c r="I49" i="46"/>
  <c r="J49" i="46" s="1"/>
  <c r="I52" i="46"/>
  <c r="J52" i="46" s="1"/>
  <c r="H52" i="46"/>
  <c r="H54" i="46"/>
  <c r="I54" i="46"/>
  <c r="J54" i="46" s="1"/>
  <c r="I56" i="46"/>
  <c r="J56" i="46" s="1"/>
  <c r="H56" i="46"/>
  <c r="H58" i="46"/>
  <c r="I58" i="46"/>
  <c r="J58" i="46" s="1"/>
  <c r="H60" i="46"/>
  <c r="I60" i="46"/>
  <c r="J60" i="46" s="1"/>
  <c r="I62" i="46"/>
  <c r="J62" i="46" s="1"/>
  <c r="H62" i="46"/>
  <c r="H64" i="46"/>
  <c r="I64" i="46"/>
  <c r="J64" i="46" s="1"/>
  <c r="H67" i="46"/>
  <c r="I67" i="46"/>
  <c r="J67" i="46" s="1"/>
  <c r="I69" i="46"/>
  <c r="J69" i="46" s="1"/>
  <c r="H69" i="46"/>
  <c r="H71" i="46"/>
  <c r="I71" i="46"/>
  <c r="J71" i="46" s="1"/>
  <c r="I74" i="46"/>
  <c r="J74" i="46" s="1"/>
  <c r="H74" i="46"/>
  <c r="H76" i="46"/>
  <c r="I76" i="46"/>
  <c r="J76" i="46" s="1"/>
  <c r="I78" i="46"/>
  <c r="J78" i="46" s="1"/>
  <c r="H78" i="46"/>
  <c r="H81" i="46"/>
  <c r="I81" i="46"/>
  <c r="J81" i="46" s="1"/>
  <c r="H13" i="46"/>
  <c r="I13" i="46"/>
  <c r="J13" i="46" s="1"/>
  <c r="H17" i="46"/>
  <c r="I17" i="46"/>
  <c r="J17" i="46" s="1"/>
  <c r="I23" i="46"/>
  <c r="J23" i="46" s="1"/>
  <c r="H23" i="46"/>
  <c r="I27" i="46"/>
  <c r="J27" i="46" s="1"/>
  <c r="H27" i="46"/>
  <c r="H29" i="46"/>
  <c r="I29" i="46"/>
  <c r="J29" i="46" s="1"/>
  <c r="I31" i="46"/>
  <c r="J31" i="46" s="1"/>
  <c r="H31" i="46"/>
  <c r="H33" i="46"/>
  <c r="I33" i="46"/>
  <c r="J33" i="46" s="1"/>
  <c r="I36" i="46"/>
  <c r="J36" i="46" s="1"/>
  <c r="H36" i="46"/>
  <c r="H38" i="46"/>
  <c r="I38" i="46"/>
  <c r="J38" i="46" s="1"/>
  <c r="I40" i="46"/>
  <c r="J40" i="46" s="1"/>
  <c r="H40" i="46"/>
  <c r="H42" i="46"/>
  <c r="I42" i="46"/>
  <c r="J42" i="46" s="1"/>
  <c r="I44" i="46"/>
  <c r="J44" i="46" s="1"/>
  <c r="H44" i="46"/>
  <c r="H46" i="46"/>
  <c r="I46" i="46"/>
  <c r="J46" i="46" s="1"/>
  <c r="I48" i="46"/>
  <c r="J48" i="46" s="1"/>
  <c r="H48" i="46"/>
  <c r="I51" i="46"/>
  <c r="J51" i="46" s="1"/>
  <c r="H51" i="46"/>
  <c r="H53" i="46"/>
  <c r="I53" i="46"/>
  <c r="J53" i="46" s="1"/>
  <c r="I55" i="46"/>
  <c r="J55" i="46" s="1"/>
  <c r="H55" i="46"/>
  <c r="H57" i="46"/>
  <c r="I57" i="46"/>
  <c r="J57" i="46" s="1"/>
  <c r="I59" i="46"/>
  <c r="J59" i="46" s="1"/>
  <c r="H59" i="46"/>
  <c r="I61" i="46"/>
  <c r="J61" i="46" s="1"/>
  <c r="H61" i="46"/>
  <c r="H63" i="46"/>
  <c r="I63" i="46"/>
  <c r="J63" i="46" s="1"/>
  <c r="I65" i="46"/>
  <c r="J65" i="46" s="1"/>
  <c r="H65" i="46"/>
  <c r="H68" i="46"/>
  <c r="I68" i="46"/>
  <c r="J68" i="46" s="1"/>
  <c r="I70" i="46"/>
  <c r="J70" i="46" s="1"/>
  <c r="H70" i="46"/>
  <c r="I73" i="46"/>
  <c r="J73" i="46" s="1"/>
  <c r="H73" i="46"/>
  <c r="H75" i="46"/>
  <c r="I75" i="46"/>
  <c r="J75" i="46" s="1"/>
  <c r="I77" i="46"/>
  <c r="J77" i="46" s="1"/>
  <c r="H77" i="46"/>
  <c r="H80" i="46"/>
  <c r="I80" i="46"/>
  <c r="J80" i="46" s="1"/>
  <c r="AF73" i="5"/>
  <c r="Z25" i="4"/>
  <c r="J202" i="46"/>
  <c r="G25" i="11" s="1"/>
  <c r="K93" i="46"/>
  <c r="I203" i="46"/>
  <c r="J47" i="4"/>
  <c r="L47" i="4"/>
  <c r="N47" i="4"/>
  <c r="P47" i="4"/>
  <c r="R47" i="4"/>
  <c r="T47" i="4"/>
  <c r="V47" i="4"/>
  <c r="X47" i="4"/>
  <c r="Z47" i="4"/>
  <c r="AB47" i="4"/>
  <c r="I47" i="4"/>
  <c r="K47" i="4"/>
  <c r="M47" i="4"/>
  <c r="O47" i="4"/>
  <c r="Q47" i="4"/>
  <c r="S47" i="4"/>
  <c r="U47" i="4"/>
  <c r="W47" i="4"/>
  <c r="Y47" i="4"/>
  <c r="AA47" i="4"/>
  <c r="AC47" i="4"/>
  <c r="D27" i="11"/>
  <c r="D32" i="11" s="1"/>
  <c r="J104" i="46"/>
  <c r="F26" i="11"/>
  <c r="I10" i="46"/>
  <c r="J10" i="46" s="1"/>
  <c r="E32" i="9"/>
  <c r="E30" i="9"/>
  <c r="C23" i="9"/>
  <c r="C25" i="9" s="1"/>
  <c r="I12" i="46"/>
  <c r="J12" i="46" s="1"/>
  <c r="H11" i="46"/>
  <c r="H10" i="46"/>
  <c r="AG73" i="5" l="1"/>
  <c r="AA25" i="4"/>
  <c r="G202" i="46"/>
  <c r="I202" i="46"/>
  <c r="H202" i="46"/>
  <c r="J200" i="46"/>
  <c r="J211" i="46" s="1"/>
  <c r="J201" i="46"/>
  <c r="G24" i="11" s="1"/>
  <c r="G23" i="11" s="1"/>
  <c r="G32" i="11" s="1"/>
  <c r="H93" i="46"/>
  <c r="I93" i="46"/>
  <c r="H200" i="46" s="1"/>
  <c r="AH47" i="4"/>
  <c r="AI47" i="4" s="1"/>
  <c r="E45" i="9"/>
  <c r="F27" i="11"/>
  <c r="F32" i="9"/>
  <c r="F30" i="9"/>
  <c r="H211" i="46" l="1"/>
  <c r="AH73" i="5"/>
  <c r="AB25" i="4"/>
  <c r="AA32" i="4"/>
  <c r="H201" i="46"/>
  <c r="G201" i="46"/>
  <c r="G200" i="46"/>
  <c r="AA39" i="4" s="1"/>
  <c r="J93" i="46"/>
  <c r="F45" i="9"/>
  <c r="K202" i="46"/>
  <c r="H23" i="11"/>
  <c r="H30" i="11"/>
  <c r="H26" i="11"/>
  <c r="H27" i="11"/>
  <c r="F25" i="11"/>
  <c r="G30" i="9"/>
  <c r="G32" i="9"/>
  <c r="K89" i="5"/>
  <c r="L89" i="5"/>
  <c r="M89" i="5"/>
  <c r="N89" i="5"/>
  <c r="O89" i="5"/>
  <c r="P89" i="5"/>
  <c r="Q89" i="5"/>
  <c r="R89" i="5"/>
  <c r="S89" i="5"/>
  <c r="T89" i="5"/>
  <c r="U89" i="5"/>
  <c r="V89" i="5"/>
  <c r="W89" i="5"/>
  <c r="X89" i="5"/>
  <c r="Y89" i="5"/>
  <c r="Z89" i="5"/>
  <c r="AA89" i="5"/>
  <c r="AB89" i="5"/>
  <c r="AC89" i="5"/>
  <c r="AD89" i="5"/>
  <c r="AE89" i="5"/>
  <c r="AF89" i="5"/>
  <c r="AG89" i="5"/>
  <c r="AH89" i="5"/>
  <c r="AI89" i="5"/>
  <c r="AJ89" i="5"/>
  <c r="K57" i="5"/>
  <c r="L57" i="5"/>
  <c r="M57" i="5"/>
  <c r="N57" i="5"/>
  <c r="O57" i="5"/>
  <c r="P57" i="5"/>
  <c r="Q57" i="5"/>
  <c r="R57" i="5"/>
  <c r="S57" i="5"/>
  <c r="T57" i="5"/>
  <c r="U57" i="5"/>
  <c r="V57" i="5"/>
  <c r="W57" i="5"/>
  <c r="X57" i="5"/>
  <c r="Y57" i="5"/>
  <c r="Z57" i="5"/>
  <c r="AA57" i="5"/>
  <c r="AB57" i="5"/>
  <c r="AC57" i="5"/>
  <c r="AD57" i="5"/>
  <c r="AE57" i="5"/>
  <c r="AF57" i="5"/>
  <c r="K50" i="5"/>
  <c r="AC27" i="45"/>
  <c r="T45" i="5"/>
  <c r="R28" i="45"/>
  <c r="S28" i="45"/>
  <c r="H39" i="4" l="1"/>
  <c r="I39" i="4"/>
  <c r="J39" i="4"/>
  <c r="K39" i="4"/>
  <c r="L39" i="4"/>
  <c r="M39" i="4"/>
  <c r="N39" i="4"/>
  <c r="O39" i="4"/>
  <c r="P39" i="4"/>
  <c r="Q39" i="4"/>
  <c r="R39" i="4"/>
  <c r="S39" i="4"/>
  <c r="T39" i="4"/>
  <c r="U39" i="4"/>
  <c r="V39" i="4"/>
  <c r="W39" i="4"/>
  <c r="X39" i="4"/>
  <c r="Y39" i="4"/>
  <c r="Z39" i="4"/>
  <c r="AB39" i="4"/>
  <c r="G211" i="46"/>
  <c r="G212" i="46" s="1"/>
  <c r="G39" i="4"/>
  <c r="AI73" i="5"/>
  <c r="P121" i="5"/>
  <c r="AC25" i="4"/>
  <c r="I201" i="46"/>
  <c r="I200" i="46"/>
  <c r="I211" i="46" s="1"/>
  <c r="G45" i="9"/>
  <c r="D40" i="1"/>
  <c r="K209" i="46"/>
  <c r="K205" i="46"/>
  <c r="K200" i="46"/>
  <c r="K208" i="46"/>
  <c r="K201" i="46"/>
  <c r="K207" i="46"/>
  <c r="K203" i="46"/>
  <c r="K210" i="46"/>
  <c r="K204" i="46"/>
  <c r="K206" i="46"/>
  <c r="H32" i="11"/>
  <c r="F24" i="11"/>
  <c r="F23" i="11" s="1"/>
  <c r="F32" i="11" s="1"/>
  <c r="I28" i="45"/>
  <c r="H30" i="9"/>
  <c r="I32" i="9" s="1"/>
  <c r="H32" i="9"/>
  <c r="M28" i="45"/>
  <c r="G28" i="45"/>
  <c r="Q24" i="5"/>
  <c r="Q120" i="5" s="1"/>
  <c r="V24" i="5"/>
  <c r="V120" i="5" s="1"/>
  <c r="X24" i="5"/>
  <c r="X120" i="5" s="1"/>
  <c r="Y24" i="5"/>
  <c r="Y120" i="5" s="1"/>
  <c r="Z24" i="5"/>
  <c r="Z120" i="5" s="1"/>
  <c r="AB24" i="5"/>
  <c r="AB120" i="5" s="1"/>
  <c r="AC24" i="5"/>
  <c r="AC120" i="5" s="1"/>
  <c r="AD24" i="5"/>
  <c r="AD120" i="5" s="1"/>
  <c r="AE24" i="5"/>
  <c r="AE120" i="5" s="1"/>
  <c r="AF24" i="5"/>
  <c r="AF120" i="5" s="1"/>
  <c r="AG24" i="5"/>
  <c r="AG120" i="5" s="1"/>
  <c r="AH24" i="5"/>
  <c r="AH120" i="5" s="1"/>
  <c r="AI24" i="5"/>
  <c r="AI120" i="5" s="1"/>
  <c r="AJ24" i="5"/>
  <c r="AJ120" i="5" s="1"/>
  <c r="O39" i="5"/>
  <c r="P39" i="5"/>
  <c r="V39" i="5"/>
  <c r="V121" i="5" s="1"/>
  <c r="X39" i="5"/>
  <c r="X121" i="5" s="1"/>
  <c r="Y39" i="5"/>
  <c r="Y121" i="5" s="1"/>
  <c r="AD39" i="5"/>
  <c r="AD121" i="5" s="1"/>
  <c r="AH39" i="5"/>
  <c r="AC39" i="4" l="1"/>
  <c r="F40" i="1"/>
  <c r="AJ73" i="5"/>
  <c r="AD25" i="4"/>
  <c r="H45" i="9"/>
  <c r="W37" i="1"/>
  <c r="Q37" i="1"/>
  <c r="AC36" i="1"/>
  <c r="AA36" i="1"/>
  <c r="Y36" i="1"/>
  <c r="W36" i="1"/>
  <c r="U36" i="1"/>
  <c r="R36" i="1"/>
  <c r="O36" i="1"/>
  <c r="R37" i="1"/>
  <c r="O37" i="1"/>
  <c r="I37" i="1"/>
  <c r="AB36" i="1"/>
  <c r="Z36" i="1"/>
  <c r="X36" i="1"/>
  <c r="V36" i="1"/>
  <c r="S36" i="1"/>
  <c r="Q36" i="1"/>
  <c r="J36" i="1"/>
  <c r="I30" i="9"/>
  <c r="K14" i="5"/>
  <c r="K27" i="5" s="1"/>
  <c r="K42" i="5" s="1"/>
  <c r="K53" i="5" s="1"/>
  <c r="K60" i="5" s="1"/>
  <c r="K66" i="5" s="1"/>
  <c r="K78" i="5" s="1"/>
  <c r="L14" i="5"/>
  <c r="L27" i="5" s="1"/>
  <c r="L42" i="5" s="1"/>
  <c r="L53" i="5" s="1"/>
  <c r="L60" i="5" s="1"/>
  <c r="L66" i="5" s="1"/>
  <c r="L78" i="5" s="1"/>
  <c r="L86" i="5" s="1"/>
  <c r="M14" i="5"/>
  <c r="M27" i="5" s="1"/>
  <c r="M42" i="5" s="1"/>
  <c r="M53" i="5" s="1"/>
  <c r="M60" i="5" s="1"/>
  <c r="M66" i="5" s="1"/>
  <c r="M78" i="5" s="1"/>
  <c r="M86" i="5" s="1"/>
  <c r="N14" i="5"/>
  <c r="N27" i="5" s="1"/>
  <c r="N42" i="5" s="1"/>
  <c r="N53" i="5" s="1"/>
  <c r="N60" i="5" s="1"/>
  <c r="O14" i="5"/>
  <c r="O27" i="5" s="1"/>
  <c r="O42" i="5" s="1"/>
  <c r="O53" i="5" s="1"/>
  <c r="O60" i="5" s="1"/>
  <c r="O66" i="5" s="1"/>
  <c r="O78" i="5" s="1"/>
  <c r="O86" i="5" s="1"/>
  <c r="P14" i="5"/>
  <c r="P27" i="5" s="1"/>
  <c r="P42" i="5" s="1"/>
  <c r="P53" i="5" s="1"/>
  <c r="P60" i="5" s="1"/>
  <c r="P66" i="5" s="1"/>
  <c r="P78" i="5" s="1"/>
  <c r="P86" i="5" s="1"/>
  <c r="Q14" i="5"/>
  <c r="Q27" i="5" s="1"/>
  <c r="Q42" i="5" s="1"/>
  <c r="Q53" i="5" s="1"/>
  <c r="Q60" i="5" s="1"/>
  <c r="Q66" i="5" s="1"/>
  <c r="Q78" i="5" s="1"/>
  <c r="Q86" i="5" s="1"/>
  <c r="R14" i="5"/>
  <c r="R27" i="5" s="1"/>
  <c r="R42" i="5" s="1"/>
  <c r="R53" i="5" s="1"/>
  <c r="R60" i="5" s="1"/>
  <c r="R66" i="5" s="1"/>
  <c r="R78" i="5" s="1"/>
  <c r="R86" i="5" s="1"/>
  <c r="S14" i="5"/>
  <c r="S27" i="5" s="1"/>
  <c r="S42" i="5" s="1"/>
  <c r="S53" i="5" s="1"/>
  <c r="S60" i="5" s="1"/>
  <c r="S66" i="5" s="1"/>
  <c r="S78" i="5" s="1"/>
  <c r="S86" i="5" s="1"/>
  <c r="T14" i="5"/>
  <c r="T27" i="5" s="1"/>
  <c r="T42" i="5" s="1"/>
  <c r="T53" i="5" s="1"/>
  <c r="T60" i="5" s="1"/>
  <c r="T66" i="5" s="1"/>
  <c r="T78" i="5" s="1"/>
  <c r="T86" i="5" s="1"/>
  <c r="U14" i="5"/>
  <c r="U27" i="5" s="1"/>
  <c r="U42" i="5" s="1"/>
  <c r="U53" i="5" s="1"/>
  <c r="U60" i="5" s="1"/>
  <c r="U66" i="5" s="1"/>
  <c r="U78" i="5" s="1"/>
  <c r="U86" i="5" s="1"/>
  <c r="V14" i="5"/>
  <c r="V27" i="5" s="1"/>
  <c r="V42" i="5" s="1"/>
  <c r="V53" i="5" s="1"/>
  <c r="V60" i="5" s="1"/>
  <c r="V66" i="5" s="1"/>
  <c r="V78" i="5" s="1"/>
  <c r="V86" i="5" s="1"/>
  <c r="W14" i="5"/>
  <c r="W27" i="5" s="1"/>
  <c r="W42" i="5" s="1"/>
  <c r="W53" i="5" s="1"/>
  <c r="W60" i="5" s="1"/>
  <c r="W66" i="5" s="1"/>
  <c r="W78" i="5" s="1"/>
  <c r="W86" i="5" s="1"/>
  <c r="X14" i="5"/>
  <c r="X27" i="5" s="1"/>
  <c r="X42" i="5" s="1"/>
  <c r="X53" i="5" s="1"/>
  <c r="X60" i="5" s="1"/>
  <c r="X66" i="5" s="1"/>
  <c r="X78" i="5" s="1"/>
  <c r="X86" i="5" s="1"/>
  <c r="Y14" i="5"/>
  <c r="Y27" i="5" s="1"/>
  <c r="Y42" i="5" s="1"/>
  <c r="Y53" i="5" s="1"/>
  <c r="Y60" i="5" s="1"/>
  <c r="Y66" i="5" s="1"/>
  <c r="Y78" i="5" s="1"/>
  <c r="Y86" i="5" s="1"/>
  <c r="Z14" i="5"/>
  <c r="Z27" i="5" s="1"/>
  <c r="Z42" i="5" s="1"/>
  <c r="Z53" i="5" s="1"/>
  <c r="Z60" i="5" s="1"/>
  <c r="Z66" i="5" s="1"/>
  <c r="Z78" i="5" s="1"/>
  <c r="Z86" i="5" s="1"/>
  <c r="AA14" i="5"/>
  <c r="AA27" i="5" s="1"/>
  <c r="AA42" i="5" s="1"/>
  <c r="AA53" i="5" s="1"/>
  <c r="AA60" i="5" s="1"/>
  <c r="AA66" i="5" s="1"/>
  <c r="AA78" i="5" s="1"/>
  <c r="AA86" i="5" s="1"/>
  <c r="AB14" i="5"/>
  <c r="AB27" i="5" s="1"/>
  <c r="AB42" i="5" s="1"/>
  <c r="AB53" i="5" s="1"/>
  <c r="AB60" i="5" s="1"/>
  <c r="AB66" i="5" s="1"/>
  <c r="AB78" i="5" s="1"/>
  <c r="AB86" i="5" s="1"/>
  <c r="AC14" i="5"/>
  <c r="AC27" i="5" s="1"/>
  <c r="AC42" i="5" s="1"/>
  <c r="AC53" i="5" s="1"/>
  <c r="AC60" i="5" s="1"/>
  <c r="AC66" i="5" s="1"/>
  <c r="AC78" i="5" s="1"/>
  <c r="AC86" i="5" s="1"/>
  <c r="AD14" i="5"/>
  <c r="AD27" i="5" s="1"/>
  <c r="AD42" i="5" s="1"/>
  <c r="AD53" i="5" s="1"/>
  <c r="AD60" i="5" s="1"/>
  <c r="AD66" i="5" s="1"/>
  <c r="AD78" i="5" s="1"/>
  <c r="AD86" i="5" s="1"/>
  <c r="AE14" i="5"/>
  <c r="AE27" i="5" s="1"/>
  <c r="AE42" i="5" s="1"/>
  <c r="AE53" i="5" s="1"/>
  <c r="AE60" i="5" s="1"/>
  <c r="AE66" i="5" s="1"/>
  <c r="AE78" i="5" s="1"/>
  <c r="AE86" i="5" s="1"/>
  <c r="AF14" i="5"/>
  <c r="AF27" i="5" s="1"/>
  <c r="AF42" i="5" s="1"/>
  <c r="AF53" i="5" s="1"/>
  <c r="AF60" i="5" s="1"/>
  <c r="AF66" i="5" s="1"/>
  <c r="AF78" i="5" s="1"/>
  <c r="AF86" i="5" s="1"/>
  <c r="AG14" i="5"/>
  <c r="AG27" i="5" s="1"/>
  <c r="AG42" i="5" s="1"/>
  <c r="AG53" i="5" s="1"/>
  <c r="AG60" i="5" s="1"/>
  <c r="AG66" i="5" s="1"/>
  <c r="AG78" i="5" s="1"/>
  <c r="AG86" i="5" s="1"/>
  <c r="AH14" i="5"/>
  <c r="AH27" i="5" s="1"/>
  <c r="AH42" i="5" s="1"/>
  <c r="AH53" i="5" s="1"/>
  <c r="AH60" i="5" s="1"/>
  <c r="AH66" i="5" s="1"/>
  <c r="AH78" i="5" s="1"/>
  <c r="AH86" i="5" s="1"/>
  <c r="AI14" i="5"/>
  <c r="AI27" i="5" s="1"/>
  <c r="AI42" i="5" s="1"/>
  <c r="AI53" i="5" s="1"/>
  <c r="AI60" i="5" s="1"/>
  <c r="AI66" i="5" s="1"/>
  <c r="AI78" i="5" s="1"/>
  <c r="AI86" i="5" s="1"/>
  <c r="AJ14" i="5"/>
  <c r="AJ27" i="5" s="1"/>
  <c r="AJ42" i="5" s="1"/>
  <c r="AJ53" i="5" s="1"/>
  <c r="AJ60" i="5" s="1"/>
  <c r="AJ66" i="5" s="1"/>
  <c r="AJ78" i="5" s="1"/>
  <c r="AJ86" i="5" s="1"/>
  <c r="D33" i="37"/>
  <c r="D31" i="37"/>
  <c r="AD39" i="4" l="1"/>
  <c r="AD74" i="4" s="1"/>
  <c r="AK73" i="5"/>
  <c r="AE25" i="4"/>
  <c r="J30" i="9"/>
  <c r="J32" i="9"/>
  <c r="I45" i="9"/>
  <c r="N66" i="5"/>
  <c r="N78" i="5" s="1"/>
  <c r="N86" i="5" s="1"/>
  <c r="D32" i="37"/>
  <c r="G32" i="37" s="1"/>
  <c r="C19" i="45" s="1"/>
  <c r="D30" i="37"/>
  <c r="G30" i="37" s="1"/>
  <c r="C17" i="45" s="1"/>
  <c r="D17" i="37"/>
  <c r="G17" i="37" s="1"/>
  <c r="D19" i="37"/>
  <c r="D18" i="37"/>
  <c r="D16" i="37"/>
  <c r="AF25" i="4" l="1"/>
  <c r="AG25" i="4" s="1"/>
  <c r="AN73" i="5" s="1"/>
  <c r="AE39" i="4"/>
  <c r="AE74" i="4" s="1"/>
  <c r="AL73" i="5"/>
  <c r="K30" i="9"/>
  <c r="K32" i="9"/>
  <c r="C13" i="45"/>
  <c r="R17" i="45"/>
  <c r="T17" i="45"/>
  <c r="V17" i="45"/>
  <c r="Q17" i="45"/>
  <c r="S17" i="45"/>
  <c r="U17" i="45"/>
  <c r="X19" i="45"/>
  <c r="W19" i="45"/>
  <c r="J45" i="9"/>
  <c r="H17" i="37"/>
  <c r="L17" i="37"/>
  <c r="H32" i="37"/>
  <c r="L32" i="37"/>
  <c r="H30" i="37"/>
  <c r="L30" i="37"/>
  <c r="S26" i="1" l="1"/>
  <c r="Z109" i="5"/>
  <c r="R26" i="1"/>
  <c r="Y109" i="5"/>
  <c r="U26" i="1"/>
  <c r="AB109" i="5"/>
  <c r="Q26" i="1"/>
  <c r="X109" i="5"/>
  <c r="T26" i="1"/>
  <c r="AA109" i="5"/>
  <c r="V26" i="1"/>
  <c r="AC109" i="5"/>
  <c r="AM73" i="5"/>
  <c r="AF39" i="4"/>
  <c r="AF74" i="4" s="1"/>
  <c r="L30" i="9"/>
  <c r="L32" i="9"/>
  <c r="S13" i="45"/>
  <c r="T13" i="45"/>
  <c r="AB19" i="45"/>
  <c r="AB17" i="45"/>
  <c r="K45" i="9"/>
  <c r="L45" i="9"/>
  <c r="I30" i="37"/>
  <c r="N30" i="37" s="1"/>
  <c r="M30" i="37"/>
  <c r="I32" i="37"/>
  <c r="N32" i="37" s="1"/>
  <c r="M32" i="37"/>
  <c r="I17" i="37"/>
  <c r="M17" i="37"/>
  <c r="G31" i="37"/>
  <c r="H16" i="47" s="1"/>
  <c r="S27" i="1" l="1"/>
  <c r="S8" i="45"/>
  <c r="Z43" i="5" s="1"/>
  <c r="Z110" i="5"/>
  <c r="T27" i="1"/>
  <c r="T8" i="45"/>
  <c r="AA43" i="5" s="1"/>
  <c r="AA110" i="5"/>
  <c r="N17" i="37"/>
  <c r="AB13" i="45"/>
  <c r="AC13" i="45" s="1"/>
  <c r="E110" i="5"/>
  <c r="K16" i="47"/>
  <c r="M30" i="9"/>
  <c r="M32" i="9"/>
  <c r="Y43" i="5"/>
  <c r="M45" i="9"/>
  <c r="AC19" i="45"/>
  <c r="L31" i="37"/>
  <c r="C18" i="45"/>
  <c r="AC17" i="45"/>
  <c r="H31" i="37"/>
  <c r="G33" i="37"/>
  <c r="C20" i="45" s="1"/>
  <c r="D34" i="37"/>
  <c r="G34" i="37" s="1"/>
  <c r="C21" i="45" s="1"/>
  <c r="H110" i="5" l="1"/>
  <c r="K15" i="47"/>
  <c r="N30" i="9"/>
  <c r="N32" i="9"/>
  <c r="R20" i="45"/>
  <c r="T20" i="45"/>
  <c r="V20" i="45"/>
  <c r="X20" i="45"/>
  <c r="Z20" i="45"/>
  <c r="Q20" i="45"/>
  <c r="S20" i="45"/>
  <c r="U20" i="45"/>
  <c r="W20" i="45"/>
  <c r="Y20" i="45"/>
  <c r="R21" i="45"/>
  <c r="T21" i="45"/>
  <c r="V21" i="45"/>
  <c r="X21" i="45"/>
  <c r="Z21" i="45"/>
  <c r="Q21" i="45"/>
  <c r="S21" i="45"/>
  <c r="U21" i="45"/>
  <c r="W21" i="45"/>
  <c r="Y21" i="45"/>
  <c r="V18" i="45"/>
  <c r="X18" i="45"/>
  <c r="Z18" i="45"/>
  <c r="U18" i="45"/>
  <c r="W18" i="45"/>
  <c r="Y18" i="45"/>
  <c r="H33" i="37"/>
  <c r="L33" i="37"/>
  <c r="H34" i="37"/>
  <c r="L34" i="37"/>
  <c r="I31" i="37"/>
  <c r="M31" i="37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W29" i="1" l="1"/>
  <c r="AD112" i="5"/>
  <c r="R29" i="1"/>
  <c r="Y112" i="5"/>
  <c r="V28" i="1"/>
  <c r="AC111" i="5"/>
  <c r="Y27" i="1"/>
  <c r="AF110" i="5"/>
  <c r="Y16" i="45"/>
  <c r="U29" i="1"/>
  <c r="AB112" i="5"/>
  <c r="Y28" i="1"/>
  <c r="AF111" i="5"/>
  <c r="T28" i="1"/>
  <c r="AA111" i="5"/>
  <c r="W28" i="1"/>
  <c r="AD111" i="5"/>
  <c r="R28" i="1"/>
  <c r="Y111" i="5"/>
  <c r="U28" i="1"/>
  <c r="AB111" i="5"/>
  <c r="S29" i="1"/>
  <c r="Z112" i="5"/>
  <c r="U27" i="1"/>
  <c r="AB110" i="5"/>
  <c r="Z27" i="1"/>
  <c r="AG110" i="5"/>
  <c r="Z16" i="45"/>
  <c r="Z29" i="1"/>
  <c r="AG112" i="5"/>
  <c r="S28" i="1"/>
  <c r="Z111" i="5"/>
  <c r="X29" i="1"/>
  <c r="AE112" i="5"/>
  <c r="V27" i="1"/>
  <c r="AC110" i="5"/>
  <c r="V29" i="1"/>
  <c r="AC112" i="5"/>
  <c r="Z28" i="1"/>
  <c r="AG111" i="5"/>
  <c r="W27" i="1"/>
  <c r="AD110" i="5"/>
  <c r="X27" i="1"/>
  <c r="AE110" i="5"/>
  <c r="Y29" i="1"/>
  <c r="AF112" i="5"/>
  <c r="T29" i="1"/>
  <c r="AA112" i="5"/>
  <c r="X28" i="1"/>
  <c r="AE111" i="5"/>
  <c r="N31" i="37"/>
  <c r="F42" i="11"/>
  <c r="H109" i="5"/>
  <c r="K13" i="47"/>
  <c r="H107" i="5" s="1"/>
  <c r="N45" i="9"/>
  <c r="O30" i="9"/>
  <c r="O32" i="9"/>
  <c r="AF44" i="5"/>
  <c r="Y26" i="45"/>
  <c r="AB18" i="45"/>
  <c r="AB21" i="45"/>
  <c r="AC21" i="45" s="1"/>
  <c r="AB20" i="45"/>
  <c r="AC20" i="45" s="1"/>
  <c r="I34" i="37"/>
  <c r="N34" i="37" s="1"/>
  <c r="M34" i="37"/>
  <c r="I33" i="37"/>
  <c r="N33" i="37" s="1"/>
  <c r="M33" i="37"/>
  <c r="F37" i="5"/>
  <c r="F38" i="5"/>
  <c r="H38" i="5" s="1"/>
  <c r="AF38" i="5" s="1"/>
  <c r="F36" i="5"/>
  <c r="F35" i="5"/>
  <c r="F34" i="5"/>
  <c r="F32" i="5"/>
  <c r="F31" i="5"/>
  <c r="AH27" i="1" l="1"/>
  <c r="AI27" i="1" s="1"/>
  <c r="AG44" i="5"/>
  <c r="Z26" i="45"/>
  <c r="AO110" i="5"/>
  <c r="O45" i="9"/>
  <c r="P30" i="9"/>
  <c r="P32" i="9"/>
  <c r="AO38" i="5"/>
  <c r="AP38" i="5" s="1"/>
  <c r="AC18" i="45"/>
  <c r="H34" i="5"/>
  <c r="AF34" i="5" s="1"/>
  <c r="H35" i="5"/>
  <c r="AF35" i="5" s="1"/>
  <c r="H32" i="5"/>
  <c r="N32" i="5" s="1"/>
  <c r="H36" i="5"/>
  <c r="H37" i="5"/>
  <c r="AF37" i="5" s="1"/>
  <c r="H31" i="5"/>
  <c r="M31" i="5" s="1"/>
  <c r="L39" i="5" s="1"/>
  <c r="L121" i="5" s="1"/>
  <c r="F18" i="5"/>
  <c r="F17" i="5"/>
  <c r="F15" i="5"/>
  <c r="D35" i="37"/>
  <c r="G35" i="37" s="1"/>
  <c r="H19" i="47" s="1"/>
  <c r="G47" i="37"/>
  <c r="C25" i="45" s="1"/>
  <c r="G46" i="37"/>
  <c r="G14" i="37"/>
  <c r="G13" i="37"/>
  <c r="D19" i="5"/>
  <c r="AF36" i="5" l="1"/>
  <c r="AG36" i="5" s="1"/>
  <c r="J15" i="5"/>
  <c r="G15" i="5"/>
  <c r="H15" i="5" s="1"/>
  <c r="G18" i="5"/>
  <c r="H18" i="5" s="1"/>
  <c r="K18" i="5"/>
  <c r="G17" i="5"/>
  <c r="K17" i="5"/>
  <c r="E37" i="1"/>
  <c r="H14" i="47"/>
  <c r="E113" i="5"/>
  <c r="I19" i="47"/>
  <c r="F113" i="5" s="1"/>
  <c r="P45" i="9"/>
  <c r="Q30" i="9"/>
  <c r="Q32" i="9"/>
  <c r="AO31" i="5"/>
  <c r="AP31" i="5" s="1"/>
  <c r="AO35" i="5"/>
  <c r="AP35" i="5" s="1"/>
  <c r="AO37" i="5"/>
  <c r="AO32" i="5"/>
  <c r="AP32" i="5" s="1"/>
  <c r="AB39" i="5"/>
  <c r="AB121" i="5" s="1"/>
  <c r="AO34" i="5"/>
  <c r="AP34" i="5" s="1"/>
  <c r="C24" i="45"/>
  <c r="W24" i="45" s="1"/>
  <c r="W23" i="45" s="1"/>
  <c r="H46" i="37"/>
  <c r="Z25" i="45"/>
  <c r="W25" i="45"/>
  <c r="W39" i="5"/>
  <c r="W121" i="5" s="1"/>
  <c r="M72" i="5"/>
  <c r="AF39" i="5"/>
  <c r="AF121" i="5" s="1"/>
  <c r="M39" i="5"/>
  <c r="M121" i="5" s="1"/>
  <c r="L15" i="37"/>
  <c r="C11" i="45"/>
  <c r="L35" i="37"/>
  <c r="L37" i="37" s="1"/>
  <c r="C22" i="45"/>
  <c r="G37" i="37"/>
  <c r="L13" i="37"/>
  <c r="C9" i="45"/>
  <c r="L14" i="37"/>
  <c r="C10" i="45"/>
  <c r="L47" i="37"/>
  <c r="L46" i="37"/>
  <c r="D20" i="5"/>
  <c r="D21" i="5" s="1"/>
  <c r="D22" i="5" s="1"/>
  <c r="D23" i="5" s="1"/>
  <c r="F23" i="5" s="1"/>
  <c r="H13" i="37"/>
  <c r="H14" i="37"/>
  <c r="H35" i="37"/>
  <c r="H37" i="37" s="1"/>
  <c r="H15" i="37"/>
  <c r="G16" i="37"/>
  <c r="H15" i="47" s="1"/>
  <c r="H55" i="5"/>
  <c r="AH55" i="5" s="1"/>
  <c r="AI55" i="5" s="1"/>
  <c r="AJ55" i="5" s="1"/>
  <c r="AJ57" i="5" s="1"/>
  <c r="H17" i="5"/>
  <c r="G49" i="37"/>
  <c r="H20" i="47" s="1"/>
  <c r="H47" i="37"/>
  <c r="G19" i="37"/>
  <c r="H18" i="47" s="1"/>
  <c r="G18" i="37"/>
  <c r="H17" i="47" s="1"/>
  <c r="F7" i="5"/>
  <c r="F29" i="5"/>
  <c r="F28" i="5"/>
  <c r="F61" i="5"/>
  <c r="H61" i="5" s="1"/>
  <c r="AI61" i="5" s="1"/>
  <c r="F87" i="5"/>
  <c r="H56" i="5"/>
  <c r="AH56" i="5" s="1"/>
  <c r="F81" i="5"/>
  <c r="F82" i="5"/>
  <c r="G57" i="5"/>
  <c r="G63" i="5"/>
  <c r="F16" i="5"/>
  <c r="F19" i="5"/>
  <c r="J19" i="5" s="1"/>
  <c r="C12" i="11"/>
  <c r="J57" i="5"/>
  <c r="J63" i="5"/>
  <c r="J75" i="5"/>
  <c r="J83" i="5"/>
  <c r="J124" i="5" s="1"/>
  <c r="J89" i="5"/>
  <c r="C66" i="4"/>
  <c r="C67" i="4"/>
  <c r="C68" i="4"/>
  <c r="D68" i="4"/>
  <c r="E68" i="4"/>
  <c r="F68" i="4"/>
  <c r="G68" i="4"/>
  <c r="H68" i="4"/>
  <c r="I68" i="4"/>
  <c r="J68" i="4"/>
  <c r="K68" i="4"/>
  <c r="L68" i="4"/>
  <c r="M68" i="4"/>
  <c r="N68" i="4"/>
  <c r="O68" i="4"/>
  <c r="P68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AO14" i="5"/>
  <c r="K86" i="5"/>
  <c r="J14" i="5"/>
  <c r="J27" i="5" s="1"/>
  <c r="J42" i="5" s="1"/>
  <c r="J53" i="5" s="1"/>
  <c r="J60" i="5" s="1"/>
  <c r="J66" i="5" s="1"/>
  <c r="J78" i="5" s="1"/>
  <c r="J86" i="5" s="1"/>
  <c r="C55" i="9"/>
  <c r="E114" i="5" l="1"/>
  <c r="I20" i="47"/>
  <c r="F114" i="5" s="1"/>
  <c r="AO18" i="5"/>
  <c r="AO36" i="5"/>
  <c r="H9" i="45"/>
  <c r="G9" i="45"/>
  <c r="Q24" i="45"/>
  <c r="Q23" i="45" s="1"/>
  <c r="N24" i="45"/>
  <c r="N23" i="45" s="1"/>
  <c r="U45" i="5" s="1"/>
  <c r="W31" i="1"/>
  <c r="AD114" i="5"/>
  <c r="W28" i="45"/>
  <c r="AD45" i="5"/>
  <c r="AO15" i="5"/>
  <c r="AO17" i="5"/>
  <c r="AP17" i="5" s="1"/>
  <c r="I14" i="47"/>
  <c r="F108" i="5" s="1"/>
  <c r="E108" i="5"/>
  <c r="E111" i="5"/>
  <c r="I17" i="47"/>
  <c r="F111" i="5" s="1"/>
  <c r="E109" i="5"/>
  <c r="I15" i="47"/>
  <c r="F109" i="5" s="1"/>
  <c r="I18" i="47"/>
  <c r="F112" i="5" s="1"/>
  <c r="E112" i="5"/>
  <c r="Q45" i="9"/>
  <c r="R30" i="9"/>
  <c r="R32" i="9"/>
  <c r="C38" i="1"/>
  <c r="J122" i="5"/>
  <c r="Y37" i="1"/>
  <c r="P37" i="1"/>
  <c r="U37" i="1"/>
  <c r="C40" i="1"/>
  <c r="C39" i="1"/>
  <c r="J123" i="5"/>
  <c r="F37" i="1"/>
  <c r="AO56" i="5"/>
  <c r="AP56" i="5" s="1"/>
  <c r="F8" i="5"/>
  <c r="H7" i="47" s="1"/>
  <c r="I7" i="47" s="1"/>
  <c r="F9" i="5"/>
  <c r="O9" i="5" s="1"/>
  <c r="AO55" i="5"/>
  <c r="C23" i="45"/>
  <c r="C28" i="45" s="1"/>
  <c r="Z24" i="45"/>
  <c r="Z23" i="45" s="1"/>
  <c r="AH48" i="5"/>
  <c r="AI48" i="5"/>
  <c r="AH49" i="5"/>
  <c r="AA29" i="1" s="1"/>
  <c r="AI49" i="5"/>
  <c r="AB25" i="45"/>
  <c r="AC25" i="45" s="1"/>
  <c r="R22" i="45"/>
  <c r="T22" i="45"/>
  <c r="V22" i="45"/>
  <c r="X22" i="45"/>
  <c r="Q22" i="45"/>
  <c r="S22" i="45"/>
  <c r="U22" i="45"/>
  <c r="W22" i="45"/>
  <c r="M11" i="45"/>
  <c r="O11" i="45"/>
  <c r="N11" i="45"/>
  <c r="J23" i="45"/>
  <c r="W45" i="5"/>
  <c r="P28" i="45"/>
  <c r="N10" i="45"/>
  <c r="M10" i="45"/>
  <c r="O10" i="45"/>
  <c r="V28" i="45"/>
  <c r="N23" i="5"/>
  <c r="P23" i="5"/>
  <c r="AO72" i="5"/>
  <c r="AP72" i="5" s="1"/>
  <c r="AN75" i="5"/>
  <c r="AN122" i="5" s="1"/>
  <c r="AL75" i="5"/>
  <c r="AL122" i="5" s="1"/>
  <c r="O28" i="45"/>
  <c r="F28" i="45"/>
  <c r="G87" i="5"/>
  <c r="G89" i="5" s="1"/>
  <c r="AP87" i="5"/>
  <c r="G16" i="5"/>
  <c r="K16" i="5"/>
  <c r="G82" i="5"/>
  <c r="V84" i="5" s="1"/>
  <c r="U82" i="5"/>
  <c r="U83" i="5" s="1"/>
  <c r="W82" i="5"/>
  <c r="W83" i="5" s="1"/>
  <c r="Y82" i="5"/>
  <c r="Y83" i="5" s="1"/>
  <c r="AA82" i="5"/>
  <c r="AA83" i="5" s="1"/>
  <c r="AC82" i="5"/>
  <c r="AC83" i="5" s="1"/>
  <c r="AE82" i="5"/>
  <c r="AE83" i="5" s="1"/>
  <c r="AG82" i="5"/>
  <c r="AG83" i="5" s="1"/>
  <c r="V82" i="5"/>
  <c r="V83" i="5" s="1"/>
  <c r="V124" i="5" s="1"/>
  <c r="X82" i="5"/>
  <c r="X83" i="5" s="1"/>
  <c r="Z82" i="5"/>
  <c r="Z83" i="5" s="1"/>
  <c r="AB82" i="5"/>
  <c r="AB83" i="5" s="1"/>
  <c r="AD82" i="5"/>
  <c r="AD83" i="5" s="1"/>
  <c r="AF82" i="5"/>
  <c r="AF83" i="5" s="1"/>
  <c r="AH82" i="5"/>
  <c r="AH83" i="5" s="1"/>
  <c r="T82" i="5"/>
  <c r="T83" i="5" s="1"/>
  <c r="K61" i="5"/>
  <c r="L61" i="5"/>
  <c r="L63" i="5" s="1"/>
  <c r="L123" i="5" s="1"/>
  <c r="N61" i="5"/>
  <c r="N63" i="5" s="1"/>
  <c r="N123" i="5" s="1"/>
  <c r="P61" i="5"/>
  <c r="P63" i="5" s="1"/>
  <c r="P123" i="5" s="1"/>
  <c r="R61" i="5"/>
  <c r="R63" i="5" s="1"/>
  <c r="R123" i="5" s="1"/>
  <c r="T61" i="5"/>
  <c r="T63" i="5" s="1"/>
  <c r="T123" i="5" s="1"/>
  <c r="V61" i="5"/>
  <c r="V63" i="5" s="1"/>
  <c r="V123" i="5" s="1"/>
  <c r="X61" i="5"/>
  <c r="X63" i="5" s="1"/>
  <c r="X123" i="5" s="1"/>
  <c r="Z61" i="5"/>
  <c r="Z63" i="5" s="1"/>
  <c r="Z123" i="5" s="1"/>
  <c r="AB61" i="5"/>
  <c r="AB63" i="5" s="1"/>
  <c r="AB123" i="5" s="1"/>
  <c r="AD61" i="5"/>
  <c r="AD63" i="5" s="1"/>
  <c r="AD123" i="5" s="1"/>
  <c r="AF61" i="5"/>
  <c r="AF63" i="5" s="1"/>
  <c r="AF123" i="5" s="1"/>
  <c r="AH61" i="5"/>
  <c r="AH63" i="5" s="1"/>
  <c r="AH123" i="5" s="1"/>
  <c r="AJ63" i="5"/>
  <c r="AJ123" i="5" s="1"/>
  <c r="AL63" i="5"/>
  <c r="AL123" i="5" s="1"/>
  <c r="AN63" i="5"/>
  <c r="AN123" i="5" s="1"/>
  <c r="M61" i="5"/>
  <c r="M63" i="5" s="1"/>
  <c r="M123" i="5" s="1"/>
  <c r="O61" i="5"/>
  <c r="O63" i="5" s="1"/>
  <c r="O123" i="5" s="1"/>
  <c r="Q61" i="5"/>
  <c r="Q63" i="5" s="1"/>
  <c r="Q123" i="5" s="1"/>
  <c r="S61" i="5"/>
  <c r="S63" i="5" s="1"/>
  <c r="S123" i="5" s="1"/>
  <c r="U61" i="5"/>
  <c r="U63" i="5" s="1"/>
  <c r="U123" i="5" s="1"/>
  <c r="W61" i="5"/>
  <c r="W63" i="5" s="1"/>
  <c r="W123" i="5" s="1"/>
  <c r="Y61" i="5"/>
  <c r="Y63" i="5" s="1"/>
  <c r="Y123" i="5" s="1"/>
  <c r="AA61" i="5"/>
  <c r="AA63" i="5" s="1"/>
  <c r="AA123" i="5" s="1"/>
  <c r="AC61" i="5"/>
  <c r="AC63" i="5" s="1"/>
  <c r="AC123" i="5" s="1"/>
  <c r="AE61" i="5"/>
  <c r="AE63" i="5" s="1"/>
  <c r="AE123" i="5" s="1"/>
  <c r="AG61" i="5"/>
  <c r="AG63" i="5" s="1"/>
  <c r="AG123" i="5" s="1"/>
  <c r="AI63" i="5"/>
  <c r="AI123" i="5" s="1"/>
  <c r="AK63" i="5"/>
  <c r="AK123" i="5" s="1"/>
  <c r="AM63" i="5"/>
  <c r="AM123" i="5" s="1"/>
  <c r="AP18" i="5"/>
  <c r="AP15" i="5"/>
  <c r="AI75" i="5"/>
  <c r="AI122" i="5" s="1"/>
  <c r="AP37" i="5"/>
  <c r="M19" i="5"/>
  <c r="K19" i="5"/>
  <c r="G81" i="5"/>
  <c r="L81" i="5"/>
  <c r="L83" i="5" s="1"/>
  <c r="G23" i="5"/>
  <c r="H23" i="5" s="1"/>
  <c r="L23" i="5"/>
  <c r="AG75" i="5"/>
  <c r="AG122" i="5" s="1"/>
  <c r="AJ75" i="5"/>
  <c r="AJ122" i="5" s="1"/>
  <c r="AP36" i="5"/>
  <c r="AK75" i="5"/>
  <c r="AK122" i="5" s="1"/>
  <c r="AN39" i="5"/>
  <c r="AN121" i="5" s="1"/>
  <c r="AM39" i="5"/>
  <c r="AM121" i="5" s="1"/>
  <c r="C16" i="45"/>
  <c r="E16" i="45"/>
  <c r="AF75" i="5"/>
  <c r="AE75" i="5"/>
  <c r="AO27" i="5"/>
  <c r="AO42" i="5" s="1"/>
  <c r="AO53" i="5" s="1"/>
  <c r="AO60" i="5" s="1"/>
  <c r="AO66" i="5" s="1"/>
  <c r="AO78" i="5" s="1"/>
  <c r="AO86" i="5" s="1"/>
  <c r="L18" i="37"/>
  <c r="C14" i="45"/>
  <c r="L19" i="37"/>
  <c r="C15" i="45"/>
  <c r="H28" i="45"/>
  <c r="H38" i="37"/>
  <c r="M38" i="37" s="1"/>
  <c r="H39" i="37"/>
  <c r="M39" i="37" s="1"/>
  <c r="E44" i="5"/>
  <c r="F44" i="5" s="1"/>
  <c r="G39" i="37"/>
  <c r="G38" i="37"/>
  <c r="L38" i="37" s="1"/>
  <c r="T44" i="5"/>
  <c r="U44" i="5"/>
  <c r="L16" i="37"/>
  <c r="C12" i="45"/>
  <c r="L49" i="37"/>
  <c r="F22" i="5"/>
  <c r="I35" i="37"/>
  <c r="M35" i="37"/>
  <c r="M37" i="37" s="1"/>
  <c r="I14" i="37"/>
  <c r="N14" i="37" s="1"/>
  <c r="M14" i="37"/>
  <c r="I46" i="37"/>
  <c r="N46" i="37" s="1"/>
  <c r="M46" i="37"/>
  <c r="H49" i="37"/>
  <c r="I13" i="37"/>
  <c r="N13" i="37" s="1"/>
  <c r="M13" i="37"/>
  <c r="I47" i="37"/>
  <c r="N47" i="37" s="1"/>
  <c r="M47" i="37"/>
  <c r="F20" i="5"/>
  <c r="I15" i="37"/>
  <c r="N15" i="37" s="1"/>
  <c r="M15" i="37"/>
  <c r="F21" i="5"/>
  <c r="H19" i="37"/>
  <c r="H16" i="37"/>
  <c r="H18" i="37"/>
  <c r="G50" i="37"/>
  <c r="L50" i="37" s="1"/>
  <c r="E45" i="5"/>
  <c r="F45" i="5" s="1"/>
  <c r="G19" i="5"/>
  <c r="J25" i="5" s="1"/>
  <c r="F63" i="5"/>
  <c r="H28" i="5"/>
  <c r="J28" i="5" s="1"/>
  <c r="AO28" i="5" s="1"/>
  <c r="H29" i="5"/>
  <c r="G39" i="5"/>
  <c r="F89" i="5"/>
  <c r="H7" i="5"/>
  <c r="O7" i="5" s="1"/>
  <c r="H10" i="5"/>
  <c r="O10" i="5" s="1"/>
  <c r="AO10" i="5" s="1"/>
  <c r="G51" i="37"/>
  <c r="L51" i="37" s="1"/>
  <c r="G21" i="37"/>
  <c r="G22" i="37" s="1"/>
  <c r="H63" i="5"/>
  <c r="H21" i="47" l="1"/>
  <c r="J31" i="1"/>
  <c r="Q114" i="5"/>
  <c r="AI111" i="5"/>
  <c r="AB28" i="1"/>
  <c r="X30" i="1"/>
  <c r="AE113" i="5"/>
  <c r="X16" i="45"/>
  <c r="AH111" i="5"/>
  <c r="AA28" i="1"/>
  <c r="V30" i="1"/>
  <c r="AC113" i="5"/>
  <c r="V16" i="45"/>
  <c r="AC44" i="5" s="1"/>
  <c r="Z31" i="1"/>
  <c r="AG114" i="5"/>
  <c r="AG45" i="5"/>
  <c r="Z28" i="45"/>
  <c r="Z29" i="45" s="1"/>
  <c r="Q30" i="1"/>
  <c r="X113" i="5"/>
  <c r="Q16" i="45"/>
  <c r="X44" i="5" s="1"/>
  <c r="T30" i="1"/>
  <c r="AA113" i="5"/>
  <c r="T16" i="45"/>
  <c r="AA44" i="5" s="1"/>
  <c r="O25" i="1"/>
  <c r="V108" i="5"/>
  <c r="R30" i="1"/>
  <c r="Y113" i="5"/>
  <c r="R16" i="45"/>
  <c r="Y44" i="5" s="1"/>
  <c r="N31" i="1"/>
  <c r="U114" i="5"/>
  <c r="M25" i="1"/>
  <c r="M8" i="45"/>
  <c r="T108" i="5"/>
  <c r="W30" i="1"/>
  <c r="AD113" i="5"/>
  <c r="W16" i="45"/>
  <c r="Q31" i="1"/>
  <c r="X114" i="5"/>
  <c r="X45" i="5"/>
  <c r="N25" i="1"/>
  <c r="U108" i="5"/>
  <c r="U30" i="1"/>
  <c r="AB113" i="5"/>
  <c r="U16" i="45"/>
  <c r="AI112" i="5"/>
  <c r="AB29" i="1"/>
  <c r="G8" i="45"/>
  <c r="N43" i="5" s="1"/>
  <c r="G25" i="1"/>
  <c r="N108" i="5"/>
  <c r="S30" i="1"/>
  <c r="Z113" i="5"/>
  <c r="S16" i="45"/>
  <c r="Z44" i="5" s="1"/>
  <c r="H25" i="1"/>
  <c r="O108" i="5"/>
  <c r="H8" i="45"/>
  <c r="O43" i="5" s="1"/>
  <c r="AH112" i="5"/>
  <c r="AF122" i="5"/>
  <c r="AC124" i="5"/>
  <c r="AE122" i="5"/>
  <c r="Z124" i="5"/>
  <c r="AI50" i="5"/>
  <c r="AH31" i="1"/>
  <c r="AI31" i="1" s="1"/>
  <c r="AH50" i="5"/>
  <c r="K25" i="5"/>
  <c r="K93" i="5" s="1"/>
  <c r="E115" i="5"/>
  <c r="I21" i="47"/>
  <c r="F115" i="5" s="1"/>
  <c r="R45" i="9"/>
  <c r="S30" i="9"/>
  <c r="S32" i="9"/>
  <c r="X38" i="1"/>
  <c r="AF37" i="1"/>
  <c r="AG37" i="1"/>
  <c r="AD39" i="1"/>
  <c r="Z39" i="1"/>
  <c r="V39" i="1"/>
  <c r="R39" i="1"/>
  <c r="N39" i="1"/>
  <c r="J39" i="1"/>
  <c r="F39" i="1"/>
  <c r="AG39" i="1"/>
  <c r="AC39" i="1"/>
  <c r="Y39" i="1"/>
  <c r="U39" i="1"/>
  <c r="Q39" i="1"/>
  <c r="M39" i="1"/>
  <c r="I39" i="1"/>
  <c r="E39" i="1"/>
  <c r="E40" i="1"/>
  <c r="Y38" i="1"/>
  <c r="Z38" i="1"/>
  <c r="AB38" i="1"/>
  <c r="AF39" i="1"/>
  <c r="AB39" i="1"/>
  <c r="X39" i="1"/>
  <c r="T39" i="1"/>
  <c r="P39" i="1"/>
  <c r="L39" i="1"/>
  <c r="H39" i="1"/>
  <c r="AE39" i="1"/>
  <c r="AA39" i="1"/>
  <c r="W39" i="1"/>
  <c r="S39" i="1"/>
  <c r="O39" i="1"/>
  <c r="K39" i="1"/>
  <c r="G39" i="1"/>
  <c r="AC38" i="1"/>
  <c r="AE38" i="1"/>
  <c r="AD38" i="1"/>
  <c r="AG38" i="1"/>
  <c r="AO81" i="5"/>
  <c r="AP81" i="5" s="1"/>
  <c r="AO16" i="5"/>
  <c r="AP16" i="5" s="1"/>
  <c r="AO9" i="5"/>
  <c r="AP9" i="5" s="1"/>
  <c r="H37" i="1"/>
  <c r="F101" i="5"/>
  <c r="E101" i="5"/>
  <c r="H87" i="5"/>
  <c r="H89" i="5" s="1"/>
  <c r="AO49" i="5"/>
  <c r="AB44" i="5"/>
  <c r="AC45" i="5"/>
  <c r="AD44" i="5"/>
  <c r="AF45" i="5"/>
  <c r="Y28" i="45"/>
  <c r="Y29" i="45" s="1"/>
  <c r="Y30" i="45" s="1"/>
  <c r="AB24" i="45"/>
  <c r="AC24" i="45" s="1"/>
  <c r="AH51" i="5"/>
  <c r="AI51" i="5"/>
  <c r="E43" i="5"/>
  <c r="F43" i="5" s="1"/>
  <c r="E79" i="5" s="1"/>
  <c r="F79" i="5" s="1"/>
  <c r="AI79" i="5" s="1"/>
  <c r="E60" i="37"/>
  <c r="E47" i="5" s="1"/>
  <c r="AO23" i="5"/>
  <c r="AP23" i="5" s="1"/>
  <c r="J28" i="45"/>
  <c r="AB23" i="45"/>
  <c r="AC23" i="45" s="1"/>
  <c r="V26" i="45"/>
  <c r="V29" i="45" s="1"/>
  <c r="W26" i="45"/>
  <c r="W29" i="45" s="1"/>
  <c r="O12" i="45"/>
  <c r="N12" i="45"/>
  <c r="P12" i="45"/>
  <c r="N15" i="45"/>
  <c r="P15" i="45"/>
  <c r="O15" i="45"/>
  <c r="Q15" i="45"/>
  <c r="N14" i="45"/>
  <c r="P14" i="45"/>
  <c r="O14" i="45"/>
  <c r="Q14" i="45"/>
  <c r="AB10" i="45"/>
  <c r="AC10" i="45" s="1"/>
  <c r="AB11" i="45"/>
  <c r="AC11" i="45" s="1"/>
  <c r="AB22" i="45"/>
  <c r="W44" i="5"/>
  <c r="P20" i="5"/>
  <c r="N20" i="5"/>
  <c r="N22" i="5"/>
  <c r="P22" i="5"/>
  <c r="N21" i="5"/>
  <c r="P21" i="5"/>
  <c r="AO19" i="5"/>
  <c r="AP19" i="5" s="1"/>
  <c r="AO82" i="5"/>
  <c r="AP82" i="5" s="1"/>
  <c r="U84" i="5"/>
  <c r="U124" i="5" s="1"/>
  <c r="T84" i="5"/>
  <c r="T124" i="5" s="1"/>
  <c r="AB9" i="45"/>
  <c r="AC9" i="45" s="1"/>
  <c r="AO48" i="5"/>
  <c r="AO61" i="5"/>
  <c r="AP61" i="5" s="1"/>
  <c r="L28" i="45"/>
  <c r="C8" i="45"/>
  <c r="C26" i="45" s="1"/>
  <c r="C29" i="45" s="1"/>
  <c r="C52" i="4"/>
  <c r="D8" i="9"/>
  <c r="G9" i="5"/>
  <c r="O12" i="5" s="1"/>
  <c r="O121" i="5" s="1"/>
  <c r="H19" i="5"/>
  <c r="J93" i="5"/>
  <c r="C42" i="1" s="1"/>
  <c r="M25" i="5"/>
  <c r="G21" i="5"/>
  <c r="H21" i="5" s="1"/>
  <c r="L21" i="5"/>
  <c r="H82" i="5"/>
  <c r="AG84" i="5"/>
  <c r="AE84" i="5"/>
  <c r="AE124" i="5" s="1"/>
  <c r="AC84" i="5"/>
  <c r="AA84" i="5"/>
  <c r="AA124" i="5" s="1"/>
  <c r="Y84" i="5"/>
  <c r="W84" i="5"/>
  <c r="AH84" i="5"/>
  <c r="AH124" i="5" s="1"/>
  <c r="AF84" i="5"/>
  <c r="AF124" i="5" s="1"/>
  <c r="AD84" i="5"/>
  <c r="AD124" i="5" s="1"/>
  <c r="AB84" i="5"/>
  <c r="AB124" i="5" s="1"/>
  <c r="Z84" i="5"/>
  <c r="X84" i="5"/>
  <c r="H16" i="5"/>
  <c r="AP28" i="5"/>
  <c r="L20" i="5"/>
  <c r="G22" i="5"/>
  <c r="H22" i="5" s="1"/>
  <c r="L22" i="5"/>
  <c r="AP55" i="5"/>
  <c r="H81" i="5"/>
  <c r="L84" i="5"/>
  <c r="L124" i="5" s="1"/>
  <c r="AP71" i="5"/>
  <c r="F24" i="5"/>
  <c r="U75" i="5"/>
  <c r="U122" i="5" s="1"/>
  <c r="Y75" i="5"/>
  <c r="Y122" i="5" s="1"/>
  <c r="T75" i="5"/>
  <c r="T122" i="5" s="1"/>
  <c r="AB75" i="5"/>
  <c r="AB122" i="5" s="1"/>
  <c r="Z75" i="5"/>
  <c r="Z122" i="5" s="1"/>
  <c r="AD75" i="5"/>
  <c r="AD122" i="5" s="1"/>
  <c r="AA75" i="5"/>
  <c r="AA122" i="5" s="1"/>
  <c r="K63" i="5"/>
  <c r="K123" i="5" s="1"/>
  <c r="L21" i="37"/>
  <c r="N28" i="45"/>
  <c r="M41" i="37"/>
  <c r="N35" i="37"/>
  <c r="N37" i="37" s="1"/>
  <c r="I37" i="37"/>
  <c r="I26" i="45"/>
  <c r="I29" i="45" s="1"/>
  <c r="Q28" i="45"/>
  <c r="E28" i="45"/>
  <c r="L39" i="37"/>
  <c r="L41" i="37" s="1"/>
  <c r="G41" i="37"/>
  <c r="H41" i="37" s="1"/>
  <c r="I41" i="37" s="1"/>
  <c r="N49" i="37"/>
  <c r="M49" i="37"/>
  <c r="G56" i="37"/>
  <c r="L53" i="37"/>
  <c r="I18" i="37"/>
  <c r="N18" i="37" s="1"/>
  <c r="M18" i="37"/>
  <c r="H51" i="37"/>
  <c r="M51" i="37" s="1"/>
  <c r="H50" i="37"/>
  <c r="M50" i="37" s="1"/>
  <c r="I49" i="37"/>
  <c r="I19" i="37"/>
  <c r="N19" i="37" s="1"/>
  <c r="M19" i="37"/>
  <c r="I16" i="37"/>
  <c r="N16" i="37" s="1"/>
  <c r="M16" i="37"/>
  <c r="G20" i="5"/>
  <c r="H21" i="37"/>
  <c r="H56" i="37" s="1"/>
  <c r="G53" i="37"/>
  <c r="H53" i="37" s="1"/>
  <c r="G44" i="5"/>
  <c r="F30" i="5"/>
  <c r="G45" i="5"/>
  <c r="H45" i="5" s="1"/>
  <c r="F43" i="11" s="1"/>
  <c r="G23" i="37"/>
  <c r="H22" i="47" s="1"/>
  <c r="G13" i="11"/>
  <c r="G18" i="11" s="1"/>
  <c r="J29" i="5"/>
  <c r="H8" i="5"/>
  <c r="O8" i="5" s="1"/>
  <c r="AO8" i="5" s="1"/>
  <c r="F11" i="5"/>
  <c r="F54" i="11"/>
  <c r="H29" i="47" s="1"/>
  <c r="S26" i="45" l="1"/>
  <c r="S29" i="45" s="1"/>
  <c r="R26" i="45"/>
  <c r="R29" i="45" s="1"/>
  <c r="R30" i="45" s="1"/>
  <c r="N8" i="45"/>
  <c r="T26" i="45"/>
  <c r="T29" i="45" s="1"/>
  <c r="T30" i="45" s="1"/>
  <c r="AO113" i="5"/>
  <c r="O28" i="1"/>
  <c r="V111" i="5"/>
  <c r="P28" i="1"/>
  <c r="W111" i="5"/>
  <c r="O26" i="1"/>
  <c r="V109" i="5"/>
  <c r="O8" i="45"/>
  <c r="N26" i="1"/>
  <c r="U109" i="5"/>
  <c r="N28" i="1"/>
  <c r="U111" i="5"/>
  <c r="Z31" i="45"/>
  <c r="Z30" i="45"/>
  <c r="Q29" i="1"/>
  <c r="X112" i="5"/>
  <c r="AE44" i="5"/>
  <c r="AO44" i="5" s="1"/>
  <c r="AP44" i="5" s="1"/>
  <c r="X26" i="45"/>
  <c r="X29" i="45" s="1"/>
  <c r="O29" i="1"/>
  <c r="V112" i="5"/>
  <c r="P29" i="1"/>
  <c r="W112" i="5"/>
  <c r="N29" i="1"/>
  <c r="U112" i="5"/>
  <c r="Y32" i="1"/>
  <c r="AF115" i="5"/>
  <c r="Q28" i="1"/>
  <c r="X111" i="5"/>
  <c r="Q8" i="45"/>
  <c r="X43" i="5" s="1"/>
  <c r="P26" i="1"/>
  <c r="P8" i="45"/>
  <c r="W43" i="5" s="1"/>
  <c r="W109" i="5"/>
  <c r="AH93" i="5"/>
  <c r="AH117" i="5"/>
  <c r="AI117" i="5"/>
  <c r="AI107" i="5" s="1"/>
  <c r="AF119" i="5"/>
  <c r="AI84" i="5"/>
  <c r="AO84" i="5" s="1"/>
  <c r="X124" i="5"/>
  <c r="W124" i="5"/>
  <c r="Y124" i="5"/>
  <c r="AG124" i="5"/>
  <c r="U26" i="45"/>
  <c r="U29" i="45" s="1"/>
  <c r="U31" i="45" s="1"/>
  <c r="AO108" i="5"/>
  <c r="AO114" i="5"/>
  <c r="E116" i="5"/>
  <c r="I22" i="47"/>
  <c r="F116" i="5" s="1"/>
  <c r="S45" i="9"/>
  <c r="T30" i="9"/>
  <c r="T32" i="9"/>
  <c r="S38" i="1"/>
  <c r="M38" i="1"/>
  <c r="N38" i="1"/>
  <c r="D39" i="1"/>
  <c r="AH39" i="1" s="1"/>
  <c r="AI39" i="1" s="1"/>
  <c r="AO123" i="5"/>
  <c r="T38" i="1"/>
  <c r="W38" i="1"/>
  <c r="U38" i="1"/>
  <c r="R38" i="1"/>
  <c r="O101" i="5"/>
  <c r="AO29" i="5"/>
  <c r="AP29" i="5" s="1"/>
  <c r="H23" i="1"/>
  <c r="AH23" i="1" s="1"/>
  <c r="AI23" i="1" s="1"/>
  <c r="AO7" i="5"/>
  <c r="AP7" i="5" s="1"/>
  <c r="F37" i="11"/>
  <c r="H37" i="11" s="1"/>
  <c r="E123" i="5"/>
  <c r="I29" i="47"/>
  <c r="F123" i="5" s="1"/>
  <c r="AH30" i="1"/>
  <c r="AI30" i="1" s="1"/>
  <c r="P26" i="45"/>
  <c r="P29" i="45" s="1"/>
  <c r="AB28" i="45"/>
  <c r="AC28" i="45" s="1"/>
  <c r="Y31" i="45"/>
  <c r="L23" i="37"/>
  <c r="L26" i="45"/>
  <c r="L29" i="45" s="1"/>
  <c r="L31" i="45" s="1"/>
  <c r="AO21" i="5"/>
  <c r="AP21" i="5" s="1"/>
  <c r="AO45" i="5"/>
  <c r="AP45" i="5" s="1"/>
  <c r="W24" i="5"/>
  <c r="W120" i="5" s="1"/>
  <c r="AO22" i="5"/>
  <c r="AP22" i="5" s="1"/>
  <c r="AO20" i="5"/>
  <c r="AP20" i="5" s="1"/>
  <c r="N26" i="45"/>
  <c r="N29" i="45" s="1"/>
  <c r="N30" i="45" s="1"/>
  <c r="AB12" i="45"/>
  <c r="AC12" i="45" s="1"/>
  <c r="U43" i="5"/>
  <c r="V31" i="45"/>
  <c r="V30" i="45"/>
  <c r="P25" i="5"/>
  <c r="U30" i="45"/>
  <c r="AB16" i="45"/>
  <c r="AC16" i="45" s="1"/>
  <c r="T31" i="45"/>
  <c r="AB14" i="45"/>
  <c r="AB15" i="45"/>
  <c r="AC15" i="45" s="1"/>
  <c r="S30" i="45"/>
  <c r="S31" i="45"/>
  <c r="W30" i="45"/>
  <c r="W31" i="45"/>
  <c r="R31" i="45"/>
  <c r="AA24" i="5"/>
  <c r="AA120" i="5" s="1"/>
  <c r="AO79" i="5"/>
  <c r="N25" i="5"/>
  <c r="G79" i="5"/>
  <c r="H79" i="5" s="1"/>
  <c r="K30" i="45"/>
  <c r="R24" i="5"/>
  <c r="R120" i="5" s="1"/>
  <c r="C54" i="4"/>
  <c r="D10" i="9" s="1"/>
  <c r="D9" i="9"/>
  <c r="D59" i="9" s="1"/>
  <c r="T24" i="5"/>
  <c r="T120" i="5" s="1"/>
  <c r="H20" i="5"/>
  <c r="H24" i="5" s="1"/>
  <c r="L25" i="5"/>
  <c r="S24" i="5"/>
  <c r="S120" i="5" s="1"/>
  <c r="AO12" i="5"/>
  <c r="G11" i="5"/>
  <c r="AP10" i="5"/>
  <c r="U24" i="5"/>
  <c r="U120" i="5" s="1"/>
  <c r="AP48" i="5"/>
  <c r="AP69" i="5"/>
  <c r="AP70" i="5"/>
  <c r="K75" i="5"/>
  <c r="K122" i="5" s="1"/>
  <c r="AP67" i="5"/>
  <c r="G24" i="5"/>
  <c r="L75" i="5"/>
  <c r="AO89" i="5"/>
  <c r="AP89" i="5" s="1"/>
  <c r="AC22" i="45"/>
  <c r="AO63" i="5"/>
  <c r="P75" i="5"/>
  <c r="O75" i="5"/>
  <c r="O122" i="5" s="1"/>
  <c r="K31" i="45"/>
  <c r="I31" i="45"/>
  <c r="I30" i="45"/>
  <c r="J26" i="45"/>
  <c r="J29" i="45" s="1"/>
  <c r="I38" i="37"/>
  <c r="N38" i="37" s="1"/>
  <c r="I39" i="37"/>
  <c r="N39" i="37" s="1"/>
  <c r="J24" i="5"/>
  <c r="C31" i="45"/>
  <c r="C30" i="45"/>
  <c r="L22" i="37"/>
  <c r="E46" i="5"/>
  <c r="F46" i="5" s="1"/>
  <c r="P24" i="5"/>
  <c r="O24" i="5"/>
  <c r="O120" i="5" s="1"/>
  <c r="N24" i="5"/>
  <c r="N120" i="5" s="1"/>
  <c r="G43" i="5"/>
  <c r="H43" i="5" s="1"/>
  <c r="M53" i="37"/>
  <c r="H57" i="37"/>
  <c r="M57" i="37" s="1"/>
  <c r="M56" i="37"/>
  <c r="M21" i="37"/>
  <c r="L56" i="37"/>
  <c r="G57" i="37"/>
  <c r="L57" i="37" s="1"/>
  <c r="I21" i="37"/>
  <c r="N21" i="37"/>
  <c r="I51" i="37"/>
  <c r="N51" i="37" s="1"/>
  <c r="I50" i="37"/>
  <c r="N50" i="37" s="1"/>
  <c r="H23" i="37"/>
  <c r="M23" i="37" s="1"/>
  <c r="H22" i="37"/>
  <c r="M22" i="37" s="1"/>
  <c r="O67" i="4"/>
  <c r="F67" i="4"/>
  <c r="H67" i="4"/>
  <c r="M67" i="4"/>
  <c r="G67" i="4"/>
  <c r="K67" i="4"/>
  <c r="N67" i="4"/>
  <c r="L67" i="4"/>
  <c r="G25" i="37"/>
  <c r="H44" i="5"/>
  <c r="H30" i="5"/>
  <c r="K30" i="5" s="1"/>
  <c r="AO30" i="5" s="1"/>
  <c r="H9" i="5"/>
  <c r="I53" i="37"/>
  <c r="P67" i="4"/>
  <c r="E67" i="4"/>
  <c r="J67" i="4"/>
  <c r="I67" i="4"/>
  <c r="E66" i="4"/>
  <c r="I33" i="1" l="1"/>
  <c r="P116" i="5"/>
  <c r="L33" i="1"/>
  <c r="S116" i="5"/>
  <c r="I32" i="1"/>
  <c r="P115" i="5"/>
  <c r="K33" i="1"/>
  <c r="R116" i="5"/>
  <c r="K32" i="1"/>
  <c r="R115" i="5"/>
  <c r="Q26" i="45"/>
  <c r="Q29" i="45" s="1"/>
  <c r="Q30" i="45" s="1"/>
  <c r="P120" i="5"/>
  <c r="AH29" i="1"/>
  <c r="AI29" i="1" s="1"/>
  <c r="Z32" i="45"/>
  <c r="AG51" i="5" s="1"/>
  <c r="AG117" i="5" s="1"/>
  <c r="AI93" i="5"/>
  <c r="L93" i="5"/>
  <c r="E42" i="1" s="1"/>
  <c r="F12" i="9" s="1"/>
  <c r="F60" i="9" s="1"/>
  <c r="S33" i="1"/>
  <c r="Z116" i="5"/>
  <c r="U32" i="1"/>
  <c r="AB115" i="5"/>
  <c r="S32" i="1"/>
  <c r="Z115" i="5"/>
  <c r="U33" i="1"/>
  <c r="AB116" i="5"/>
  <c r="Y33" i="1"/>
  <c r="AF116" i="5"/>
  <c r="N32" i="1"/>
  <c r="U115" i="5"/>
  <c r="Z32" i="1"/>
  <c r="AG115" i="5"/>
  <c r="AG46" i="5"/>
  <c r="AG50" i="5" s="1"/>
  <c r="V32" i="1"/>
  <c r="AC115" i="5"/>
  <c r="Z33" i="1"/>
  <c r="AG116" i="5"/>
  <c r="R33" i="1"/>
  <c r="Y116" i="5"/>
  <c r="T33" i="1"/>
  <c r="AA116" i="5"/>
  <c r="V33" i="1"/>
  <c r="AC116" i="5"/>
  <c r="X30" i="45"/>
  <c r="X31" i="45"/>
  <c r="W32" i="1"/>
  <c r="AD115" i="5"/>
  <c r="R32" i="1"/>
  <c r="Y115" i="5"/>
  <c r="T32" i="1"/>
  <c r="AA115" i="5"/>
  <c r="W33" i="1"/>
  <c r="AD116" i="5"/>
  <c r="Q32" i="1"/>
  <c r="X115" i="5"/>
  <c r="D17" i="9"/>
  <c r="P122" i="5"/>
  <c r="L122" i="5"/>
  <c r="Q31" i="45"/>
  <c r="AO112" i="5"/>
  <c r="AH107" i="5"/>
  <c r="AO111" i="5"/>
  <c r="L25" i="37"/>
  <c r="I56" i="37"/>
  <c r="N56" i="37" s="1"/>
  <c r="F41" i="11"/>
  <c r="AO109" i="5"/>
  <c r="AH26" i="1"/>
  <c r="AI26" i="1" s="1"/>
  <c r="T45" i="9"/>
  <c r="U30" i="9"/>
  <c r="U32" i="9"/>
  <c r="H36" i="1"/>
  <c r="C36" i="1"/>
  <c r="J120" i="5"/>
  <c r="H38" i="1"/>
  <c r="E38" i="1"/>
  <c r="D38" i="1"/>
  <c r="N36" i="1"/>
  <c r="M36" i="1"/>
  <c r="K36" i="1"/>
  <c r="P36" i="1"/>
  <c r="G36" i="1"/>
  <c r="I36" i="1"/>
  <c r="I38" i="1"/>
  <c r="L36" i="1"/>
  <c r="AO101" i="5"/>
  <c r="T36" i="1"/>
  <c r="J39" i="5"/>
  <c r="D42" i="1"/>
  <c r="E12" i="9" s="1"/>
  <c r="E60" i="9" s="1"/>
  <c r="AC14" i="45"/>
  <c r="AF46" i="5"/>
  <c r="AF50" i="5" s="1"/>
  <c r="Y32" i="45"/>
  <c r="L30" i="45"/>
  <c r="V32" i="45"/>
  <c r="AB8" i="45"/>
  <c r="Z46" i="5"/>
  <c r="Z50" i="5" s="1"/>
  <c r="AB46" i="5"/>
  <c r="AB50" i="5" s="1"/>
  <c r="V33" i="45"/>
  <c r="Y46" i="5"/>
  <c r="Y50" i="5" s="1"/>
  <c r="W32" i="45"/>
  <c r="AD51" i="5" s="1"/>
  <c r="T32" i="45"/>
  <c r="AC46" i="5"/>
  <c r="AC50" i="5" s="1"/>
  <c r="R32" i="45"/>
  <c r="AD46" i="5"/>
  <c r="AD50" i="5" s="1"/>
  <c r="S32" i="45"/>
  <c r="AA46" i="5"/>
  <c r="AA50" i="5" s="1"/>
  <c r="V43" i="5"/>
  <c r="O26" i="45"/>
  <c r="O29" i="45" s="1"/>
  <c r="U32" i="45"/>
  <c r="AF51" i="5"/>
  <c r="T43" i="5"/>
  <c r="M26" i="45"/>
  <c r="M29" i="45" s="1"/>
  <c r="P30" i="45"/>
  <c r="P31" i="45"/>
  <c r="X46" i="5"/>
  <c r="X50" i="5" s="1"/>
  <c r="K32" i="45"/>
  <c r="R51" i="5" s="1"/>
  <c r="AP30" i="5"/>
  <c r="F26" i="45"/>
  <c r="F29" i="45" s="1"/>
  <c r="F30" i="45" s="1"/>
  <c r="F51" i="11"/>
  <c r="H26" i="47" s="1"/>
  <c r="E26" i="45"/>
  <c r="E29" i="45" s="1"/>
  <c r="AP8" i="5"/>
  <c r="O11" i="5"/>
  <c r="AO25" i="5"/>
  <c r="AP49" i="5"/>
  <c r="N31" i="45"/>
  <c r="M24" i="5"/>
  <c r="M120" i="5" s="1"/>
  <c r="N41" i="37"/>
  <c r="L24" i="5"/>
  <c r="K39" i="5"/>
  <c r="K121" i="5" s="1"/>
  <c r="Q32" i="45"/>
  <c r="H26" i="45"/>
  <c r="H29" i="45" s="1"/>
  <c r="J30" i="45"/>
  <c r="J31" i="45"/>
  <c r="I32" i="45"/>
  <c r="K24" i="5"/>
  <c r="K120" i="5" s="1"/>
  <c r="K119" i="5" s="1"/>
  <c r="C32" i="45"/>
  <c r="C33" i="45" s="1"/>
  <c r="G26" i="45"/>
  <c r="G29" i="45" s="1"/>
  <c r="H11" i="5"/>
  <c r="I57" i="37"/>
  <c r="N57" i="37" s="1"/>
  <c r="M25" i="37"/>
  <c r="I23" i="37"/>
  <c r="N23" i="37" s="1"/>
  <c r="I22" i="37"/>
  <c r="N53" i="37"/>
  <c r="H25" i="37"/>
  <c r="G55" i="37"/>
  <c r="L55" i="37" s="1"/>
  <c r="K66" i="4"/>
  <c r="G46" i="5"/>
  <c r="M66" i="4"/>
  <c r="D66" i="4"/>
  <c r="D67" i="4"/>
  <c r="I66" i="4"/>
  <c r="O66" i="4"/>
  <c r="F66" i="4"/>
  <c r="J66" i="4"/>
  <c r="N66" i="4"/>
  <c r="G66" i="4"/>
  <c r="H66" i="4"/>
  <c r="L66" i="4"/>
  <c r="P66" i="4"/>
  <c r="J33" i="1" l="1"/>
  <c r="Q116" i="5"/>
  <c r="L32" i="1"/>
  <c r="S115" i="5"/>
  <c r="J32" i="1"/>
  <c r="Q115" i="5"/>
  <c r="R93" i="5"/>
  <c r="R117" i="5"/>
  <c r="P119" i="5"/>
  <c r="AG107" i="5"/>
  <c r="AG93" i="5"/>
  <c r="Z33" i="45"/>
  <c r="X32" i="1"/>
  <c r="AE115" i="5"/>
  <c r="AE46" i="5"/>
  <c r="AE50" i="5" s="1"/>
  <c r="P32" i="1"/>
  <c r="W115" i="5"/>
  <c r="AF117" i="5"/>
  <c r="AF93" i="5"/>
  <c r="P33" i="1"/>
  <c r="W116" i="5"/>
  <c r="N33" i="1"/>
  <c r="U116" i="5"/>
  <c r="X33" i="45"/>
  <c r="AD93" i="5"/>
  <c r="AD117" i="5"/>
  <c r="Q33" i="1"/>
  <c r="X116" i="5"/>
  <c r="X32" i="45"/>
  <c r="AE51" i="5" s="1"/>
  <c r="X33" i="1"/>
  <c r="AE116" i="5"/>
  <c r="L120" i="5"/>
  <c r="L119" i="5" s="1"/>
  <c r="L103" i="5" s="1"/>
  <c r="L104" i="5" s="1"/>
  <c r="N22" i="37"/>
  <c r="N25" i="37" s="1"/>
  <c r="F47" i="11"/>
  <c r="U45" i="9"/>
  <c r="S40" i="1"/>
  <c r="V32" i="9"/>
  <c r="V30" i="9"/>
  <c r="W32" i="9" s="1"/>
  <c r="D37" i="1"/>
  <c r="C37" i="1"/>
  <c r="J121" i="5"/>
  <c r="D36" i="1"/>
  <c r="F36" i="1"/>
  <c r="E36" i="1"/>
  <c r="AO43" i="5"/>
  <c r="AP43" i="5" s="1"/>
  <c r="E120" i="5"/>
  <c r="I26" i="47"/>
  <c r="F120" i="5" s="1"/>
  <c r="N32" i="45"/>
  <c r="N33" i="45" s="1"/>
  <c r="W33" i="45"/>
  <c r="L32" i="45"/>
  <c r="L33" i="45" s="1"/>
  <c r="P51" i="5"/>
  <c r="Y33" i="45"/>
  <c r="AA51" i="5"/>
  <c r="AC51" i="5"/>
  <c r="AH28" i="1"/>
  <c r="AI28" i="1" s="1"/>
  <c r="H55" i="37"/>
  <c r="M55" i="37" s="1"/>
  <c r="P32" i="45"/>
  <c r="T33" i="45"/>
  <c r="M30" i="45"/>
  <c r="M31" i="45"/>
  <c r="O30" i="45"/>
  <c r="O31" i="45"/>
  <c r="Z51" i="5"/>
  <c r="S33" i="45"/>
  <c r="Y51" i="5"/>
  <c r="R33" i="45"/>
  <c r="W46" i="5"/>
  <c r="W50" i="5" s="1"/>
  <c r="U33" i="45"/>
  <c r="AB51" i="5"/>
  <c r="Q33" i="45"/>
  <c r="X51" i="5"/>
  <c r="F31" i="45"/>
  <c r="I33" i="45"/>
  <c r="K33" i="45"/>
  <c r="U46" i="5"/>
  <c r="U50" i="5" s="1"/>
  <c r="E27" i="45"/>
  <c r="F27" i="45" s="1"/>
  <c r="G27" i="45" s="1"/>
  <c r="H27" i="45" s="1"/>
  <c r="I27" i="45" s="1"/>
  <c r="J27" i="45" s="1"/>
  <c r="D12" i="9"/>
  <c r="AO24" i="5"/>
  <c r="I25" i="37"/>
  <c r="I55" i="37" s="1"/>
  <c r="N55" i="37" s="1"/>
  <c r="J32" i="45"/>
  <c r="H30" i="45"/>
  <c r="H31" i="45"/>
  <c r="AC8" i="45"/>
  <c r="AB26" i="45"/>
  <c r="G30" i="45"/>
  <c r="G32" i="1" s="1"/>
  <c r="G31" i="45"/>
  <c r="G33" i="1" s="1"/>
  <c r="E31" i="45"/>
  <c r="E30" i="45"/>
  <c r="O119" i="5"/>
  <c r="Y119" i="5"/>
  <c r="H46" i="5"/>
  <c r="P117" i="5" l="1"/>
  <c r="P93" i="5"/>
  <c r="I42" i="1" s="1"/>
  <c r="J12" i="9" s="1"/>
  <c r="J60" i="9" s="1"/>
  <c r="M33" i="1"/>
  <c r="T116" i="5"/>
  <c r="M32" i="1"/>
  <c r="T115" i="5"/>
  <c r="H33" i="1"/>
  <c r="O116" i="5"/>
  <c r="H32" i="1"/>
  <c r="O115" i="5"/>
  <c r="Y117" i="5"/>
  <c r="Y93" i="5"/>
  <c r="R42" i="1" s="1"/>
  <c r="X117" i="5"/>
  <c r="X93" i="5"/>
  <c r="Z117" i="5"/>
  <c r="Z107" i="5" s="1"/>
  <c r="Z93" i="5"/>
  <c r="S42" i="1" s="1"/>
  <c r="O33" i="1"/>
  <c r="V116" i="5"/>
  <c r="AC117" i="5"/>
  <c r="AB93" i="5"/>
  <c r="AB117" i="5"/>
  <c r="AB107" i="5" s="1"/>
  <c r="O32" i="1"/>
  <c r="V115" i="5"/>
  <c r="AA117" i="5"/>
  <c r="AA107" i="5" s="1"/>
  <c r="AA93" i="5"/>
  <c r="T42" i="1" s="1"/>
  <c r="U12" i="9" s="1"/>
  <c r="U60" i="9" s="1"/>
  <c r="AE93" i="5"/>
  <c r="AE117" i="5"/>
  <c r="AE107" i="5" s="1"/>
  <c r="AD107" i="5"/>
  <c r="AF107" i="5"/>
  <c r="AH36" i="1"/>
  <c r="AI36" i="1" s="1"/>
  <c r="N115" i="5"/>
  <c r="N116" i="5"/>
  <c r="AO120" i="5"/>
  <c r="V45" i="9"/>
  <c r="AB119" i="5"/>
  <c r="T40" i="1"/>
  <c r="W30" i="9"/>
  <c r="X32" i="9" s="1"/>
  <c r="L40" i="1"/>
  <c r="R40" i="1"/>
  <c r="Y103" i="5"/>
  <c r="Q40" i="1"/>
  <c r="P40" i="1"/>
  <c r="O40" i="1"/>
  <c r="M40" i="1"/>
  <c r="K40" i="1"/>
  <c r="J40" i="1"/>
  <c r="I40" i="1"/>
  <c r="P103" i="5"/>
  <c r="H40" i="1"/>
  <c r="O103" i="5"/>
  <c r="N40" i="1"/>
  <c r="AA42" i="1"/>
  <c r="AB12" i="9" s="1"/>
  <c r="AB60" i="9" s="1"/>
  <c r="Y42" i="1"/>
  <c r="E41" i="1"/>
  <c r="E43" i="1" s="1"/>
  <c r="J119" i="5"/>
  <c r="K103" i="5"/>
  <c r="K104" i="5" s="1"/>
  <c r="F32" i="45"/>
  <c r="F33" i="45" s="1"/>
  <c r="W51" i="5"/>
  <c r="U51" i="5"/>
  <c r="N46" i="5"/>
  <c r="N50" i="5" s="1"/>
  <c r="O46" i="5"/>
  <c r="O50" i="5" s="1"/>
  <c r="P33" i="45"/>
  <c r="V46" i="5"/>
  <c r="V50" i="5" s="1"/>
  <c r="O32" i="45"/>
  <c r="T46" i="5"/>
  <c r="T50" i="5" s="1"/>
  <c r="M32" i="45"/>
  <c r="S12" i="9"/>
  <c r="S60" i="9" s="1"/>
  <c r="AG42" i="1"/>
  <c r="AH12" i="9" s="1"/>
  <c r="AH60" i="9" s="1"/>
  <c r="AB30" i="45"/>
  <c r="AB31" i="45"/>
  <c r="AC31" i="45" s="1"/>
  <c r="K27" i="45"/>
  <c r="J33" i="45"/>
  <c r="Q51" i="5"/>
  <c r="D60" i="9"/>
  <c r="D61" i="9" s="1"/>
  <c r="D62" i="9" s="1"/>
  <c r="AP79" i="5"/>
  <c r="AO11" i="5"/>
  <c r="AP11" i="5" s="1"/>
  <c r="G32" i="45"/>
  <c r="H32" i="45"/>
  <c r="E32" i="45"/>
  <c r="AB29" i="45"/>
  <c r="AC26" i="45"/>
  <c r="F33" i="5"/>
  <c r="AH33" i="1" l="1"/>
  <c r="AI33" i="1" s="1"/>
  <c r="Q93" i="5"/>
  <c r="Q117" i="5"/>
  <c r="Q107" i="5" s="1"/>
  <c r="Q102" i="5" s="1"/>
  <c r="AH32" i="1"/>
  <c r="AI32" i="1" s="1"/>
  <c r="U93" i="5"/>
  <c r="N42" i="1" s="1"/>
  <c r="O12" i="9" s="1"/>
  <c r="O60" i="9" s="1"/>
  <c r="U117" i="5"/>
  <c r="W117" i="5"/>
  <c r="W93" i="5"/>
  <c r="AO116" i="5"/>
  <c r="AF102" i="5"/>
  <c r="P107" i="5"/>
  <c r="P102" i="5" s="1"/>
  <c r="P104" i="5" s="1"/>
  <c r="AA102" i="5"/>
  <c r="Z102" i="5"/>
  <c r="Y107" i="5"/>
  <c r="Y102" i="5" s="1"/>
  <c r="Y104" i="5" s="1"/>
  <c r="AC107" i="5"/>
  <c r="AC102" i="5" s="1"/>
  <c r="AO115" i="5"/>
  <c r="AN102" i="5"/>
  <c r="X107" i="5"/>
  <c r="X102" i="5" s="1"/>
  <c r="X30" i="9"/>
  <c r="Y32" i="9" s="1"/>
  <c r="AB103" i="5"/>
  <c r="U40" i="1"/>
  <c r="G40" i="1"/>
  <c r="Z42" i="1"/>
  <c r="AA12" i="9" s="1"/>
  <c r="AA60" i="9" s="1"/>
  <c r="AG102" i="5"/>
  <c r="AB42" i="1"/>
  <c r="AC12" i="9" s="1"/>
  <c r="AC60" i="9" s="1"/>
  <c r="AI102" i="5"/>
  <c r="J103" i="5"/>
  <c r="AD42" i="1"/>
  <c r="AE12" i="9" s="1"/>
  <c r="AE60" i="9" s="1"/>
  <c r="AF42" i="1"/>
  <c r="AG12" i="9" s="1"/>
  <c r="AG60" i="9" s="1"/>
  <c r="F11" i="9"/>
  <c r="F13" i="9"/>
  <c r="O51" i="5"/>
  <c r="N51" i="5"/>
  <c r="V51" i="5"/>
  <c r="O33" i="45"/>
  <c r="T51" i="5"/>
  <c r="M33" i="45"/>
  <c r="L27" i="45"/>
  <c r="M27" i="45" s="1"/>
  <c r="N27" i="45" s="1"/>
  <c r="P27" i="45" s="1"/>
  <c r="AO46" i="5"/>
  <c r="AP46" i="5" s="1"/>
  <c r="T12" i="9"/>
  <c r="T60" i="9" s="1"/>
  <c r="Z12" i="9"/>
  <c r="Z60" i="9" s="1"/>
  <c r="E33" i="45"/>
  <c r="R41" i="1"/>
  <c r="H33" i="45"/>
  <c r="G33" i="45"/>
  <c r="I41" i="1"/>
  <c r="AC29" i="45"/>
  <c r="AC30" i="45"/>
  <c r="AB32" i="45"/>
  <c r="AC32" i="45" s="1"/>
  <c r="H33" i="5"/>
  <c r="S33" i="5" s="1"/>
  <c r="S39" i="5" s="1"/>
  <c r="F39" i="5"/>
  <c r="S121" i="5" l="1"/>
  <c r="L37" i="1"/>
  <c r="N93" i="5"/>
  <c r="G42" i="1" s="1"/>
  <c r="H12" i="9" s="1"/>
  <c r="H60" i="9" s="1"/>
  <c r="O117" i="5"/>
  <c r="O93" i="5"/>
  <c r="H42" i="1" s="1"/>
  <c r="T93" i="5"/>
  <c r="M42" i="1" s="1"/>
  <c r="N12" i="9" s="1"/>
  <c r="N60" i="9" s="1"/>
  <c r="T117" i="5"/>
  <c r="T107" i="5" s="1"/>
  <c r="T102" i="5" s="1"/>
  <c r="V117" i="5"/>
  <c r="V93" i="5"/>
  <c r="O42" i="1" s="1"/>
  <c r="P12" i="9" s="1"/>
  <c r="P60" i="9" s="1"/>
  <c r="AH39" i="4"/>
  <c r="AI39" i="4" s="1"/>
  <c r="AM102" i="5"/>
  <c r="W107" i="5"/>
  <c r="W102" i="5" s="1"/>
  <c r="AK102" i="5"/>
  <c r="U107" i="5"/>
  <c r="U102" i="5" s="1"/>
  <c r="J11" i="9"/>
  <c r="I43" i="1"/>
  <c r="W45" i="9"/>
  <c r="X45" i="9"/>
  <c r="AD119" i="5"/>
  <c r="V40" i="1"/>
  <c r="Y30" i="9"/>
  <c r="Z32" i="9" s="1"/>
  <c r="X42" i="1"/>
  <c r="Y12" i="9" s="1"/>
  <c r="Y60" i="9" s="1"/>
  <c r="AC42" i="1"/>
  <c r="AD12" i="9" s="1"/>
  <c r="AD60" i="9" s="1"/>
  <c r="AE42" i="1"/>
  <c r="AF12" i="9" s="1"/>
  <c r="AF60" i="9" s="1"/>
  <c r="W42" i="1"/>
  <c r="X12" i="9" s="1"/>
  <c r="X60" i="9" s="1"/>
  <c r="N117" i="5"/>
  <c r="J104" i="5"/>
  <c r="Z39" i="5"/>
  <c r="Z121" i="5" s="1"/>
  <c r="Z119" i="5" s="1"/>
  <c r="AA39" i="5"/>
  <c r="AA121" i="5" s="1"/>
  <c r="AA119" i="5" s="1"/>
  <c r="R43" i="1"/>
  <c r="S13" i="9" s="1"/>
  <c r="S11" i="9"/>
  <c r="H41" i="1"/>
  <c r="H39" i="5"/>
  <c r="AC39" i="5"/>
  <c r="AC121" i="5" s="1"/>
  <c r="AB33" i="45"/>
  <c r="H54" i="5"/>
  <c r="AH54" i="5" s="1"/>
  <c r="F57" i="5"/>
  <c r="AI54" i="5" l="1"/>
  <c r="AI57" i="5" s="1"/>
  <c r="AH57" i="5"/>
  <c r="AH25" i="4"/>
  <c r="AH30" i="4" s="1"/>
  <c r="AD102" i="5"/>
  <c r="N107" i="5"/>
  <c r="N102" i="5" s="1"/>
  <c r="AL102" i="5"/>
  <c r="V107" i="5"/>
  <c r="V102" i="5" s="1"/>
  <c r="AE102" i="5"/>
  <c r="O107" i="5"/>
  <c r="O102" i="5" s="1"/>
  <c r="O104" i="5" s="1"/>
  <c r="I11" i="9"/>
  <c r="H43" i="1"/>
  <c r="AJ102" i="5"/>
  <c r="Y45" i="9"/>
  <c r="W40" i="1"/>
  <c r="W41" i="1" s="1"/>
  <c r="X11" i="9" s="1"/>
  <c r="Z30" i="9"/>
  <c r="AA32" i="9" s="1"/>
  <c r="S37" i="1"/>
  <c r="S41" i="1" s="1"/>
  <c r="S43" i="1" s="1"/>
  <c r="T13" i="9" s="1"/>
  <c r="Z103" i="5"/>
  <c r="Z104" i="5" s="1"/>
  <c r="V37" i="1"/>
  <c r="T37" i="1"/>
  <c r="T41" i="1" s="1"/>
  <c r="U11" i="9" s="1"/>
  <c r="AA103" i="5"/>
  <c r="AA104" i="5" s="1"/>
  <c r="J13" i="9"/>
  <c r="T39" i="5"/>
  <c r="AI39" i="5"/>
  <c r="N39" i="5"/>
  <c r="N121" i="5" s="1"/>
  <c r="H57" i="5"/>
  <c r="F52" i="11" s="1"/>
  <c r="H27" i="47" s="1"/>
  <c r="Q39" i="5"/>
  <c r="Q121" i="5" s="1"/>
  <c r="AC33" i="45"/>
  <c r="T121" i="5" l="1"/>
  <c r="T119" i="5" s="1"/>
  <c r="T103" i="5" s="1"/>
  <c r="T104" i="5" s="1"/>
  <c r="AI121" i="5"/>
  <c r="AO54" i="5"/>
  <c r="AH121" i="5"/>
  <c r="AA37" i="1"/>
  <c r="W43" i="1"/>
  <c r="X13" i="9" s="1"/>
  <c r="T11" i="9"/>
  <c r="T43" i="1"/>
  <c r="U13" i="9" s="1"/>
  <c r="AD103" i="5"/>
  <c r="AD104" i="5" s="1"/>
  <c r="X40" i="1"/>
  <c r="Z45" i="9"/>
  <c r="AA30" i="9"/>
  <c r="AB32" i="9" s="1"/>
  <c r="J37" i="1"/>
  <c r="G37" i="1"/>
  <c r="AB37" i="1"/>
  <c r="E121" i="5"/>
  <c r="I27" i="47"/>
  <c r="F121" i="5" s="1"/>
  <c r="M37" i="1"/>
  <c r="M41" i="1" s="1"/>
  <c r="AG39" i="5"/>
  <c r="AG121" i="5" s="1"/>
  <c r="AO33" i="5"/>
  <c r="AP33" i="5" s="1"/>
  <c r="AL39" i="5"/>
  <c r="AL121" i="5" s="1"/>
  <c r="AE39" i="5"/>
  <c r="AE121" i="5" s="1"/>
  <c r="AE119" i="5" s="1"/>
  <c r="AJ39" i="5"/>
  <c r="AJ121" i="5" s="1"/>
  <c r="I12" i="9"/>
  <c r="I60" i="9" s="1"/>
  <c r="R39" i="5"/>
  <c r="R121" i="5" s="1"/>
  <c r="U39" i="5"/>
  <c r="U121" i="5" s="1"/>
  <c r="U119" i="5" s="1"/>
  <c r="C41" i="1"/>
  <c r="AF103" i="5" l="1"/>
  <c r="AF104" i="5" s="1"/>
  <c r="Y40" i="1"/>
  <c r="AA45" i="9"/>
  <c r="AG119" i="5"/>
  <c r="AB30" i="9"/>
  <c r="AC32" i="9" s="1"/>
  <c r="AC33" i="9" s="1"/>
  <c r="N37" i="1"/>
  <c r="U103" i="5"/>
  <c r="U104" i="5" s="1"/>
  <c r="X37" i="1"/>
  <c r="AE103" i="5"/>
  <c r="AE104" i="5" s="1"/>
  <c r="K37" i="1"/>
  <c r="AO121" i="5"/>
  <c r="N11" i="9"/>
  <c r="M43" i="1"/>
  <c r="N13" i="9" s="1"/>
  <c r="AC37" i="1"/>
  <c r="AE37" i="1"/>
  <c r="Z37" i="1"/>
  <c r="AO39" i="5"/>
  <c r="AP54" i="5"/>
  <c r="C43" i="1"/>
  <c r="D11" i="9"/>
  <c r="D41" i="1"/>
  <c r="E11" i="9" s="1"/>
  <c r="AC34" i="9" l="1"/>
  <c r="AI80" i="5" s="1"/>
  <c r="AI83" i="5" s="1"/>
  <c r="AI124" i="5" s="1"/>
  <c r="AI33" i="9"/>
  <c r="AI34" i="9" s="1"/>
  <c r="AG103" i="5"/>
  <c r="AG104" i="5" s="1"/>
  <c r="Z40" i="1"/>
  <c r="Z41" i="1" s="1"/>
  <c r="AA11" i="9" s="1"/>
  <c r="AB45" i="9"/>
  <c r="Y41" i="1"/>
  <c r="AH37" i="1"/>
  <c r="AI37" i="1" s="1"/>
  <c r="D13" i="9"/>
  <c r="X41" i="1"/>
  <c r="AH25" i="1"/>
  <c r="AI25" i="1" s="1"/>
  <c r="I13" i="9"/>
  <c r="N41" i="1"/>
  <c r="D43" i="1"/>
  <c r="E13" i="9" s="1"/>
  <c r="AO57" i="5"/>
  <c r="D19" i="9" l="1"/>
  <c r="D26" i="9" s="1"/>
  <c r="D37" i="9" s="1"/>
  <c r="D38" i="9" s="1"/>
  <c r="D14" i="9"/>
  <c r="Z43" i="1"/>
  <c r="AA13" i="9" s="1"/>
  <c r="AI119" i="5"/>
  <c r="Y43" i="1"/>
  <c r="Z13" i="9" s="1"/>
  <c r="Z11" i="9"/>
  <c r="AA40" i="1"/>
  <c r="X43" i="1"/>
  <c r="Y13" i="9" s="1"/>
  <c r="Y11" i="9"/>
  <c r="O11" i="9"/>
  <c r="N43" i="1"/>
  <c r="D20" i="9" l="1"/>
  <c r="D43" i="9"/>
  <c r="D47" i="9" s="1"/>
  <c r="AB40" i="1"/>
  <c r="AB41" i="1" s="1"/>
  <c r="AI103" i="5"/>
  <c r="AI104" i="5" s="1"/>
  <c r="O13" i="9"/>
  <c r="D27" i="9"/>
  <c r="D48" i="9" l="1"/>
  <c r="AB43" i="1"/>
  <c r="AC13" i="9" s="1"/>
  <c r="AC11" i="9"/>
  <c r="H75" i="5" l="1"/>
  <c r="R75" i="5"/>
  <c r="R122" i="5" l="1"/>
  <c r="R119" i="5" s="1"/>
  <c r="R103" i="5" s="1"/>
  <c r="K38" i="1"/>
  <c r="V68" i="5"/>
  <c r="V75" i="5" s="1"/>
  <c r="F53" i="11"/>
  <c r="G75" i="5"/>
  <c r="P42" i="1"/>
  <c r="Q12" i="9" s="1"/>
  <c r="Q60" i="9" s="1"/>
  <c r="AC68" i="5"/>
  <c r="M68" i="5"/>
  <c r="M75" i="5" s="1"/>
  <c r="W75" i="5"/>
  <c r="F75" i="5"/>
  <c r="W122" i="5" l="1"/>
  <c r="W119" i="5" s="1"/>
  <c r="W103" i="5" s="1"/>
  <c r="W104" i="5" s="1"/>
  <c r="V122" i="5"/>
  <c r="V119" i="5" s="1"/>
  <c r="V103" i="5" s="1"/>
  <c r="V104" i="5" s="1"/>
  <c r="O38" i="1"/>
  <c r="O41" i="1" s="1"/>
  <c r="F38" i="1"/>
  <c r="F41" i="1" s="1"/>
  <c r="P38" i="1"/>
  <c r="P41" i="1" s="1"/>
  <c r="Q75" i="5"/>
  <c r="AO68" i="5"/>
  <c r="AP68" i="5" s="1"/>
  <c r="Q42" i="1"/>
  <c r="R12" i="9" s="1"/>
  <c r="R60" i="9" s="1"/>
  <c r="AC76" i="5"/>
  <c r="AC93" i="5" s="1"/>
  <c r="M76" i="5"/>
  <c r="M93" i="5" s="1"/>
  <c r="F42" i="1" s="1"/>
  <c r="G12" i="9" s="1"/>
  <c r="G60" i="9" s="1"/>
  <c r="H28" i="47"/>
  <c r="Q122" i="5" l="1"/>
  <c r="Q119" i="5" s="1"/>
  <c r="P11" i="9"/>
  <c r="O43" i="1"/>
  <c r="P13" i="9" s="1"/>
  <c r="V42" i="1"/>
  <c r="W12" i="9" s="1"/>
  <c r="W60" i="9" s="1"/>
  <c r="M122" i="5"/>
  <c r="M119" i="5" s="1"/>
  <c r="M103" i="5" s="1"/>
  <c r="M104" i="5" s="1"/>
  <c r="F43" i="1"/>
  <c r="G13" i="9" s="1"/>
  <c r="G11" i="9"/>
  <c r="J38" i="1"/>
  <c r="AO76" i="5"/>
  <c r="E122" i="5"/>
  <c r="I28" i="47"/>
  <c r="Q11" i="9"/>
  <c r="P43" i="1"/>
  <c r="J42" i="1"/>
  <c r="J41" i="1" l="1"/>
  <c r="K11" i="9" s="1"/>
  <c r="F122" i="5"/>
  <c r="K12" i="9"/>
  <c r="K60" i="9" s="1"/>
  <c r="Q13" i="9"/>
  <c r="J43" i="1" l="1"/>
  <c r="K13" i="9" s="1"/>
  <c r="Q103" i="5"/>
  <c r="Q104" i="5" l="1"/>
  <c r="C15" i="11" l="1"/>
  <c r="C16" i="11" s="1"/>
  <c r="G60" i="37"/>
  <c r="H24" i="47" l="1"/>
  <c r="F47" i="5"/>
  <c r="S47" i="5" s="1"/>
  <c r="L34" i="1" s="1"/>
  <c r="H60" i="37"/>
  <c r="G63" i="37"/>
  <c r="S50" i="5" l="1"/>
  <c r="S118" i="5"/>
  <c r="AO118" i="5" s="1"/>
  <c r="R50" i="5"/>
  <c r="K41" i="1"/>
  <c r="F50" i="5"/>
  <c r="H63" i="37"/>
  <c r="H23" i="47" s="1"/>
  <c r="G47" i="5"/>
  <c r="S51" i="5" s="1"/>
  <c r="E118" i="5"/>
  <c r="I24" i="47"/>
  <c r="F118" i="5" s="1"/>
  <c r="I60" i="37"/>
  <c r="H47" i="5" s="1"/>
  <c r="AO47" i="5"/>
  <c r="S117" i="5" l="1"/>
  <c r="S107" i="5" s="1"/>
  <c r="S93" i="5"/>
  <c r="L42" i="1" s="1"/>
  <c r="M12" i="9" s="1"/>
  <c r="M60" i="9" s="1"/>
  <c r="AH34" i="1"/>
  <c r="AI34" i="1" s="1"/>
  <c r="K42" i="1"/>
  <c r="L12" i="9" s="1"/>
  <c r="L60" i="9" s="1"/>
  <c r="G50" i="5"/>
  <c r="L11" i="9"/>
  <c r="F44" i="11"/>
  <c r="F40" i="11" s="1"/>
  <c r="H40" i="11" s="1"/>
  <c r="I63" i="37"/>
  <c r="E117" i="5"/>
  <c r="I23" i="47"/>
  <c r="H13" i="47"/>
  <c r="U41" i="1"/>
  <c r="AP47" i="5"/>
  <c r="AO50" i="5"/>
  <c r="H50" i="5"/>
  <c r="AO51" i="5"/>
  <c r="S102" i="5" l="1"/>
  <c r="K43" i="1"/>
  <c r="L13" i="9" s="1"/>
  <c r="AH102" i="5"/>
  <c r="R107" i="5"/>
  <c r="R102" i="5" s="1"/>
  <c r="R104" i="5" s="1"/>
  <c r="AO117" i="5"/>
  <c r="F48" i="11"/>
  <c r="AB102" i="5"/>
  <c r="I13" i="47"/>
  <c r="F107" i="5" s="1"/>
  <c r="K127" i="5" s="1"/>
  <c r="K128" i="5" s="1"/>
  <c r="F117" i="5"/>
  <c r="H8" i="47"/>
  <c r="E107" i="5"/>
  <c r="U42" i="1"/>
  <c r="U43" i="1" s="1"/>
  <c r="AO93" i="5"/>
  <c r="V11" i="9"/>
  <c r="AO107" i="5" l="1"/>
  <c r="K130" i="5"/>
  <c r="D73" i="4"/>
  <c r="L127" i="5"/>
  <c r="AB104" i="5"/>
  <c r="AO102" i="5"/>
  <c r="E102" i="5"/>
  <c r="I8" i="47"/>
  <c r="V13" i="9"/>
  <c r="AH42" i="1"/>
  <c r="V12" i="9"/>
  <c r="L128" i="5" l="1"/>
  <c r="M127" i="5"/>
  <c r="F102" i="5"/>
  <c r="AI12" i="9"/>
  <c r="V60" i="9"/>
  <c r="E73" i="4" l="1"/>
  <c r="E75" i="4" s="1"/>
  <c r="L130" i="5"/>
  <c r="N127" i="5"/>
  <c r="M128" i="5"/>
  <c r="AI60" i="9"/>
  <c r="F73" i="4" l="1"/>
  <c r="F75" i="4" s="1"/>
  <c r="M130" i="5"/>
  <c r="D75" i="4"/>
  <c r="N128" i="5"/>
  <c r="O127" i="5"/>
  <c r="G73" i="4" l="1"/>
  <c r="O128" i="5"/>
  <c r="N130" i="5"/>
  <c r="P127" i="5"/>
  <c r="D76" i="4"/>
  <c r="O130" i="5" l="1"/>
  <c r="H73" i="4"/>
  <c r="D77" i="4"/>
  <c r="E76" i="4"/>
  <c r="P128" i="5"/>
  <c r="I73" i="4" s="1"/>
  <c r="Q127" i="5"/>
  <c r="P130" i="5" l="1"/>
  <c r="E77" i="4"/>
  <c r="F76" i="4"/>
  <c r="Q128" i="5"/>
  <c r="R127" i="5"/>
  <c r="D48" i="4"/>
  <c r="D50" i="4" l="1"/>
  <c r="J73" i="4"/>
  <c r="Q130" i="5"/>
  <c r="S127" i="5"/>
  <c r="S128" i="5" s="1"/>
  <c r="F77" i="4"/>
  <c r="R128" i="5"/>
  <c r="E48" i="4"/>
  <c r="E50" i="4" s="1"/>
  <c r="L73" i="4" l="1"/>
  <c r="R130" i="5"/>
  <c r="K73" i="4"/>
  <c r="T127" i="5"/>
  <c r="U127" i="5" s="1"/>
  <c r="S130" i="5"/>
  <c r="F8" i="9"/>
  <c r="E52" i="4"/>
  <c r="F9" i="9" s="1"/>
  <c r="F59" i="9" s="1"/>
  <c r="F61" i="9" s="1"/>
  <c r="F48" i="4"/>
  <c r="F50" i="4" s="1"/>
  <c r="G8" i="9" s="1"/>
  <c r="D52" i="4"/>
  <c r="E9" i="9" s="1"/>
  <c r="E8" i="9"/>
  <c r="T128" i="5" l="1"/>
  <c r="E54" i="4"/>
  <c r="F10" i="9" s="1"/>
  <c r="F17" i="9" s="1"/>
  <c r="D54" i="4"/>
  <c r="E10" i="9" s="1"/>
  <c r="E59" i="9"/>
  <c r="U128" i="5"/>
  <c r="V127" i="5"/>
  <c r="F52" i="4"/>
  <c r="G9" i="9" l="1"/>
  <c r="G59" i="9" s="1"/>
  <c r="G61" i="9" s="1"/>
  <c r="N73" i="4"/>
  <c r="T130" i="5"/>
  <c r="M73" i="4"/>
  <c r="U130" i="5"/>
  <c r="F14" i="9"/>
  <c r="F54" i="4"/>
  <c r="V128" i="5"/>
  <c r="W127" i="5"/>
  <c r="E61" i="9"/>
  <c r="E62" i="9" s="1"/>
  <c r="E17" i="9"/>
  <c r="E14" i="9"/>
  <c r="G10" i="9" l="1"/>
  <c r="G17" i="9" s="1"/>
  <c r="V130" i="5"/>
  <c r="O73" i="4"/>
  <c r="E63" i="9"/>
  <c r="E16" i="9" s="1"/>
  <c r="E19" i="9" s="1"/>
  <c r="E26" i="9" s="1"/>
  <c r="F62" i="9"/>
  <c r="W128" i="5"/>
  <c r="X127" i="5"/>
  <c r="G14" i="9" l="1"/>
  <c r="P73" i="4"/>
  <c r="W130" i="5"/>
  <c r="X128" i="5"/>
  <c r="Y127" i="5"/>
  <c r="F63" i="9"/>
  <c r="F16" i="9" s="1"/>
  <c r="F19" i="9" s="1"/>
  <c r="F26" i="9" s="1"/>
  <c r="G62" i="9"/>
  <c r="E20" i="9"/>
  <c r="E43" i="9"/>
  <c r="E47" i="9" s="1"/>
  <c r="E48" i="9" l="1"/>
  <c r="Q73" i="4"/>
  <c r="X130" i="5"/>
  <c r="E37" i="9"/>
  <c r="E38" i="9" s="1"/>
  <c r="E27" i="9"/>
  <c r="F37" i="9"/>
  <c r="F43" i="9"/>
  <c r="F47" i="9" s="1"/>
  <c r="F48" i="9" s="1"/>
  <c r="F20" i="9"/>
  <c r="G63" i="9"/>
  <c r="G16" i="9" s="1"/>
  <c r="G19" i="9" s="1"/>
  <c r="G26" i="9" s="1"/>
  <c r="Z127" i="5"/>
  <c r="Y128" i="5"/>
  <c r="Y130" i="5" l="1"/>
  <c r="R73" i="4"/>
  <c r="Z128" i="5"/>
  <c r="Z130" i="5" s="1"/>
  <c r="AA127" i="5"/>
  <c r="G37" i="9"/>
  <c r="G43" i="9"/>
  <c r="G47" i="9" s="1"/>
  <c r="G48" i="9" s="1"/>
  <c r="G20" i="9"/>
  <c r="F38" i="9"/>
  <c r="F27" i="9"/>
  <c r="S73" i="4" l="1"/>
  <c r="AB127" i="5"/>
  <c r="G38" i="9"/>
  <c r="G27" i="9"/>
  <c r="AA128" i="5"/>
  <c r="AA130" i="5" l="1"/>
  <c r="T73" i="4"/>
  <c r="AC127" i="5"/>
  <c r="AC128" i="5" s="1"/>
  <c r="AB128" i="5"/>
  <c r="AB130" i="5" l="1"/>
  <c r="U73" i="4"/>
  <c r="AD127" i="5"/>
  <c r="AD128" i="5" s="1"/>
  <c r="V73" i="4" l="1"/>
  <c r="AC130" i="5"/>
  <c r="AE127" i="5"/>
  <c r="AE128" i="5" s="1"/>
  <c r="X73" i="4" s="1"/>
  <c r="W73" i="4" l="1"/>
  <c r="AD130" i="5"/>
  <c r="AF127" i="5"/>
  <c r="AF128" i="5" l="1"/>
  <c r="Y73" i="4" s="1"/>
  <c r="AE130" i="5"/>
  <c r="AG127" i="5"/>
  <c r="AG128" i="5" s="1"/>
  <c r="Z73" i="4" s="1"/>
  <c r="AF130" i="5" l="1"/>
  <c r="AH127" i="5"/>
  <c r="AH128" i="5" l="1"/>
  <c r="AA73" i="4" s="1"/>
  <c r="AI127" i="5"/>
  <c r="AG130" i="5"/>
  <c r="AH130" i="5" l="1"/>
  <c r="AI128" i="5"/>
  <c r="AB73" i="4" s="1"/>
  <c r="AJ127" i="5"/>
  <c r="AD35" i="9"/>
  <c r="AJ128" i="5" l="1"/>
  <c r="AC73" i="4" s="1"/>
  <c r="AI130" i="5"/>
  <c r="AK127" i="5"/>
  <c r="AJ130" i="5" l="1"/>
  <c r="AL127" i="5"/>
  <c r="AK128" i="5"/>
  <c r="AD73" i="4" s="1"/>
  <c r="AD75" i="4" s="1"/>
  <c r="AE35" i="9"/>
  <c r="AK130" i="5" l="1"/>
  <c r="AM127" i="5"/>
  <c r="AL128" i="5"/>
  <c r="AE73" i="4" s="1"/>
  <c r="AE75" i="4" s="1"/>
  <c r="AN127" i="5" l="1"/>
  <c r="AM128" i="5"/>
  <c r="AF73" i="4" s="1"/>
  <c r="AF75" i="4" s="1"/>
  <c r="AL130" i="5"/>
  <c r="AM130" i="5" l="1"/>
  <c r="AN128" i="5"/>
  <c r="AG73" i="4" s="1"/>
  <c r="AG75" i="4" s="1"/>
  <c r="AC30" i="9"/>
  <c r="AC31" i="9" s="1"/>
  <c r="AC35" i="9" s="1"/>
  <c r="AI35" i="9" s="1"/>
  <c r="AN130" i="5" l="1"/>
  <c r="AC45" i="9"/>
  <c r="AD30" i="9"/>
  <c r="AE30" i="9" l="1"/>
  <c r="AF30" i="9" s="1"/>
  <c r="AG30" i="9" s="1"/>
  <c r="AH30" i="9" s="1"/>
  <c r="AD45" i="9" l="1"/>
  <c r="AJ119" i="5"/>
  <c r="AK83" i="5"/>
  <c r="AE45" i="9"/>
  <c r="AK124" i="5" l="1"/>
  <c r="AK119" i="5" s="1"/>
  <c r="AK103" i="5" s="1"/>
  <c r="AK104" i="5" s="1"/>
  <c r="AD40" i="1"/>
  <c r="AD41" i="1" s="1"/>
  <c r="AC40" i="1"/>
  <c r="AL83" i="5"/>
  <c r="AL124" i="5" l="1"/>
  <c r="AL119" i="5" s="1"/>
  <c r="AL103" i="5" s="1"/>
  <c r="AL104" i="5" s="1"/>
  <c r="AE40" i="1"/>
  <c r="AE41" i="1" s="1"/>
  <c r="AF11" i="9" s="1"/>
  <c r="AC41" i="1"/>
  <c r="AM83" i="5"/>
  <c r="AM124" i="5" s="1"/>
  <c r="AE11" i="9"/>
  <c r="AD43" i="1"/>
  <c r="AE13" i="9" s="1"/>
  <c r="AJ103" i="5" l="1"/>
  <c r="AF40" i="1"/>
  <c r="AC43" i="1"/>
  <c r="AD11" i="9"/>
  <c r="AE43" i="1"/>
  <c r="AF13" i="9" s="1"/>
  <c r="AO127" i="5" l="1"/>
  <c r="AP127" i="5" s="1"/>
  <c r="AN83" i="5"/>
  <c r="AD13" i="9"/>
  <c r="AJ104" i="5"/>
  <c r="AN124" i="5" l="1"/>
  <c r="AN119" i="5" s="1"/>
  <c r="AG40" i="1"/>
  <c r="AG41" i="1" l="1"/>
  <c r="AH11" i="9" s="1"/>
  <c r="AG43" i="1" l="1"/>
  <c r="AH13" i="9" s="1"/>
  <c r="AN103" i="5"/>
  <c r="AN104" i="5" l="1"/>
  <c r="AO130" i="5" l="1"/>
  <c r="AO128" i="5" l="1"/>
  <c r="AP128" i="5" s="1"/>
  <c r="AH73" i="4" l="1"/>
  <c r="AI73" i="4" s="1"/>
  <c r="AI31" i="9" l="1"/>
  <c r="AI32" i="9" l="1"/>
  <c r="G83" i="5" l="1"/>
  <c r="G93" i="5" s="1"/>
  <c r="AO80" i="5" l="1"/>
  <c r="G95" i="5"/>
  <c r="AI42" i="1" s="1"/>
  <c r="H80" i="5" l="1"/>
  <c r="AO83" i="5"/>
  <c r="AO124" i="5" l="1"/>
  <c r="F80" i="5"/>
  <c r="F83" i="5" s="1"/>
  <c r="H83" i="5"/>
  <c r="AH40" i="1"/>
  <c r="F55" i="11" l="1"/>
  <c r="H95" i="5"/>
  <c r="F95" i="5"/>
  <c r="AI40" i="1"/>
  <c r="I82" i="5" l="1"/>
  <c r="I44" i="5"/>
  <c r="I7" i="5"/>
  <c r="I45" i="5"/>
  <c r="I23" i="5"/>
  <c r="I61" i="5"/>
  <c r="I35" i="5"/>
  <c r="I55" i="5"/>
  <c r="I67" i="5"/>
  <c r="I33" i="5"/>
  <c r="I31" i="5"/>
  <c r="I20" i="5"/>
  <c r="I48" i="5"/>
  <c r="I54" i="5"/>
  <c r="I62" i="5"/>
  <c r="I68" i="5"/>
  <c r="I37" i="5"/>
  <c r="I21" i="5"/>
  <c r="I22" i="5"/>
  <c r="I24" i="5"/>
  <c r="I9" i="5"/>
  <c r="I17" i="5"/>
  <c r="I18" i="5"/>
  <c r="I88" i="5"/>
  <c r="I28" i="5"/>
  <c r="I89" i="5"/>
  <c r="I46" i="5"/>
  <c r="I32" i="5"/>
  <c r="I56" i="5"/>
  <c r="I50" i="5"/>
  <c r="I81" i="5"/>
  <c r="I73" i="5"/>
  <c r="I74" i="5"/>
  <c r="I75" i="5"/>
  <c r="I79" i="5"/>
  <c r="I72" i="5"/>
  <c r="I43" i="5"/>
  <c r="I19" i="5"/>
  <c r="I29" i="5"/>
  <c r="I11" i="5"/>
  <c r="I69" i="5"/>
  <c r="I8" i="5"/>
  <c r="I16" i="5"/>
  <c r="I30" i="5"/>
  <c r="I34" i="5"/>
  <c r="I15" i="5"/>
  <c r="I71" i="5"/>
  <c r="I38" i="5"/>
  <c r="I39" i="5"/>
  <c r="I10" i="5"/>
  <c r="I36" i="5"/>
  <c r="I63" i="5"/>
  <c r="I12" i="5"/>
  <c r="I57" i="5"/>
  <c r="I49" i="5"/>
  <c r="I70" i="5"/>
  <c r="I87" i="5"/>
  <c r="I47" i="5"/>
  <c r="I80" i="5"/>
  <c r="I83" i="5"/>
  <c r="H30" i="47"/>
  <c r="F57" i="11"/>
  <c r="N75" i="5" l="1"/>
  <c r="N122" i="5" s="1"/>
  <c r="AO73" i="5"/>
  <c r="I30" i="47"/>
  <c r="E124" i="5"/>
  <c r="H25" i="47"/>
  <c r="I90" i="5"/>
  <c r="H51" i="11"/>
  <c r="F59" i="11"/>
  <c r="N119" i="5" l="1"/>
  <c r="G38" i="1"/>
  <c r="AP73" i="5"/>
  <c r="AO75" i="5"/>
  <c r="S75" i="5"/>
  <c r="S122" i="5" s="1"/>
  <c r="G54" i="11"/>
  <c r="G37" i="11"/>
  <c r="G59" i="11"/>
  <c r="G53" i="11"/>
  <c r="G55" i="11"/>
  <c r="F63" i="11"/>
  <c r="G51" i="11"/>
  <c r="G40" i="11"/>
  <c r="G52" i="11"/>
  <c r="G48" i="11"/>
  <c r="G57" i="11"/>
  <c r="H9" i="47"/>
  <c r="E119" i="5"/>
  <c r="I25" i="47"/>
  <c r="F119" i="5" s="1"/>
  <c r="F124" i="5"/>
  <c r="N103" i="5" l="1"/>
  <c r="S119" i="5"/>
  <c r="S103" i="5" s="1"/>
  <c r="S104" i="5" s="1"/>
  <c r="L38" i="1"/>
  <c r="L41" i="1" s="1"/>
  <c r="G41" i="1"/>
  <c r="X75" i="5"/>
  <c r="X122" i="5" s="1"/>
  <c r="I9" i="47"/>
  <c r="E103" i="5"/>
  <c r="H10" i="47"/>
  <c r="F64" i="11"/>
  <c r="F65" i="11"/>
  <c r="F66" i="11" s="1"/>
  <c r="F67" i="11" s="1"/>
  <c r="N104" i="5" l="1"/>
  <c r="X119" i="5"/>
  <c r="X103" i="5" s="1"/>
  <c r="X104" i="5" s="1"/>
  <c r="Q38" i="1"/>
  <c r="M11" i="9"/>
  <c r="L43" i="1"/>
  <c r="M13" i="9" s="1"/>
  <c r="AC75" i="5"/>
  <c r="AC122" i="5" s="1"/>
  <c r="G43" i="1"/>
  <c r="H11" i="9"/>
  <c r="J11" i="47"/>
  <c r="G105" i="5" s="1"/>
  <c r="K11" i="47"/>
  <c r="H105" i="5" s="1"/>
  <c r="E104" i="5"/>
  <c r="F103" i="5"/>
  <c r="I10" i="47"/>
  <c r="H13" i="9" l="1"/>
  <c r="Q41" i="1"/>
  <c r="Q43" i="1" s="1"/>
  <c r="R13" i="9" s="1"/>
  <c r="AC119" i="5"/>
  <c r="AC103" i="5" s="1"/>
  <c r="AC104" i="5" s="1"/>
  <c r="V38" i="1"/>
  <c r="V41" i="1" s="1"/>
  <c r="AH75" i="5"/>
  <c r="AH122" i="5" s="1"/>
  <c r="F74" i="11"/>
  <c r="F104" i="5"/>
  <c r="I11" i="47"/>
  <c r="F105" i="5" s="1"/>
  <c r="R11" i="9" l="1"/>
  <c r="AH119" i="5"/>
  <c r="AH103" i="5" s="1"/>
  <c r="AH104" i="5" s="1"/>
  <c r="AA38" i="1"/>
  <c r="AA41" i="1" s="1"/>
  <c r="W11" i="9"/>
  <c r="V43" i="1"/>
  <c r="W13" i="9" s="1"/>
  <c r="AM75" i="5"/>
  <c r="AM122" i="5" s="1"/>
  <c r="AO122" i="5" s="1"/>
  <c r="F69" i="11"/>
  <c r="F78" i="11"/>
  <c r="AB11" i="9" l="1"/>
  <c r="AA43" i="1"/>
  <c r="AB13" i="9" s="1"/>
  <c r="AM119" i="5"/>
  <c r="AF38" i="1"/>
  <c r="AF41" i="1" s="1"/>
  <c r="AG11" i="9" s="1"/>
  <c r="G74" i="11"/>
  <c r="F68" i="11"/>
  <c r="G78" i="11"/>
  <c r="G76" i="11"/>
  <c r="G75" i="11"/>
  <c r="AI29" i="9"/>
  <c r="AM103" i="5" l="1"/>
  <c r="AF43" i="1"/>
  <c r="AG13" i="9" s="1"/>
  <c r="AI11" i="9"/>
  <c r="AI13" i="9" l="1"/>
  <c r="AH43" i="1"/>
  <c r="AI43" i="1" s="1"/>
  <c r="AM104" i="5"/>
  <c r="AO104" i="5" s="1"/>
  <c r="AO119" i="5" l="1"/>
  <c r="AH38" i="1"/>
  <c r="AI38" i="1" l="1"/>
  <c r="AH41" i="1"/>
  <c r="AI41" i="1" s="1"/>
  <c r="AO103" i="5"/>
  <c r="AD50" i="4" l="1"/>
  <c r="AD52" i="4" l="1"/>
  <c r="AD54" i="4" s="1"/>
  <c r="AE50" i="4"/>
  <c r="AF8" i="9" s="1"/>
  <c r="AE8" i="9"/>
  <c r="AE9" i="9" l="1"/>
  <c r="AE59" i="9" s="1"/>
  <c r="AE61" i="9" s="1"/>
  <c r="AE52" i="4"/>
  <c r="AF9" i="9" s="1"/>
  <c r="AF59" i="9" s="1"/>
  <c r="AF61" i="9" s="1"/>
  <c r="AF50" i="4"/>
  <c r="AG8" i="9" s="1"/>
  <c r="AE10" i="9"/>
  <c r="AE54" i="4" l="1"/>
  <c r="AF10" i="9" s="1"/>
  <c r="AF52" i="4"/>
  <c r="AG9" i="9" s="1"/>
  <c r="AG59" i="9" s="1"/>
  <c r="AG61" i="9" s="1"/>
  <c r="AE17" i="9"/>
  <c r="AE14" i="9"/>
  <c r="AG50" i="4"/>
  <c r="AH8" i="9" s="1"/>
  <c r="AF14" i="9" l="1"/>
  <c r="AF17" i="9"/>
  <c r="AF54" i="4"/>
  <c r="AG10" i="9" s="1"/>
  <c r="AG52" i="4"/>
  <c r="AG54" i="4" l="1"/>
  <c r="AH10" i="9" s="1"/>
  <c r="AH9" i="9"/>
  <c r="AH59" i="9" s="1"/>
  <c r="AH61" i="9" s="1"/>
  <c r="AG14" i="9"/>
  <c r="AG17" i="9"/>
  <c r="AH17" i="9" l="1"/>
  <c r="AH14" i="9"/>
  <c r="G30" i="4"/>
  <c r="G38" i="4"/>
  <c r="H24" i="4"/>
  <c r="I24" i="4" l="1"/>
  <c r="J24" i="4" s="1"/>
  <c r="H38" i="4"/>
  <c r="H74" i="4" s="1"/>
  <c r="H75" i="4" s="1"/>
  <c r="H30" i="4"/>
  <c r="G74" i="4"/>
  <c r="G75" i="4" s="1"/>
  <c r="I38" i="4" l="1"/>
  <c r="I74" i="4" s="1"/>
  <c r="I75" i="4" s="1"/>
  <c r="J30" i="4"/>
  <c r="J38" i="4"/>
  <c r="J74" i="4" s="1"/>
  <c r="J75" i="4" s="1"/>
  <c r="I30" i="4"/>
  <c r="K24" i="4"/>
  <c r="K30" i="4" s="1"/>
  <c r="K38" i="4" l="1"/>
  <c r="K74" i="4" s="1"/>
  <c r="K75" i="4" s="1"/>
  <c r="L24" i="4"/>
  <c r="L38" i="4" s="1"/>
  <c r="G76" i="4"/>
  <c r="L30" i="4" l="1"/>
  <c r="M24" i="4"/>
  <c r="N24" i="4" s="1"/>
  <c r="N30" i="4" s="1"/>
  <c r="G77" i="4"/>
  <c r="H76" i="4"/>
  <c r="L74" i="4"/>
  <c r="M38" i="4" l="1"/>
  <c r="M74" i="4" s="1"/>
  <c r="M75" i="4" s="1"/>
  <c r="N38" i="4"/>
  <c r="N74" i="4" s="1"/>
  <c r="N75" i="4" s="1"/>
  <c r="O24" i="4"/>
  <c r="P24" i="4" s="1"/>
  <c r="P30" i="4" s="1"/>
  <c r="M30" i="4"/>
  <c r="L75" i="4"/>
  <c r="H77" i="4"/>
  <c r="I76" i="4"/>
  <c r="G48" i="4"/>
  <c r="H48" i="4" l="1"/>
  <c r="H50" i="4" s="1"/>
  <c r="O30" i="4"/>
  <c r="P38" i="4"/>
  <c r="P74" i="4" s="1"/>
  <c r="P75" i="4" s="1"/>
  <c r="O38" i="4"/>
  <c r="Q24" i="4"/>
  <c r="R24" i="4" s="1"/>
  <c r="R30" i="4" s="1"/>
  <c r="O74" i="4"/>
  <c r="O75" i="4" s="1"/>
  <c r="G50" i="4"/>
  <c r="I77" i="4"/>
  <c r="J76" i="4"/>
  <c r="Q30" i="4" l="1"/>
  <c r="S24" i="4"/>
  <c r="T24" i="4" s="1"/>
  <c r="T38" i="4" s="1"/>
  <c r="H52" i="4"/>
  <c r="I9" i="9" s="1"/>
  <c r="I59" i="9" s="1"/>
  <c r="I61" i="9" s="1"/>
  <c r="I8" i="9"/>
  <c r="Q38" i="4"/>
  <c r="Q74" i="4" s="1"/>
  <c r="R38" i="4"/>
  <c r="R74" i="4" s="1"/>
  <c r="R75" i="4" s="1"/>
  <c r="I48" i="4"/>
  <c r="H8" i="9"/>
  <c r="G52" i="4"/>
  <c r="H9" i="9" s="1"/>
  <c r="J77" i="4"/>
  <c r="J48" i="4" s="1"/>
  <c r="J50" i="4" s="1"/>
  <c r="K76" i="4"/>
  <c r="T30" i="4" l="1"/>
  <c r="U24" i="4"/>
  <c r="U30" i="4" s="1"/>
  <c r="H54" i="4"/>
  <c r="I10" i="9" s="1"/>
  <c r="I17" i="9" s="1"/>
  <c r="S30" i="4"/>
  <c r="S38" i="4"/>
  <c r="S74" i="4" s="1"/>
  <c r="S75" i="4" s="1"/>
  <c r="V24" i="4"/>
  <c r="K77" i="4"/>
  <c r="L76" i="4"/>
  <c r="H59" i="9"/>
  <c r="K8" i="9"/>
  <c r="J52" i="4"/>
  <c r="K9" i="9" s="1"/>
  <c r="K59" i="9" s="1"/>
  <c r="K61" i="9" s="1"/>
  <c r="T74" i="4"/>
  <c r="T75" i="4" s="1"/>
  <c r="Q75" i="4"/>
  <c r="G54" i="4"/>
  <c r="I50" i="4"/>
  <c r="U38" i="4" l="1"/>
  <c r="U74" i="4" s="1"/>
  <c r="U75" i="4" s="1"/>
  <c r="I14" i="9"/>
  <c r="J54" i="4"/>
  <c r="K10" i="9" s="1"/>
  <c r="K17" i="9" s="1"/>
  <c r="J8" i="9"/>
  <c r="I52" i="4"/>
  <c r="J9" i="9" s="1"/>
  <c r="L77" i="4"/>
  <c r="L48" i="4" s="1"/>
  <c r="L50" i="4" s="1"/>
  <c r="M76" i="4"/>
  <c r="V30" i="4"/>
  <c r="V38" i="4"/>
  <c r="H10" i="9"/>
  <c r="H61" i="9"/>
  <c r="H62" i="9" s="1"/>
  <c r="K48" i="4"/>
  <c r="W24" i="4"/>
  <c r="K14" i="9" l="1"/>
  <c r="H63" i="9"/>
  <c r="I62" i="9"/>
  <c r="I63" i="9" s="1"/>
  <c r="I16" i="9" s="1"/>
  <c r="I19" i="9" s="1"/>
  <c r="H14" i="9"/>
  <c r="H17" i="9"/>
  <c r="V74" i="4"/>
  <c r="V75" i="4" s="1"/>
  <c r="M77" i="4"/>
  <c r="N76" i="4"/>
  <c r="W30" i="4"/>
  <c r="W38" i="4"/>
  <c r="X24" i="4"/>
  <c r="K50" i="4"/>
  <c r="L52" i="4"/>
  <c r="M9" i="9" s="1"/>
  <c r="M59" i="9" s="1"/>
  <c r="M61" i="9" s="1"/>
  <c r="M8" i="9"/>
  <c r="J59" i="9"/>
  <c r="I54" i="4"/>
  <c r="L54" i="4" l="1"/>
  <c r="M10" i="9" s="1"/>
  <c r="M17" i="9" s="1"/>
  <c r="L8" i="9"/>
  <c r="K52" i="4"/>
  <c r="L9" i="9" s="1"/>
  <c r="W74" i="4"/>
  <c r="W75" i="4" s="1"/>
  <c r="M48" i="4"/>
  <c r="I26" i="9"/>
  <c r="I43" i="9"/>
  <c r="I47" i="9" s="1"/>
  <c r="J10" i="9"/>
  <c r="J61" i="9"/>
  <c r="J62" i="9" s="1"/>
  <c r="X30" i="4"/>
  <c r="X38" i="4"/>
  <c r="Y24" i="4"/>
  <c r="N77" i="4"/>
  <c r="N48" i="4" s="1"/>
  <c r="N50" i="4" s="1"/>
  <c r="O76" i="4"/>
  <c r="H16" i="9"/>
  <c r="M14" i="9" l="1"/>
  <c r="O8" i="9"/>
  <c r="N52" i="4"/>
  <c r="O9" i="9" s="1"/>
  <c r="O59" i="9" s="1"/>
  <c r="O61" i="9" s="1"/>
  <c r="X74" i="4"/>
  <c r="X75" i="4" s="1"/>
  <c r="J17" i="9"/>
  <c r="J14" i="9"/>
  <c r="I37" i="9"/>
  <c r="H19" i="9"/>
  <c r="O77" i="4"/>
  <c r="O48" i="4" s="1"/>
  <c r="O50" i="4" s="1"/>
  <c r="P76" i="4"/>
  <c r="Y30" i="4"/>
  <c r="Y38" i="4"/>
  <c r="Z24" i="4"/>
  <c r="M50" i="4"/>
  <c r="K54" i="4"/>
  <c r="J63" i="9"/>
  <c r="K62" i="9"/>
  <c r="K63" i="9" s="1"/>
  <c r="K16" i="9" s="1"/>
  <c r="K19" i="9" s="1"/>
  <c r="L59" i="9"/>
  <c r="N54" i="4" l="1"/>
  <c r="O10" i="9" s="1"/>
  <c r="O14" i="9" s="1"/>
  <c r="L61" i="9"/>
  <c r="L62" i="9" s="1"/>
  <c r="K43" i="9"/>
  <c r="K47" i="9" s="1"/>
  <c r="K26" i="9"/>
  <c r="Y74" i="4"/>
  <c r="Y75" i="4" s="1"/>
  <c r="Y50" i="4"/>
  <c r="P77" i="4"/>
  <c r="P48" i="4" s="1"/>
  <c r="Q76" i="4"/>
  <c r="H20" i="9"/>
  <c r="I20" i="9" s="1"/>
  <c r="H26" i="9"/>
  <c r="H43" i="9"/>
  <c r="H47" i="9" s="1"/>
  <c r="J16" i="9"/>
  <c r="L10" i="9"/>
  <c r="N8" i="9"/>
  <c r="M52" i="4"/>
  <c r="N9" i="9" s="1"/>
  <c r="Z30" i="4"/>
  <c r="Z38" i="4"/>
  <c r="AA24" i="4"/>
  <c r="P8" i="9"/>
  <c r="O52" i="4"/>
  <c r="P9" i="9" s="1"/>
  <c r="P59" i="9" s="1"/>
  <c r="P61" i="9" s="1"/>
  <c r="O17" i="9" l="1"/>
  <c r="Z50" i="4"/>
  <c r="Z74" i="4"/>
  <c r="Z75" i="4" s="1"/>
  <c r="N59" i="9"/>
  <c r="H37" i="9"/>
  <c r="H38" i="9" s="1"/>
  <c r="I38" i="9" s="1"/>
  <c r="H27" i="9"/>
  <c r="I27" i="9" s="1"/>
  <c r="P50" i="4"/>
  <c r="O54" i="4"/>
  <c r="P10" i="9" s="1"/>
  <c r="AA30" i="4"/>
  <c r="AA38" i="4"/>
  <c r="AB24" i="4"/>
  <c r="M54" i="4"/>
  <c r="L17" i="9"/>
  <c r="L14" i="9"/>
  <c r="J19" i="9"/>
  <c r="H48" i="9"/>
  <c r="I48" i="9" s="1"/>
  <c r="Q77" i="4"/>
  <c r="R76" i="4"/>
  <c r="Z8" i="9"/>
  <c r="Y52" i="4"/>
  <c r="Z9" i="9" s="1"/>
  <c r="Z59" i="9" s="1"/>
  <c r="Z61" i="9" s="1"/>
  <c r="K37" i="9"/>
  <c r="L63" i="9"/>
  <c r="M62" i="9"/>
  <c r="M63" i="9" s="1"/>
  <c r="M16" i="9" s="1"/>
  <c r="M19" i="9" s="1"/>
  <c r="Q48" i="4" l="1"/>
  <c r="Q50" i="4" s="1"/>
  <c r="M43" i="9"/>
  <c r="M47" i="9" s="1"/>
  <c r="M26" i="9"/>
  <c r="N10" i="9"/>
  <c r="AA74" i="4"/>
  <c r="AA75" i="4" s="1"/>
  <c r="AA50" i="4"/>
  <c r="P14" i="9"/>
  <c r="P17" i="9"/>
  <c r="Q8" i="9"/>
  <c r="P52" i="4"/>
  <c r="Q9" i="9" s="1"/>
  <c r="N61" i="9"/>
  <c r="N62" i="9" s="1"/>
  <c r="AA8" i="9"/>
  <c r="Z52" i="4"/>
  <c r="AA9" i="9" s="1"/>
  <c r="AA59" i="9" s="1"/>
  <c r="AA61" i="9" s="1"/>
  <c r="L16" i="9"/>
  <c r="Y54" i="4"/>
  <c r="Z10" i="9" s="1"/>
  <c r="R77" i="4"/>
  <c r="R48" i="4" s="1"/>
  <c r="R50" i="4" s="1"/>
  <c r="S76" i="4"/>
  <c r="J43" i="9"/>
  <c r="J47" i="9" s="1"/>
  <c r="J20" i="9"/>
  <c r="K20" i="9" s="1"/>
  <c r="J26" i="9"/>
  <c r="AB30" i="4"/>
  <c r="AB38" i="4"/>
  <c r="AC24" i="4"/>
  <c r="Q52" i="4" l="1"/>
  <c r="R9" i="9" s="1"/>
  <c r="R59" i="9" s="1"/>
  <c r="R61" i="9" s="1"/>
  <c r="R8" i="9"/>
  <c r="AC30" i="4"/>
  <c r="AC38" i="4"/>
  <c r="AD24" i="4"/>
  <c r="S77" i="4"/>
  <c r="S48" i="4" s="1"/>
  <c r="S50" i="4" s="1"/>
  <c r="T76" i="4"/>
  <c r="Z14" i="9"/>
  <c r="Z17" i="9"/>
  <c r="Z54" i="4"/>
  <c r="AA10" i="9" s="1"/>
  <c r="N63" i="9"/>
  <c r="O62" i="9"/>
  <c r="Q59" i="9"/>
  <c r="P54" i="4"/>
  <c r="AB8" i="9"/>
  <c r="AA52" i="4"/>
  <c r="AB9" i="9" s="1"/>
  <c r="AB59" i="9" s="1"/>
  <c r="AB61" i="9" s="1"/>
  <c r="AB74" i="4"/>
  <c r="AB75" i="4" s="1"/>
  <c r="J27" i="9"/>
  <c r="K27" i="9" s="1"/>
  <c r="J37" i="9"/>
  <c r="J38" i="9" s="1"/>
  <c r="K38" i="9" s="1"/>
  <c r="J48" i="9"/>
  <c r="K48" i="9" s="1"/>
  <c r="S8" i="9"/>
  <c r="R52" i="4"/>
  <c r="S9" i="9" s="1"/>
  <c r="S59" i="9" s="1"/>
  <c r="S61" i="9" s="1"/>
  <c r="L19" i="9"/>
  <c r="N17" i="9"/>
  <c r="N14" i="9"/>
  <c r="M37" i="9"/>
  <c r="Q54" i="4" l="1"/>
  <c r="R10" i="9" s="1"/>
  <c r="R17" i="9" s="1"/>
  <c r="R54" i="4"/>
  <c r="S10" i="9" s="1"/>
  <c r="S17" i="9" s="1"/>
  <c r="AA54" i="4"/>
  <c r="AB10" i="9" s="1"/>
  <c r="AB17" i="9" s="1"/>
  <c r="O63" i="9"/>
  <c r="O16" i="9" s="1"/>
  <c r="O19" i="9" s="1"/>
  <c r="P62" i="9"/>
  <c r="P63" i="9" s="1"/>
  <c r="P16" i="9" s="1"/>
  <c r="P19" i="9" s="1"/>
  <c r="AA17" i="9"/>
  <c r="AA14" i="9"/>
  <c r="T8" i="9"/>
  <c r="S52" i="4"/>
  <c r="T9" i="9" s="1"/>
  <c r="T59" i="9" s="1"/>
  <c r="T61" i="9" s="1"/>
  <c r="AC50" i="4"/>
  <c r="AC74" i="4"/>
  <c r="AH38" i="4"/>
  <c r="AI38" i="4" s="1"/>
  <c r="L26" i="9"/>
  <c r="L43" i="9"/>
  <c r="L47" i="9" s="1"/>
  <c r="L20" i="9"/>
  <c r="M20" i="9" s="1"/>
  <c r="Q10" i="9"/>
  <c r="Q61" i="9"/>
  <c r="N16" i="9"/>
  <c r="T77" i="4"/>
  <c r="T48" i="4" s="1"/>
  <c r="T50" i="4" s="1"/>
  <c r="U76" i="4"/>
  <c r="AD30" i="4"/>
  <c r="AE24" i="4"/>
  <c r="R14" i="9" l="1"/>
  <c r="S14" i="9"/>
  <c r="Q62" i="9"/>
  <c r="Q63" i="9" s="1"/>
  <c r="AB14" i="9"/>
  <c r="AE30" i="4"/>
  <c r="AF24" i="4"/>
  <c r="T52" i="4"/>
  <c r="U9" i="9" s="1"/>
  <c r="U59" i="9" s="1"/>
  <c r="U61" i="9" s="1"/>
  <c r="U8" i="9"/>
  <c r="N19" i="9"/>
  <c r="Q17" i="9"/>
  <c r="Q14" i="9"/>
  <c r="L48" i="9"/>
  <c r="M48" i="9" s="1"/>
  <c r="AC75" i="4"/>
  <c r="AH74" i="4"/>
  <c r="AI74" i="4" s="1"/>
  <c r="P26" i="9"/>
  <c r="P43" i="9"/>
  <c r="P47" i="9" s="1"/>
  <c r="U77" i="4"/>
  <c r="U48" i="4" s="1"/>
  <c r="U50" i="4" s="1"/>
  <c r="V76" i="4"/>
  <c r="L27" i="9"/>
  <c r="M27" i="9" s="1"/>
  <c r="L37" i="9"/>
  <c r="L38" i="9" s="1"/>
  <c r="M38" i="9" s="1"/>
  <c r="AD8" i="9"/>
  <c r="AC52" i="4"/>
  <c r="AD9" i="9" s="1"/>
  <c r="S54" i="4"/>
  <c r="T10" i="9" s="1"/>
  <c r="O26" i="9"/>
  <c r="O43" i="9"/>
  <c r="O47" i="9" s="1"/>
  <c r="R62" i="9" l="1"/>
  <c r="O37" i="9"/>
  <c r="AD59" i="9"/>
  <c r="P37" i="9"/>
  <c r="AH75" i="4"/>
  <c r="AC54" i="4"/>
  <c r="V77" i="4"/>
  <c r="V48" i="4" s="1"/>
  <c r="W76" i="4"/>
  <c r="Q16" i="9"/>
  <c r="T54" i="4"/>
  <c r="U10" i="9" s="1"/>
  <c r="AF30" i="4"/>
  <c r="AG24" i="4"/>
  <c r="AH24" i="4" s="1"/>
  <c r="T14" i="9"/>
  <c r="T17" i="9"/>
  <c r="V8" i="9"/>
  <c r="U52" i="4"/>
  <c r="V9" i="9" s="1"/>
  <c r="V59" i="9" s="1"/>
  <c r="V61" i="9" s="1"/>
  <c r="R63" i="9"/>
  <c r="R16" i="9" s="1"/>
  <c r="R19" i="9" s="1"/>
  <c r="S62" i="9"/>
  <c r="N20" i="9"/>
  <c r="O20" i="9" s="1"/>
  <c r="P20" i="9" s="1"/>
  <c r="N26" i="9"/>
  <c r="N43" i="9"/>
  <c r="N47" i="9" s="1"/>
  <c r="N27" i="9" l="1"/>
  <c r="O27" i="9" s="1"/>
  <c r="P27" i="9" s="1"/>
  <c r="N37" i="9"/>
  <c r="N38" i="9" s="1"/>
  <c r="O38" i="9" s="1"/>
  <c r="P38" i="9" s="1"/>
  <c r="S63" i="9"/>
  <c r="S16" i="9" s="1"/>
  <c r="S19" i="9" s="1"/>
  <c r="T62" i="9"/>
  <c r="V50" i="4"/>
  <c r="AD61" i="9"/>
  <c r="N48" i="9"/>
  <c r="O48" i="9" s="1"/>
  <c r="P48" i="9" s="1"/>
  <c r="R43" i="9"/>
  <c r="R47" i="9" s="1"/>
  <c r="R26" i="9"/>
  <c r="U54" i="4"/>
  <c r="V10" i="9" s="1"/>
  <c r="AG30" i="4"/>
  <c r="U17" i="9"/>
  <c r="U14" i="9"/>
  <c r="Q19" i="9"/>
  <c r="W77" i="4"/>
  <c r="W48" i="4" s="1"/>
  <c r="W50" i="4" s="1"/>
  <c r="X76" i="4"/>
  <c r="AD10" i="9"/>
  <c r="X77" i="4" l="1"/>
  <c r="X48" i="4" s="1"/>
  <c r="AI48" i="4" s="1"/>
  <c r="Y76" i="4"/>
  <c r="R37" i="9"/>
  <c r="S43" i="9"/>
  <c r="S47" i="9" s="1"/>
  <c r="S26" i="9"/>
  <c r="AD17" i="9"/>
  <c r="AD14" i="9"/>
  <c r="X8" i="9"/>
  <c r="W52" i="4"/>
  <c r="X9" i="9" s="1"/>
  <c r="X59" i="9" s="1"/>
  <c r="X61" i="9" s="1"/>
  <c r="Q20" i="9"/>
  <c r="R20" i="9" s="1"/>
  <c r="S20" i="9" s="1"/>
  <c r="Q43" i="9"/>
  <c r="Q47" i="9" s="1"/>
  <c r="Q26" i="9"/>
  <c r="V17" i="9"/>
  <c r="V14" i="9"/>
  <c r="V52" i="4"/>
  <c r="W9" i="9" s="1"/>
  <c r="W8" i="9"/>
  <c r="T63" i="9"/>
  <c r="T16" i="9" s="1"/>
  <c r="T19" i="9" s="1"/>
  <c r="U62" i="9"/>
  <c r="V54" i="4" l="1"/>
  <c r="W10" i="9" s="1"/>
  <c r="W59" i="9"/>
  <c r="Q48" i="9"/>
  <c r="R48" i="9" s="1"/>
  <c r="S48" i="9" s="1"/>
  <c r="Y77" i="4"/>
  <c r="Z76" i="4"/>
  <c r="T26" i="9"/>
  <c r="T20" i="9"/>
  <c r="T43" i="9"/>
  <c r="T47" i="9" s="1"/>
  <c r="U63" i="9"/>
  <c r="U16" i="9" s="1"/>
  <c r="U19" i="9" s="1"/>
  <c r="V62" i="9"/>
  <c r="V63" i="9" s="1"/>
  <c r="V16" i="9" s="1"/>
  <c r="V19" i="9" s="1"/>
  <c r="Q37" i="9"/>
  <c r="Q38" i="9" s="1"/>
  <c r="R38" i="9" s="1"/>
  <c r="Q27" i="9"/>
  <c r="R27" i="9" s="1"/>
  <c r="S27" i="9" s="1"/>
  <c r="W54" i="4"/>
  <c r="X10" i="9" s="1"/>
  <c r="S37" i="9"/>
  <c r="X50" i="4"/>
  <c r="AB48" i="4"/>
  <c r="T48" i="9" l="1"/>
  <c r="Y8" i="9"/>
  <c r="X52" i="4"/>
  <c r="Y9" i="9" s="1"/>
  <c r="S38" i="9"/>
  <c r="U20" i="9"/>
  <c r="V20" i="9" s="1"/>
  <c r="U43" i="9"/>
  <c r="U47" i="9" s="1"/>
  <c r="U26" i="9"/>
  <c r="Z77" i="4"/>
  <c r="AA76" i="4"/>
  <c r="AH48" i="4"/>
  <c r="AB50" i="4"/>
  <c r="AH50" i="4" s="1"/>
  <c r="X17" i="9"/>
  <c r="X14" i="9"/>
  <c r="V26" i="9"/>
  <c r="V43" i="9"/>
  <c r="V47" i="9" s="1"/>
  <c r="T27" i="9"/>
  <c r="T37" i="9"/>
  <c r="W61" i="9"/>
  <c r="W62" i="9" s="1"/>
  <c r="W14" i="9"/>
  <c r="W17" i="9"/>
  <c r="AI50" i="4" l="1"/>
  <c r="U48" i="9"/>
  <c r="V48" i="9" s="1"/>
  <c r="T38" i="9"/>
  <c r="W63" i="9"/>
  <c r="W16" i="9" s="1"/>
  <c r="W19" i="9" s="1"/>
  <c r="X62" i="9"/>
  <c r="X63" i="9" s="1"/>
  <c r="X16" i="9" s="1"/>
  <c r="X19" i="9" s="1"/>
  <c r="V37" i="9"/>
  <c r="AA77" i="4"/>
  <c r="AB76" i="4"/>
  <c r="U37" i="9"/>
  <c r="U27" i="9"/>
  <c r="V27" i="9" s="1"/>
  <c r="AH52" i="4"/>
  <c r="AI52" i="4" s="1"/>
  <c r="Y59" i="9"/>
  <c r="AB52" i="4"/>
  <c r="AC9" i="9" s="1"/>
  <c r="AC59" i="9" s="1"/>
  <c r="AC61" i="9" s="1"/>
  <c r="AC8" i="9"/>
  <c r="AI8" i="9" s="1"/>
  <c r="X54" i="4"/>
  <c r="U38" i="9" l="1"/>
  <c r="V38" i="9" s="1"/>
  <c r="AI9" i="9"/>
  <c r="AB54" i="4"/>
  <c r="AC10" i="9" s="1"/>
  <c r="AC17" i="9" s="1"/>
  <c r="W20" i="9"/>
  <c r="X20" i="9" s="1"/>
  <c r="W43" i="9"/>
  <c r="W47" i="9" s="1"/>
  <c r="W48" i="9" s="1"/>
  <c r="W26" i="9"/>
  <c r="Y10" i="9"/>
  <c r="Y61" i="9"/>
  <c r="Y62" i="9" s="1"/>
  <c r="AI59" i="9"/>
  <c r="AI61" i="9" s="1"/>
  <c r="AB77" i="4"/>
  <c r="AC76" i="4"/>
  <c r="X26" i="9"/>
  <c r="X43" i="9"/>
  <c r="X47" i="9" s="1"/>
  <c r="X48" i="9" l="1"/>
  <c r="AC14" i="9"/>
  <c r="AH54" i="4"/>
  <c r="X37" i="9"/>
  <c r="Y63" i="9"/>
  <c r="Y16" i="9" s="1"/>
  <c r="Z62" i="9"/>
  <c r="W27" i="9"/>
  <c r="X27" i="9" s="1"/>
  <c r="W37" i="9"/>
  <c r="W38" i="9" s="1"/>
  <c r="AD76" i="4"/>
  <c r="AC77" i="4"/>
  <c r="Y17" i="9"/>
  <c r="AI17" i="9" s="1"/>
  <c r="Y14" i="9"/>
  <c r="AI10" i="9"/>
  <c r="AI14" i="9" l="1"/>
  <c r="Y19" i="9"/>
  <c r="Y26" i="9" s="1"/>
  <c r="Z63" i="9"/>
  <c r="Z16" i="9" s="1"/>
  <c r="Z19" i="9" s="1"/>
  <c r="AA62" i="9"/>
  <c r="X38" i="9"/>
  <c r="AD77" i="4"/>
  <c r="AE76" i="4"/>
  <c r="Y20" i="9" l="1"/>
  <c r="Z20" i="9" s="1"/>
  <c r="Y43" i="9"/>
  <c r="Y47" i="9" s="1"/>
  <c r="Y48" i="9" s="1"/>
  <c r="Y37" i="9"/>
  <c r="Y38" i="9" s="1"/>
  <c r="Y27" i="9"/>
  <c r="Z26" i="9"/>
  <c r="Z43" i="9"/>
  <c r="Z47" i="9" s="1"/>
  <c r="AE77" i="4"/>
  <c r="AF76" i="4"/>
  <c r="AA63" i="9"/>
  <c r="AA16" i="9" s="1"/>
  <c r="AA19" i="9" s="1"/>
  <c r="AB62" i="9"/>
  <c r="Z48" i="9" l="1"/>
  <c r="AB63" i="9"/>
  <c r="AB16" i="9" s="1"/>
  <c r="AB19" i="9" s="1"/>
  <c r="AC62" i="9"/>
  <c r="AF77" i="4"/>
  <c r="AG76" i="4"/>
  <c r="AG77" i="4" s="1"/>
  <c r="AA20" i="9"/>
  <c r="AA26" i="9"/>
  <c r="AA43" i="9"/>
  <c r="AA47" i="9" s="1"/>
  <c r="Z27" i="9"/>
  <c r="Z37" i="9"/>
  <c r="Z38" i="9" s="1"/>
  <c r="AA48" i="9" l="1"/>
  <c r="AB26" i="9"/>
  <c r="AB43" i="9"/>
  <c r="AB47" i="9" s="1"/>
  <c r="AB48" i="9" s="1"/>
  <c r="AB20" i="9"/>
  <c r="AA27" i="9"/>
  <c r="AA37" i="9"/>
  <c r="AA38" i="9" s="1"/>
  <c r="AH77" i="4"/>
  <c r="AC63" i="9"/>
  <c r="AC16" i="9" s="1"/>
  <c r="AC19" i="9" s="1"/>
  <c r="AD62" i="9"/>
  <c r="AC20" i="9" l="1"/>
  <c r="AC26" i="9"/>
  <c r="AC43" i="9"/>
  <c r="AC47" i="9" s="1"/>
  <c r="AC48" i="9" s="1"/>
  <c r="AB37" i="9"/>
  <c r="AB38" i="9" s="1"/>
  <c r="AB27" i="9"/>
  <c r="AE62" i="9"/>
  <c r="AF62" i="9" s="1"/>
  <c r="AD63" i="9"/>
  <c r="AD16" i="9" s="1"/>
  <c r="AD19" i="9" s="1"/>
  <c r="AF63" i="9" l="1"/>
  <c r="AF16" i="9" s="1"/>
  <c r="AF19" i="9" s="1"/>
  <c r="AG62" i="9"/>
  <c r="AD26" i="9"/>
  <c r="AD43" i="9"/>
  <c r="AD47" i="9" s="1"/>
  <c r="AD48" i="9" s="1"/>
  <c r="AD20" i="9"/>
  <c r="AE63" i="9"/>
  <c r="AE16" i="9" s="1"/>
  <c r="AE19" i="9" s="1"/>
  <c r="AC27" i="9"/>
  <c r="AC37" i="9"/>
  <c r="AC38" i="9" s="1"/>
  <c r="AF43" i="9" l="1"/>
  <c r="AF47" i="9" s="1"/>
  <c r="AF26" i="9"/>
  <c r="AG63" i="9"/>
  <c r="AG16" i="9" s="1"/>
  <c r="AG19" i="9" s="1"/>
  <c r="AH62" i="9"/>
  <c r="AH63" i="9" s="1"/>
  <c r="AH16" i="9" s="1"/>
  <c r="AH19" i="9" s="1"/>
  <c r="C52" i="9" s="1"/>
  <c r="AD27" i="9"/>
  <c r="AD37" i="9"/>
  <c r="AD38" i="9" s="1"/>
  <c r="AE20" i="9"/>
  <c r="AF20" i="9" s="1"/>
  <c r="AE26" i="9"/>
  <c r="AE43" i="9"/>
  <c r="AE47" i="9" s="1"/>
  <c r="AE48" i="9" s="1"/>
  <c r="AH43" i="9" l="1"/>
  <c r="AH47" i="9" s="1"/>
  <c r="AH26" i="9"/>
  <c r="AF37" i="9"/>
  <c r="AG26" i="9"/>
  <c r="AG20" i="9"/>
  <c r="AH20" i="9" s="1"/>
  <c r="AG43" i="9"/>
  <c r="AG47" i="9" s="1"/>
  <c r="AF48" i="9"/>
  <c r="AE27" i="9"/>
  <c r="AF27" i="9" s="1"/>
  <c r="AE37" i="9"/>
  <c r="AE38" i="9" s="1"/>
  <c r="D52" i="9" l="1"/>
  <c r="AG48" i="9"/>
  <c r="AH48" i="9" s="1"/>
  <c r="AG27" i="9"/>
  <c r="AH27" i="9" s="1"/>
  <c r="AG37" i="9"/>
  <c r="AF38" i="9"/>
  <c r="AH37" i="9"/>
  <c r="AI63" i="9"/>
  <c r="AG38" i="9" l="1"/>
  <c r="AH38" i="9" s="1"/>
  <c r="E52" i="9" s="1"/>
  <c r="AI16" i="9"/>
  <c r="C53" i="9" l="1"/>
  <c r="C54" i="9" s="1"/>
  <c r="AI19" i="9"/>
  <c r="D53" i="9" l="1"/>
  <c r="D54" i="9" s="1"/>
  <c r="E68" i="9"/>
</calcChain>
</file>

<file path=xl/comments1.xml><?xml version="1.0" encoding="utf-8"?>
<comments xmlns="http://schemas.openxmlformats.org/spreadsheetml/2006/main">
  <authors>
    <author>Favio</author>
    <author>Recepcion</author>
  </authors>
  <commentList>
    <comment ref="C1" authorId="0" shapeId="0">
      <text>
        <r>
          <rPr>
            <b/>
            <sz val="9"/>
            <color indexed="81"/>
            <rFont val="Tahoma"/>
            <family val="2"/>
          </rPr>
          <t>Favio: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6" authorId="1" shapeId="0">
      <text>
        <r>
          <rPr>
            <b/>
            <sz val="9"/>
            <color indexed="81"/>
            <rFont val="Tahoma"/>
            <family val="2"/>
          </rPr>
          <t>Recepcion:</t>
        </r>
        <r>
          <rPr>
            <sz val="9"/>
            <color indexed="81"/>
            <rFont val="Tahoma"/>
            <family val="2"/>
          </rPr>
          <t xml:space="preserve">
duplex 
8 piso 363.140 nuevos soles </t>
        </r>
      </text>
    </comment>
    <comment ref="E46" authorId="1" shapeId="0">
      <text>
        <r>
          <rPr>
            <b/>
            <sz val="9"/>
            <color indexed="81"/>
            <rFont val="Tahoma"/>
            <family val="2"/>
          </rPr>
          <t xml:space="preserve">Recepcion
3 piso 279.800 piso interior 80mt2
12 al 16 263.900 vista  la Av. Brasil
</t>
        </r>
      </text>
    </comment>
    <comment ref="F46" authorId="1" shapeId="0">
      <text>
        <r>
          <rPr>
            <b/>
            <sz val="9"/>
            <color indexed="81"/>
            <rFont val="Tahoma"/>
            <family val="2"/>
          </rPr>
          <t>Recepcion:</t>
        </r>
        <r>
          <rPr>
            <sz val="9"/>
            <color indexed="81"/>
            <rFont val="Tahoma"/>
            <family val="2"/>
          </rPr>
          <t xml:space="preserve">
no exicte ese numero </t>
        </r>
      </text>
    </comment>
    <comment ref="G46" authorId="1" shapeId="0">
      <text>
        <r>
          <rPr>
            <b/>
            <sz val="9"/>
            <color indexed="81"/>
            <rFont val="Tahoma"/>
            <family val="2"/>
          </rPr>
          <t>Recepcion:</t>
        </r>
        <r>
          <rPr>
            <sz val="9"/>
            <color indexed="81"/>
            <rFont val="Tahoma"/>
            <family val="2"/>
          </rPr>
          <t xml:space="preserve">
13 piso 242.000 soles Entrega  28 febrero 
17  piso 233.200 soles  
8 piso 211.750  soles  
3 dormitorios vista interna 
</t>
        </r>
      </text>
    </comment>
    <comment ref="H46" authorId="1" shapeId="0">
      <text>
        <r>
          <rPr>
            <b/>
            <sz val="9"/>
            <color indexed="81"/>
            <rFont val="Tahoma"/>
            <family val="2"/>
          </rPr>
          <t>Recepcion:</t>
        </r>
        <r>
          <rPr>
            <sz val="9"/>
            <color indexed="81"/>
            <rFont val="Tahoma"/>
            <family val="2"/>
          </rPr>
          <t xml:space="preserve">
no exicte el numero </t>
        </r>
      </text>
    </comment>
    <comment ref="I46" authorId="1" shapeId="0">
      <text>
        <r>
          <rPr>
            <b/>
            <sz val="9"/>
            <color indexed="81"/>
            <rFont val="Tahoma"/>
            <family val="2"/>
          </rPr>
          <t>Recepcion:</t>
        </r>
        <r>
          <rPr>
            <sz val="9"/>
            <color indexed="81"/>
            <rFont val="Tahoma"/>
            <family val="2"/>
          </rPr>
          <t xml:space="preserve">
no contestan 
</t>
        </r>
      </text>
    </comment>
  </commentList>
</comments>
</file>

<file path=xl/sharedStrings.xml><?xml version="1.0" encoding="utf-8"?>
<sst xmlns="http://schemas.openxmlformats.org/spreadsheetml/2006/main" count="1630" uniqueCount="748">
  <si>
    <t>DATOS DE DISEÑO</t>
  </si>
  <si>
    <t>Area Total Terreno (m2)</t>
  </si>
  <si>
    <t>Sin IGV</t>
  </si>
  <si>
    <t>IGV</t>
  </si>
  <si>
    <t>TOTAL</t>
  </si>
  <si>
    <t>Gastos Administrativos</t>
  </si>
  <si>
    <t>Publicidad</t>
  </si>
  <si>
    <t>Total</t>
  </si>
  <si>
    <t>TERRENO</t>
  </si>
  <si>
    <t>Terreno</t>
  </si>
  <si>
    <t>TOTAL TERRENO</t>
  </si>
  <si>
    <t>Levantamiento Topográfico</t>
  </si>
  <si>
    <t>Estudio de Suelos</t>
  </si>
  <si>
    <t>TOTAL GASTOS DE PROYECTO H.U.</t>
  </si>
  <si>
    <t>GASTOS LICENCIAS CONSTRUCCION</t>
  </si>
  <si>
    <t>Copias certificadas de planos</t>
  </si>
  <si>
    <t>Certificado de Parámetros Urbanísticos</t>
  </si>
  <si>
    <t>Revisión de Anteproyecto</t>
  </si>
  <si>
    <t>Certificado finalización obra y zonificación</t>
  </si>
  <si>
    <t>TOTAL GASTOS LICENCIAS CONSTRUCCION</t>
  </si>
  <si>
    <t>CONSTRUCCION</t>
  </si>
  <si>
    <t>TOTAL CONSTRUCCION</t>
  </si>
  <si>
    <t>TITULACION</t>
  </si>
  <si>
    <t>Inscripción Declaratoria de Fábrica</t>
  </si>
  <si>
    <t>Gastos Notariales</t>
  </si>
  <si>
    <t>Certificados Registrales Inmobiliarios</t>
  </si>
  <si>
    <t>TOTAL TITULACION</t>
  </si>
  <si>
    <t>GASTOS ADMINISTRATIVOS</t>
  </si>
  <si>
    <t>TOTAL GASTOS ADMINISTRATIVOS</t>
  </si>
  <si>
    <t>TOTAL PUBLICIDAD</t>
  </si>
  <si>
    <t>Tasación</t>
  </si>
  <si>
    <t>VELOCIDAD DE VENTA DE INMUEBLES</t>
  </si>
  <si>
    <t>Total Unidades</t>
  </si>
  <si>
    <t>FLUJO DE INGRESOS</t>
  </si>
  <si>
    <t>TOTAL INGRESOS SIN IGV</t>
  </si>
  <si>
    <t>TOTAL INGRESOS INCL. IGV</t>
  </si>
  <si>
    <t>FLUJO DE EGRESOS</t>
  </si>
  <si>
    <t>Gastos Financieros</t>
  </si>
  <si>
    <t>TOTAL GASTOS BANCARIOS</t>
  </si>
  <si>
    <t>OTROS EGRESOS (Especificar)</t>
  </si>
  <si>
    <t>TOTAL OTROS EGRESOS</t>
  </si>
  <si>
    <t>Piso</t>
  </si>
  <si>
    <t>Estacionamientos</t>
  </si>
  <si>
    <t>Cantidad</t>
  </si>
  <si>
    <t>Departamentos</t>
  </si>
  <si>
    <t>Pago Alcabala</t>
  </si>
  <si>
    <t>Gastos Registrales</t>
  </si>
  <si>
    <t>Inscripción inmuebles en Mun. Distrital</t>
  </si>
  <si>
    <t>Independizacion y reglamento interno</t>
  </si>
  <si>
    <t>Certificado de Numeración</t>
  </si>
  <si>
    <t>Declaratoria de Fábrica</t>
  </si>
  <si>
    <t>Pago a SERPAR</t>
  </si>
  <si>
    <t>Imprevistos / Contingencia</t>
  </si>
  <si>
    <t>Unid.</t>
  </si>
  <si>
    <t>P.U.</t>
  </si>
  <si>
    <t>Inspecciones de Avance de Obra</t>
  </si>
  <si>
    <t>Nombre del Proyecto</t>
  </si>
  <si>
    <t>Monto US$</t>
  </si>
  <si>
    <t>Cuota Inicial</t>
  </si>
  <si>
    <t>(Expresado en Dólares Americanos)</t>
  </si>
  <si>
    <t>Monto de separaciones Departamentos  (Dólares)</t>
  </si>
  <si>
    <t>Retención del Banco sobre saldo de precio de venta</t>
  </si>
  <si>
    <t>Pago cuota inicial calculada desde la separación (Número de días)</t>
  </si>
  <si>
    <t>Pago Saldo precio de venta calculada desde la separación(Número de días)</t>
  </si>
  <si>
    <t>(Número de días después de terminada la construcción)</t>
  </si>
  <si>
    <t xml:space="preserve">Plazo de devolución de la retención del Banco </t>
  </si>
  <si>
    <t>m2</t>
  </si>
  <si>
    <t>Glb</t>
  </si>
  <si>
    <t>Comisión estructuración</t>
  </si>
  <si>
    <t>Total IGV</t>
  </si>
  <si>
    <t>Total Costos</t>
  </si>
  <si>
    <t>%</t>
  </si>
  <si>
    <t xml:space="preserve">Promotor : </t>
  </si>
  <si>
    <t xml:space="preserve">Constructora : </t>
  </si>
  <si>
    <t>Proyecto:</t>
  </si>
  <si>
    <t xml:space="preserve">  Distrito / Ciudad:</t>
  </si>
  <si>
    <t>Dirección:</t>
  </si>
  <si>
    <t>Mz / Lote / N°</t>
  </si>
  <si>
    <t>Sec/ Etapa/Zona</t>
  </si>
  <si>
    <t>Urb.</t>
  </si>
  <si>
    <t>Terreno - áreas</t>
  </si>
  <si>
    <t>Unidades inmobiliarias</t>
  </si>
  <si>
    <t>Area Aportes (m2)</t>
  </si>
  <si>
    <t>Area de vías (m2)</t>
  </si>
  <si>
    <t>Area neta del terreno (m2)</t>
  </si>
  <si>
    <t># Unidades en proyecto</t>
  </si>
  <si>
    <t># Estacionamientos</t>
  </si>
  <si>
    <t>Techado</t>
  </si>
  <si>
    <t>Sin techar</t>
  </si>
  <si>
    <t>Area construida Total (m2)</t>
  </si>
  <si>
    <t>I. DETALLE DE INGRESOS</t>
  </si>
  <si>
    <t>Nº</t>
  </si>
  <si>
    <t>Precio x m2</t>
  </si>
  <si>
    <t xml:space="preserve">   TOTAL </t>
  </si>
  <si>
    <t>II. INVERSIÓN  (Cifras en US$)</t>
  </si>
  <si>
    <t xml:space="preserve">Terreno </t>
  </si>
  <si>
    <t>Construcción</t>
  </si>
  <si>
    <t>Estructuras</t>
  </si>
  <si>
    <t>VALOR TOTAL</t>
  </si>
  <si>
    <t>(m2 útil)</t>
  </si>
  <si>
    <t>Costos indirectos</t>
  </si>
  <si>
    <t>Honorarios del proyecto</t>
  </si>
  <si>
    <t>Publicidad y comisión de ventas</t>
  </si>
  <si>
    <t>Gastos administrativos</t>
  </si>
  <si>
    <t>Gastos financieros y comisiones</t>
  </si>
  <si>
    <t>Total Otros</t>
  </si>
  <si>
    <t xml:space="preserve">          </t>
  </si>
  <si>
    <t>TOTAL INVERSIÓN</t>
  </si>
  <si>
    <t>III. UTILIDAD Y RENTABILIDAD</t>
  </si>
  <si>
    <t>US$</t>
  </si>
  <si>
    <t>Rentabilidad</t>
  </si>
  <si>
    <t>Sobre Ventas</t>
  </si>
  <si>
    <t>Sobre Inversión Total</t>
  </si>
  <si>
    <t>Sobre Aporte</t>
  </si>
  <si>
    <t>IV. ESTRUCTURA DE FINANCIAMIENTO</t>
  </si>
  <si>
    <t>Aporte Propio</t>
  </si>
  <si>
    <t>Pre - Ventas</t>
  </si>
  <si>
    <t>INVERSIÓN TOTAL</t>
  </si>
  <si>
    <t>Ventanas</t>
  </si>
  <si>
    <t>Total unidades inmobiliarias</t>
  </si>
  <si>
    <t>Pisos</t>
  </si>
  <si>
    <t xml:space="preserve">Si </t>
  </si>
  <si>
    <t>No</t>
  </si>
  <si>
    <t>TIR mensual</t>
  </si>
  <si>
    <t xml:space="preserve">VAN </t>
  </si>
  <si>
    <t>TIR anual</t>
  </si>
  <si>
    <t>COK mensual</t>
  </si>
  <si>
    <t xml:space="preserve">COK anual </t>
  </si>
  <si>
    <t>Cuadro de Sondeo de Mercado de Pueblo libre</t>
  </si>
  <si>
    <t>CARACTERÍSTICAS</t>
  </si>
  <si>
    <t>E - 1</t>
  </si>
  <si>
    <t>E - 2</t>
  </si>
  <si>
    <t>E-3</t>
  </si>
  <si>
    <t>E-4</t>
  </si>
  <si>
    <t>E-5</t>
  </si>
  <si>
    <t>E- 6</t>
  </si>
  <si>
    <t>E-7</t>
  </si>
  <si>
    <t>E-8</t>
  </si>
  <si>
    <t>E-9</t>
  </si>
  <si>
    <t>E-11</t>
  </si>
  <si>
    <t>E-12</t>
  </si>
  <si>
    <t>Concepto Atlantis</t>
  </si>
  <si>
    <t>Edificio Alto mirador 2</t>
  </si>
  <si>
    <t xml:space="preserve">Telef: 4333494
</t>
  </si>
  <si>
    <t>www.imagina.com.pe</t>
  </si>
  <si>
    <t>www.casaideal.com.pe</t>
  </si>
  <si>
    <t>www.edificacionesinmobiliarias.com</t>
  </si>
  <si>
    <t>Datos generales</t>
  </si>
  <si>
    <t>Nombre del proyecto</t>
  </si>
  <si>
    <t>Edificio Alto Mirador 2</t>
  </si>
  <si>
    <t>Empresa Inmobiliaria</t>
  </si>
  <si>
    <t>Casa Ideal</t>
  </si>
  <si>
    <t>Edificaciones Inmobiliarias S.A.C</t>
  </si>
  <si>
    <t>Empresa constructora</t>
  </si>
  <si>
    <t xml:space="preserve">Entidad que financia </t>
  </si>
  <si>
    <t>BCP</t>
  </si>
  <si>
    <t>Interbank</t>
  </si>
  <si>
    <t>Continental</t>
  </si>
  <si>
    <t>Tiene caseta de ventas (si-no)</t>
  </si>
  <si>
    <t>Si</t>
  </si>
  <si>
    <t>Tiene departamentos piloto (si-no)</t>
  </si>
  <si>
    <t>Datos específicos</t>
  </si>
  <si>
    <t>Número de torres</t>
  </si>
  <si>
    <t>Número de pisos</t>
  </si>
  <si>
    <t>Número de unidades inmobiliarias</t>
  </si>
  <si>
    <t>Número de sotanos y semi sotanos</t>
  </si>
  <si>
    <t>1 semi sotano</t>
  </si>
  <si>
    <t>Área promedio ocupada de los departamentos</t>
  </si>
  <si>
    <t>80 m2</t>
  </si>
  <si>
    <t>79 m2</t>
  </si>
  <si>
    <t>Número de dormitorios</t>
  </si>
  <si>
    <t>Número de baños</t>
  </si>
  <si>
    <t>Dormitorio empleada (si-no)</t>
  </si>
  <si>
    <t>Baño de servicio(si-no)</t>
  </si>
  <si>
    <t>Número de cocheras</t>
  </si>
  <si>
    <t>Número de dépositos</t>
  </si>
  <si>
    <t>Número de ascensores</t>
  </si>
  <si>
    <t>1 ascensor</t>
  </si>
  <si>
    <t>2 ascensores</t>
  </si>
  <si>
    <t>Acabados</t>
  </si>
  <si>
    <t>Laminados</t>
  </si>
  <si>
    <t>Muebles de cocina</t>
  </si>
  <si>
    <t>Muebles altos y bajos en melamine</t>
  </si>
  <si>
    <t>Muebles de baño</t>
  </si>
  <si>
    <t>Cerámica</t>
  </si>
  <si>
    <t>Closets</t>
  </si>
  <si>
    <t>Melamine</t>
  </si>
  <si>
    <t>Sanitarios</t>
  </si>
  <si>
    <t>Puertas</t>
  </si>
  <si>
    <t>Tina</t>
  </si>
  <si>
    <t>Otros</t>
  </si>
  <si>
    <t>Precios de venta</t>
  </si>
  <si>
    <t>Precio de venta de departamento</t>
  </si>
  <si>
    <t>Precio de venta de estacionamiento</t>
  </si>
  <si>
    <t>Incluido en el precio del dpto</t>
  </si>
  <si>
    <t>Precio de venta de déposito</t>
  </si>
  <si>
    <t>Precio promedio por m2 de área ocupada</t>
  </si>
  <si>
    <t>Precio promedio por m2 de área libre</t>
  </si>
  <si>
    <t>Velocidad de ventas</t>
  </si>
  <si>
    <t>4 al mes</t>
  </si>
  <si>
    <t>10 al mes</t>
  </si>
  <si>
    <t>3 al mes</t>
  </si>
  <si>
    <t>Fecha de inicio del proyecto</t>
  </si>
  <si>
    <t>Fecha de inicio de pre ventas</t>
  </si>
  <si>
    <t>Fecha de entrega de de los departamentos</t>
  </si>
  <si>
    <t>Número de departamentos que quedan a la fecha</t>
  </si>
  <si>
    <t>Número de estacionamientos que quedan a la fecha</t>
  </si>
  <si>
    <t>Número de dépositos que quedan a la fecha</t>
  </si>
  <si>
    <t>Comentarios u observaciones</t>
  </si>
  <si>
    <t>Tienen promociones(si-no), cuales?</t>
  </si>
  <si>
    <t>Fecha de realización del levantamiento</t>
  </si>
  <si>
    <t>Nombre de la persona que levantó la información</t>
  </si>
  <si>
    <t>Valor de Venta terreno (US$)</t>
  </si>
  <si>
    <t>Valor de Venta fábrica (US$)</t>
  </si>
  <si>
    <t>IGV US$</t>
  </si>
  <si>
    <t>Precio US$</t>
  </si>
  <si>
    <t>Precio de Venta (US$/M2)</t>
  </si>
  <si>
    <t>RESUMEN DE VENTAS</t>
  </si>
  <si>
    <t>Depósitos</t>
  </si>
  <si>
    <t>Unidades Inmobiliarias</t>
  </si>
  <si>
    <t>Velocidad de ventas de departamentos</t>
  </si>
  <si>
    <t>Ingresos por ventas de departamentos</t>
  </si>
  <si>
    <t>TOTAL M2 CONSTRUIDOS</t>
  </si>
  <si>
    <t>Instalaciones sanitarias</t>
  </si>
  <si>
    <t>Instalaciones eléctricas</t>
  </si>
  <si>
    <t>Equipamiento</t>
  </si>
  <si>
    <t>TOTAL PRESUPUESTO</t>
  </si>
  <si>
    <t>E - 10</t>
  </si>
  <si>
    <t>E- 13</t>
  </si>
  <si>
    <t>Edificio San Felipe</t>
  </si>
  <si>
    <t>Condominio Circolo</t>
  </si>
  <si>
    <t>Residencial Arboleda casa club</t>
  </si>
  <si>
    <t>Edificio alcala</t>
  </si>
  <si>
    <t>Residencial La mar IV</t>
  </si>
  <si>
    <t>Edificio  mirador el carmen II</t>
  </si>
  <si>
    <t>Pasos de los andes Residencial</t>
  </si>
  <si>
    <t>Edificio Libertad</t>
  </si>
  <si>
    <t>Edificio del parque</t>
  </si>
  <si>
    <t>Edificio conquistador</t>
  </si>
  <si>
    <t>Condominio parque san martin</t>
  </si>
  <si>
    <t>Av. San Felipe 164 Jesus Maria</t>
  </si>
  <si>
    <t>Jr. Gral Pedro Morales Bermudez 480 Pueblo Libre</t>
  </si>
  <si>
    <t>Av. Brasil 1399</t>
  </si>
  <si>
    <t>Av. Universitaria esq. La mar Pueblo libre</t>
  </si>
  <si>
    <t>Av. Mariano cornejo 1433 pueblo libre</t>
  </si>
  <si>
    <t>Av. Antonio de sucre 1355 pueblo libre</t>
  </si>
  <si>
    <t>Av. La mar 1430 pueblo libre</t>
  </si>
  <si>
    <t>Jr. General clovis 717  pueblo libre</t>
  </si>
  <si>
    <t>Av. Paso de los andes 380/382 Pueblo libre</t>
  </si>
  <si>
    <t>Jr. 8 de octubre 496 Alt. 13 de sucre</t>
  </si>
  <si>
    <t>Jr. America 198 entre 12 y 13 de la Av. Bolivar pueblo libre</t>
  </si>
  <si>
    <t>Jr. Jose ramon pizarro (valle riestra) 680 pueblo libre</t>
  </si>
  <si>
    <t>Jr. Bernardo o'higgins (antes andalucia) 281 pueblo libre</t>
  </si>
  <si>
    <t>Telef: (511) 650-9749  Nextel 826*7679</t>
  </si>
  <si>
    <t>Telef: 423-4969   Cel. 945019879</t>
  </si>
  <si>
    <t>Telef: 717-2000 Cel. 99358-5227</t>
  </si>
  <si>
    <t>Telef: 625-0210 Cel. 993281909</t>
  </si>
  <si>
    <t>Telef: 460 2493</t>
  </si>
  <si>
    <t>Telef:796 7519 cel. 989 758 392</t>
  </si>
  <si>
    <t>Telef: 785 6059 cel: 980 244 340</t>
  </si>
  <si>
    <t>Telef: 261-3525 Cel. 9924 85407</t>
  </si>
  <si>
    <t xml:space="preserve">Telef: 989 079 765  </t>
  </si>
  <si>
    <t>Telef:460 5223</t>
  </si>
  <si>
    <t>Telef: 261 1871 Cel. 99408*1819</t>
  </si>
  <si>
    <t>Telf.:481 2929 cel.: 997 108 149</t>
  </si>
  <si>
    <t>www.mcinmobiliaria.com.pe</t>
  </si>
  <si>
    <t>www.dominiigrupoinmobiliario.com</t>
  </si>
  <si>
    <t>www.ciudaris.com</t>
  </si>
  <si>
    <t>www.inversionesgdp.com</t>
  </si>
  <si>
    <t>www.serviprosrl.com</t>
  </si>
  <si>
    <t>www.parametros.com.pe</t>
  </si>
  <si>
    <t>www.inmobiliariamundoverde.com</t>
  </si>
  <si>
    <t>Residencial la mar iv</t>
  </si>
  <si>
    <t>Edificio mirador el carmen II</t>
  </si>
  <si>
    <t>Inmobiliaria San Felipe SAC</t>
  </si>
  <si>
    <t>Domini Grupo Inmobiliario</t>
  </si>
  <si>
    <t>Imagina</t>
  </si>
  <si>
    <t>Promotora y constructora ciudaris s.a.</t>
  </si>
  <si>
    <t>Inversiones giraldo del portal</t>
  </si>
  <si>
    <t>Dominii grupo inmobiliario</t>
  </si>
  <si>
    <t>Construye y promueve servipro s.r.l.</t>
  </si>
  <si>
    <t>Parametros</t>
  </si>
  <si>
    <t>Edificaciones inmobiliarias S.A.C</t>
  </si>
  <si>
    <t>Inmobiliaria mundo verde s.a.c</t>
  </si>
  <si>
    <t>k y b contratists generales</t>
  </si>
  <si>
    <t>Inversiones Inmobiliaria SAC</t>
  </si>
  <si>
    <t>BIF</t>
  </si>
  <si>
    <t>Por Definir Banco</t>
  </si>
  <si>
    <t>Incasa</t>
  </si>
  <si>
    <t>Continetal</t>
  </si>
  <si>
    <t>scotiabank</t>
  </si>
  <si>
    <t>SI</t>
  </si>
  <si>
    <t>si</t>
  </si>
  <si>
    <t>NO</t>
  </si>
  <si>
    <t xml:space="preserve"> sotano y sst</t>
  </si>
  <si>
    <t xml:space="preserve">1  sotano </t>
  </si>
  <si>
    <t>91 m2</t>
  </si>
  <si>
    <t>82 m2</t>
  </si>
  <si>
    <t>81.27 m2 Aprox.</t>
  </si>
  <si>
    <t>88 m2</t>
  </si>
  <si>
    <t>110 m2</t>
  </si>
  <si>
    <t>192 m2 Duplex</t>
  </si>
  <si>
    <t>88.50 m2</t>
  </si>
  <si>
    <t>86 m2</t>
  </si>
  <si>
    <t>185 m2 duplex</t>
  </si>
  <si>
    <t>98 M2</t>
  </si>
  <si>
    <t>2 ascensor</t>
  </si>
  <si>
    <t>ascensor</t>
  </si>
  <si>
    <t xml:space="preserve"> ascensore</t>
  </si>
  <si>
    <t>No tiene ascensor</t>
  </si>
  <si>
    <t xml:space="preserve">Laminados </t>
  </si>
  <si>
    <t>Ceramico celima</t>
  </si>
  <si>
    <t>ceramicos</t>
  </si>
  <si>
    <t>ceramico celima</t>
  </si>
  <si>
    <t>piso parquet coricaspi oscuro</t>
  </si>
  <si>
    <t>Cocina amoblada con tablero de granito</t>
  </si>
  <si>
    <t>Cocina equipada con muebles bajos en melamina Tableros de granito</t>
  </si>
  <si>
    <t xml:space="preserve">Muebles bajos </t>
  </si>
  <si>
    <t>Muebles altos y bajos con table. Post. Formado</t>
  </si>
  <si>
    <t>Porcelanato</t>
  </si>
  <si>
    <t>Muebles bajos</t>
  </si>
  <si>
    <t>Muebles  bajos en melamine</t>
  </si>
  <si>
    <t xml:space="preserve">Enchape cerámico </t>
  </si>
  <si>
    <t>Piso ceramico y lavadero de pedestal</t>
  </si>
  <si>
    <t>Lavatorios e inodoros blancos marca trebol</t>
  </si>
  <si>
    <t xml:space="preserve">                                         Melamine</t>
  </si>
  <si>
    <t>Ceramica</t>
  </si>
  <si>
    <t>los inodoros modelos sifon-jet sistema dual</t>
  </si>
  <si>
    <t>Puertas y maleteros</t>
  </si>
  <si>
    <t xml:space="preserve">           Modelo sifon-jet y griferia marca italgrif</t>
  </si>
  <si>
    <t>$ 94,300.00</t>
  </si>
  <si>
    <t>$ 120,000</t>
  </si>
  <si>
    <t>$ 98,750</t>
  </si>
  <si>
    <t>$ 76,000.00</t>
  </si>
  <si>
    <t>$ 10,000.00</t>
  </si>
  <si>
    <t>S/. 18,000 y s/. 20,000</t>
  </si>
  <si>
    <t xml:space="preserve">                                     s/. 18,000.00</t>
  </si>
  <si>
    <t xml:space="preserve">                                             $ 8,500</t>
  </si>
  <si>
    <t>$ 10,000</t>
  </si>
  <si>
    <t>s/. 24,000</t>
  </si>
  <si>
    <t>$US  1,245.00</t>
  </si>
  <si>
    <t>$us 1,150</t>
  </si>
  <si>
    <t>$us 1,244</t>
  </si>
  <si>
    <t>$us 1,337</t>
  </si>
  <si>
    <t>$us 1,072</t>
  </si>
  <si>
    <t>$US 992.53</t>
  </si>
  <si>
    <t>$US 1,090</t>
  </si>
  <si>
    <t>$US 1,250</t>
  </si>
  <si>
    <t>$US 772.40</t>
  </si>
  <si>
    <t>$US 858.75</t>
  </si>
  <si>
    <t>$US 1,200</t>
  </si>
  <si>
    <t>$US 897.53</t>
  </si>
  <si>
    <t>$US 932.83</t>
  </si>
  <si>
    <t>5 al mes</t>
  </si>
  <si>
    <t>2do semestre del 2013</t>
  </si>
  <si>
    <t>ultimos departamentos</t>
  </si>
  <si>
    <t>Piscina con terraza y area de parrilla.Acabados de primera</t>
  </si>
  <si>
    <t>Amplia recepcion y rampa para discapasitados</t>
  </si>
  <si>
    <t>Piscina con vista panorámica, terraza con BBQ  y gimnacio equipado</t>
  </si>
  <si>
    <t>Sala Home theater,piscina con tobogan y gimnasio</t>
  </si>
  <si>
    <t>Salon social y sala de niños</t>
  </si>
  <si>
    <t>Sala de reuniones</t>
  </si>
  <si>
    <t>Ascensor con apertura directa a los Dptos.</t>
  </si>
  <si>
    <t>Acabados de primera</t>
  </si>
  <si>
    <t>Plataforma o elevador para discapacitados</t>
  </si>
  <si>
    <t>Todos los departamentos tiene vista a la calle</t>
  </si>
  <si>
    <t>Terraza con vista al parque</t>
  </si>
  <si>
    <t>Cocheras techadas en semi sotano</t>
  </si>
  <si>
    <t>Amplias areas comnes</t>
  </si>
  <si>
    <t>Acumula KMS LANPASS</t>
  </si>
  <si>
    <t>Cesar Diaz</t>
  </si>
  <si>
    <t>Cesar diaz</t>
  </si>
  <si>
    <t>Dpto. Piloto</t>
  </si>
  <si>
    <t xml:space="preserve"> SI</t>
  </si>
  <si>
    <t xml:space="preserve">                                            NO</t>
  </si>
  <si>
    <t xml:space="preserve">                                              NO</t>
  </si>
  <si>
    <t xml:space="preserve">                                                                 NO</t>
  </si>
  <si>
    <t xml:space="preserve">Areas Comunes </t>
  </si>
  <si>
    <t xml:space="preserve">                                 SI</t>
  </si>
  <si>
    <t xml:space="preserve">                               SI</t>
  </si>
  <si>
    <t xml:space="preserve">                                          SI</t>
  </si>
  <si>
    <t xml:space="preserve">                                            SI</t>
  </si>
  <si>
    <t xml:space="preserve">                                        NO</t>
  </si>
  <si>
    <t xml:space="preserve">                                                             NO</t>
  </si>
  <si>
    <t xml:space="preserve">                                                            NO</t>
  </si>
  <si>
    <t xml:space="preserve">                                                           NO</t>
  </si>
  <si>
    <t>Gas Calidda</t>
  </si>
  <si>
    <t xml:space="preserve">                                                              SI</t>
  </si>
  <si>
    <t xml:space="preserve">                                                                   SI</t>
  </si>
  <si>
    <t>Costos financieros</t>
  </si>
  <si>
    <t>GASTOS BANCARIOS Y FINANCIEROS</t>
  </si>
  <si>
    <t>Póliza CAR</t>
  </si>
  <si>
    <t>glb</t>
  </si>
  <si>
    <t>mes</t>
  </si>
  <si>
    <t>und</t>
  </si>
  <si>
    <t>Comision por Ventas</t>
  </si>
  <si>
    <t>PUBLICIDAD  Y VENTAS</t>
  </si>
  <si>
    <t xml:space="preserve">Proyecto: </t>
  </si>
  <si>
    <t>Área promedio techada de los departamentos</t>
  </si>
  <si>
    <t>Conexiones de Agua y Desagüe (Sedapal)</t>
  </si>
  <si>
    <t>(Tipo de cambio: 2.80)</t>
  </si>
  <si>
    <t>u</t>
  </si>
  <si>
    <t xml:space="preserve">Medidores de Luz </t>
  </si>
  <si>
    <t>(Expresado en Dólares Americanos) Tipo de cambio 2.80</t>
  </si>
  <si>
    <t>(Expresado en Dólares Americanos, tipo de cambio 2.80)</t>
  </si>
  <si>
    <t>(incluye valor de terreno, alcabala, etc)</t>
  </si>
  <si>
    <t xml:space="preserve">Costo directo + equipamiento (Incl. IGV) </t>
  </si>
  <si>
    <r>
      <t>Total m2 construid</t>
    </r>
    <r>
      <rPr>
        <sz val="11"/>
        <color theme="1"/>
        <rFont val="Calibri"/>
        <family val="2"/>
        <scheme val="minor"/>
      </rPr>
      <t>os (Sótanos, Cisterna y Cuarto de Bombas)</t>
    </r>
  </si>
  <si>
    <t>Total m2 construidos (Comercio 1er piso)</t>
  </si>
  <si>
    <t>Demolición</t>
  </si>
  <si>
    <t>Unidad</t>
  </si>
  <si>
    <t>Metrado</t>
  </si>
  <si>
    <t>CU</t>
  </si>
  <si>
    <t>Total S/IGV</t>
  </si>
  <si>
    <t>Total C/IGV</t>
  </si>
  <si>
    <t>Ratio $/m2</t>
  </si>
  <si>
    <t>Excavación</t>
  </si>
  <si>
    <t>Anclaje muros pantalla</t>
  </si>
  <si>
    <t xml:space="preserve">Gastos Generales </t>
  </si>
  <si>
    <t xml:space="preserve">Utilidad </t>
  </si>
  <si>
    <t>Total costo directo casco</t>
  </si>
  <si>
    <t>Total presupuesto casco</t>
  </si>
  <si>
    <t>Ascensores</t>
  </si>
  <si>
    <t>Bombas</t>
  </si>
  <si>
    <t>COSTO DIRECTO EQUIPAMIENTO Y OTROS</t>
  </si>
  <si>
    <t>Implementación ACI</t>
  </si>
  <si>
    <t>Parada</t>
  </si>
  <si>
    <t>Total costo directo Equipamiento y otros</t>
  </si>
  <si>
    <t>Proyecto de Arquitectura</t>
  </si>
  <si>
    <t>Proyecto de Estructuras</t>
  </si>
  <si>
    <t>Proyecto de IISS</t>
  </si>
  <si>
    <t>Proyecto de IIEE y EEMM</t>
  </si>
  <si>
    <t>Proyecto de Gas</t>
  </si>
  <si>
    <t>Estudio Impacto Vial</t>
  </si>
  <si>
    <t>Estudio Impacto Ambiental</t>
  </si>
  <si>
    <t>Anteproyecto</t>
  </si>
  <si>
    <t>Licencia de demolición</t>
  </si>
  <si>
    <t>Finalización de demolición</t>
  </si>
  <si>
    <t>Licencia de Construcción Obra Nueva</t>
  </si>
  <si>
    <t>Costo Directo Casco</t>
  </si>
  <si>
    <t>Costo Directo Acabados</t>
  </si>
  <si>
    <t>Gastos Generales y Utilidad Constructora</t>
  </si>
  <si>
    <t>Und</t>
  </si>
  <si>
    <t>Independización</t>
  </si>
  <si>
    <t>Material impreso</t>
  </si>
  <si>
    <t>Staff de ventas</t>
  </si>
  <si>
    <t>Velocidad de ventas de depósitos</t>
  </si>
  <si>
    <t>Compra de terreno</t>
  </si>
  <si>
    <t>Proyecto</t>
  </si>
  <si>
    <t>Licencia Demolición</t>
  </si>
  <si>
    <t>Licencia Construcción</t>
  </si>
  <si>
    <t>Caseta de Ventas</t>
  </si>
  <si>
    <t>Pre-venta</t>
  </si>
  <si>
    <t>Ventas</t>
  </si>
  <si>
    <t>Acumulación de lotes</t>
  </si>
  <si>
    <t>PROGRAMACIÓN</t>
  </si>
  <si>
    <t>Ingresos por ventas de depósitos</t>
  </si>
  <si>
    <t>Total Egresos sin IGV</t>
  </si>
  <si>
    <t>INGRESOS INC IGV</t>
  </si>
  <si>
    <t>EGRESOS INC IGV</t>
  </si>
  <si>
    <t>Supuestos</t>
  </si>
  <si>
    <t>INVEB INMOBILIARIA SAC</t>
  </si>
  <si>
    <t>INVEB SAC</t>
  </si>
  <si>
    <t>Magdalena/Lima</t>
  </si>
  <si>
    <t># Depósitos</t>
  </si>
  <si>
    <t>Jr. Echenique</t>
  </si>
  <si>
    <t>623-611</t>
  </si>
  <si>
    <t>Plan de MK</t>
  </si>
  <si>
    <t>COSTO DIRECTO SOTANO</t>
  </si>
  <si>
    <t>Arquitectura</t>
  </si>
  <si>
    <t>COSTO DIRECTO TORRE</t>
  </si>
  <si>
    <t>Arquitectura vivienda</t>
  </si>
  <si>
    <t>Arquitectura comercio</t>
  </si>
  <si>
    <t>Costos por m2 (torre)</t>
  </si>
  <si>
    <t>Costos por m2 (sótano)</t>
  </si>
  <si>
    <t>Costos por m2 total construcción</t>
  </si>
  <si>
    <t>Total presupuesto torre</t>
  </si>
  <si>
    <t>Total presupuesto equipamiento</t>
  </si>
  <si>
    <t>TOTAL COSTO DIRECTO</t>
  </si>
  <si>
    <t>TOTAL COSTO DIRECTO SIN EQUIPAMIENTO</t>
  </si>
  <si>
    <t>Costo Directo Sótano</t>
  </si>
  <si>
    <t>Costo Directo Torre</t>
  </si>
  <si>
    <t xml:space="preserve">PROYECTO: </t>
  </si>
  <si>
    <t>Area construida Torre:  830.06 m2</t>
  </si>
  <si>
    <t>Tipo de cambio: 2.80</t>
  </si>
  <si>
    <t>PARTIDA / TIPO</t>
  </si>
  <si>
    <t>COSTO DIRECTO SIN/EQUIPAM.</t>
  </si>
  <si>
    <t>EQUIPAMIENTO</t>
  </si>
  <si>
    <t>COSTO DIRECTO CON EQUIPAMIENTO</t>
  </si>
  <si>
    <t>IGV  18%</t>
  </si>
  <si>
    <t>TOTAL COSTO OBRA, CON GG y IGV</t>
  </si>
  <si>
    <t>GG (6%)</t>
  </si>
  <si>
    <t>UTILIDAD (6%)</t>
  </si>
  <si>
    <t>Dpto.</t>
  </si>
  <si>
    <t>Ubicación</t>
  </si>
  <si>
    <t>Exterior</t>
  </si>
  <si>
    <t>Interior</t>
  </si>
  <si>
    <t>Financiamiento Bancario</t>
  </si>
  <si>
    <t>Financiamiento Acumulado</t>
  </si>
  <si>
    <t>Tienda</t>
  </si>
  <si>
    <t>Velocidad de ventas de comercio</t>
  </si>
  <si>
    <t>Ingresos por ventas de comercio</t>
  </si>
  <si>
    <t>Velocidad de ventas de estacionamientos techados</t>
  </si>
  <si>
    <t>Velocidad de ventas de estacionamientos no techados</t>
  </si>
  <si>
    <t xml:space="preserve">Ingresos por ventas de estacionamientos no techados </t>
  </si>
  <si>
    <t>Ingresos por ventas de estacionamientos techados</t>
  </si>
  <si>
    <t>COSTO DIRECTO ACUMULADO</t>
  </si>
  <si>
    <t>Sala de Ventas y letrero</t>
  </si>
  <si>
    <t>Publicidad en medios (diarios, TV, radio, letreros externos, web, etc.)</t>
  </si>
  <si>
    <t>Otros Publicidad (Ferias, etc.)</t>
  </si>
  <si>
    <t>Valor venta</t>
  </si>
  <si>
    <t>TOTAL EGRESOS con IGV</t>
  </si>
  <si>
    <t>ANALISIS IGV</t>
  </si>
  <si>
    <t>IGV VENTA</t>
  </si>
  <si>
    <t xml:space="preserve">IGV COMPRAS </t>
  </si>
  <si>
    <t>CREDITO FISCAL ACUMULADO</t>
  </si>
  <si>
    <t>IGV A PAGAR AL ESTADO</t>
  </si>
  <si>
    <t>IGV 18% sobre valor de fabrica</t>
  </si>
  <si>
    <t>IGV A PAGAR SIN CF</t>
  </si>
  <si>
    <t>IGV por pagar al estado</t>
  </si>
  <si>
    <t>IMPUESTOS</t>
  </si>
  <si>
    <t>RENTA por pagar al estado</t>
  </si>
  <si>
    <t>APORTE DE CAPITAL</t>
  </si>
  <si>
    <t>Devolución Aporte Propio</t>
  </si>
  <si>
    <t>Separaciones</t>
  </si>
  <si>
    <t>Inicial</t>
  </si>
  <si>
    <t>Escudo fiscal intereses</t>
  </si>
  <si>
    <t>Amortizacion financiamiento bancario</t>
  </si>
  <si>
    <t>ECONOMICO</t>
  </si>
  <si>
    <t>FLUJO DE CAJA DE LA DEUDA</t>
  </si>
  <si>
    <t>FLUJO DE CAJA FINANCIERO</t>
  </si>
  <si>
    <t>FLUJO DE CAJA FINANCIERO ACUM.</t>
  </si>
  <si>
    <t>RESUMEN FLUJO DE CAJA</t>
  </si>
  <si>
    <t xml:space="preserve"> (expresado en USD)</t>
  </si>
  <si>
    <t>FLUJO CAJA OPERACIONAL (económico o del proyecto)</t>
  </si>
  <si>
    <t xml:space="preserve"> ( - )</t>
  </si>
  <si>
    <t>FLUJO CAJA DE LA DEUDA</t>
  </si>
  <si>
    <t xml:space="preserve"> ( = )</t>
  </si>
  <si>
    <t>FLUJO DE CAJA FINANCIERO (accionista)</t>
  </si>
  <si>
    <t>FINANCIERO</t>
  </si>
  <si>
    <t>URBAN COLLECTION MAGDALENA</t>
  </si>
  <si>
    <t xml:space="preserve">Edificio Comercial y Residencial </t>
  </si>
  <si>
    <t>Precio $/m2</t>
  </si>
  <si>
    <t>Velocidad de Ventas</t>
  </si>
  <si>
    <t>SUPUESTOS INICIALES</t>
  </si>
  <si>
    <t>UTILIDAD OPERATIVA NETA (EBIT)</t>
  </si>
  <si>
    <t>FLUJO CAJA ECONOMICO</t>
  </si>
  <si>
    <t>FLUJO CAJA ECONOMICO ACUM</t>
  </si>
  <si>
    <t>Total Ingresos Acumulado</t>
  </si>
  <si>
    <t>FLUJO DE CAJA OPERATIVO</t>
  </si>
  <si>
    <t>FLUJO DE CAJA OPERATIVO ACUMULADO</t>
  </si>
  <si>
    <t>Entrega a clientes y Finalizacion de Obra</t>
  </si>
  <si>
    <t>Aporte Cliente</t>
  </si>
  <si>
    <t>Preventa 31%</t>
  </si>
  <si>
    <t>COSTOS INDIRECTOS</t>
  </si>
  <si>
    <t>Obras Preliminares</t>
  </si>
  <si>
    <t>Instalaciones Electricas</t>
  </si>
  <si>
    <t>Instalaciones Sanitarias</t>
  </si>
  <si>
    <t>Gastos Generales</t>
  </si>
  <si>
    <t>Utilidad y Honorarios</t>
  </si>
  <si>
    <t>IGV de la Constructora</t>
  </si>
  <si>
    <t>Instalación de Poliza CAR</t>
  </si>
  <si>
    <t>Honorarios de Diseño Proyecto</t>
  </si>
  <si>
    <t>Gastos de Ventas</t>
  </si>
  <si>
    <t>Comision de Estructuracion</t>
  </si>
  <si>
    <t>TOTAL INVERSION</t>
  </si>
  <si>
    <t>COSTO DE OBRA</t>
  </si>
  <si>
    <t>Area techada vendible (m2)</t>
  </si>
  <si>
    <t>Area s comunes y libres (m2)</t>
  </si>
  <si>
    <t>Areas sótanos (m2)</t>
  </si>
  <si>
    <t>VIVENDA</t>
  </si>
  <si>
    <t>Departamento flat</t>
  </si>
  <si>
    <t>Departamento dúplex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</si>
  <si>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</si>
  <si>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</si>
  <si>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</si>
  <si>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</si>
  <si>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</si>
  <si>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</si>
  <si>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</si>
  <si>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</si>
  <si>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</si>
  <si>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301</t>
  </si>
  <si>
    <t>302</t>
  </si>
  <si>
    <t>303</t>
  </si>
  <si>
    <t>304</t>
  </si>
  <si>
    <t>305</t>
  </si>
  <si>
    <t>306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</si>
  <si>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</si>
  <si>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</si>
  <si>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</si>
  <si>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</si>
  <si>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</si>
  <si>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</si>
  <si>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</si>
  <si>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</si>
  <si>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</si>
  <si>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501</t>
  </si>
  <si>
    <t>502</t>
  </si>
  <si>
    <t>503</t>
  </si>
  <si>
    <t>504</t>
  </si>
  <si>
    <t>505</t>
  </si>
  <si>
    <t>506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</si>
  <si>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</si>
  <si>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</si>
  <si>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</si>
  <si>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</si>
  <si>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</si>
  <si>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</si>
  <si>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</si>
  <si>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</si>
  <si>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</si>
  <si>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701</t>
  </si>
  <si>
    <t>702</t>
  </si>
  <si>
    <t>703</t>
  </si>
  <si>
    <t>704</t>
  </si>
  <si>
    <t>705</t>
  </si>
  <si>
    <t>706</t>
  </si>
  <si>
    <t>801</t>
  </si>
  <si>
    <t>802</t>
  </si>
  <si>
    <t>803</t>
  </si>
  <si>
    <t>804</t>
  </si>
  <si>
    <t>805</t>
  </si>
  <si>
    <t>806</t>
  </si>
  <si>
    <t>807</t>
  </si>
  <si>
    <t>808</t>
  </si>
  <si>
    <t>809</t>
  </si>
  <si>
    <t>901</t>
  </si>
  <si>
    <t>902</t>
  </si>
  <si>
    <t>903</t>
  </si>
  <si>
    <t>904</t>
  </si>
  <si>
    <t>905</t>
  </si>
  <si>
    <t>906</t>
  </si>
  <si>
    <t>1001</t>
  </si>
  <si>
    <t>1002</t>
  </si>
  <si>
    <t>1003</t>
  </si>
  <si>
    <t>1004</t>
  </si>
  <si>
    <t>1005</t>
  </si>
  <si>
    <t>1006</t>
  </si>
  <si>
    <t>1007</t>
  </si>
  <si>
    <t>1008</t>
  </si>
  <si>
    <t>1009</t>
  </si>
  <si>
    <t>Area Techada (m2)</t>
  </si>
  <si>
    <t>Area No techada (m2)</t>
  </si>
  <si>
    <t>Area Ocupada (m2)</t>
  </si>
  <si>
    <t>Precio de Venta (US$/m2)</t>
  </si>
  <si>
    <t>Separado</t>
  </si>
  <si>
    <t>Actualizacion</t>
  </si>
  <si>
    <t>Local comercial</t>
  </si>
  <si>
    <t>Oficinas</t>
  </si>
  <si>
    <t>COMERCIO (TIPO)</t>
  </si>
  <si>
    <t>Com-01</t>
  </si>
  <si>
    <t>Com-02</t>
  </si>
  <si>
    <t>Com-03</t>
  </si>
  <si>
    <t>Com-04</t>
  </si>
  <si>
    <t>Ofi-01</t>
  </si>
  <si>
    <t>Ofi-02</t>
  </si>
  <si>
    <t>Ofi-03</t>
  </si>
  <si>
    <t>Ofi-04</t>
  </si>
  <si>
    <t>Estacionamientos Techados</t>
  </si>
  <si>
    <t>Estacionamientos No techados</t>
  </si>
  <si>
    <t>8</t>
  </si>
  <si>
    <t>Locales Comerciales</t>
  </si>
  <si>
    <t># Edificios del proyecto</t>
  </si>
  <si>
    <t># Pisos por edificio</t>
  </si>
  <si>
    <t># unidades por piso</t>
  </si>
  <si>
    <t># Comercio</t>
  </si>
  <si>
    <t>Comercio</t>
  </si>
  <si>
    <t>Total m2</t>
  </si>
  <si>
    <t>Depósito</t>
  </si>
  <si>
    <t>Tipo Flat</t>
  </si>
  <si>
    <t>Tipo Duplex</t>
  </si>
  <si>
    <t>Precio de Venta US$</t>
  </si>
  <si>
    <t>Prevendido</t>
  </si>
  <si>
    <t>Simple</t>
  </si>
  <si>
    <t>simple</t>
  </si>
  <si>
    <t>Doble</t>
  </si>
  <si>
    <t>1</t>
  </si>
  <si>
    <t>2</t>
  </si>
  <si>
    <t>3</t>
  </si>
  <si>
    <t>4</t>
  </si>
  <si>
    <t>5</t>
  </si>
  <si>
    <t>6</t>
  </si>
  <si>
    <t>7</t>
  </si>
  <si>
    <t>ESTACIONAMIENTOS (tipo)</t>
  </si>
  <si>
    <t>Relacion</t>
  </si>
  <si>
    <t>No Tech.</t>
  </si>
  <si>
    <t>Permuta</t>
  </si>
  <si>
    <t>Sotano 1</t>
  </si>
  <si>
    <t>Sotano 2</t>
  </si>
  <si>
    <t>Piso 1</t>
  </si>
  <si>
    <t>Depositos</t>
  </si>
  <si>
    <t>Sótano</t>
  </si>
  <si>
    <t>Incidencia %</t>
  </si>
  <si>
    <t>Vivienda</t>
  </si>
  <si>
    <t>No techado</t>
  </si>
  <si>
    <t>OTROS COSTOS CONSTRUCCION</t>
  </si>
  <si>
    <t xml:space="preserve">Total </t>
  </si>
  <si>
    <t xml:space="preserve">HONORARIOS PROYECTOS </t>
  </si>
  <si>
    <t>Unitarios $/m2</t>
  </si>
  <si>
    <t>Gastos Legales Notariales, Municipales y Titulación</t>
  </si>
  <si>
    <t>Gastos Notariales,  Licencias y Titulación</t>
  </si>
  <si>
    <t>Aporte Banco</t>
  </si>
  <si>
    <t>Valor Venta Final</t>
  </si>
  <si>
    <t>PRESUPUESTO Junio 2015</t>
  </si>
  <si>
    <t>Desembolso al contado</t>
  </si>
  <si>
    <t>PREVENTA</t>
  </si>
  <si>
    <t>INICIALES 10% + PAGOS AL CONTADO (Inveb)</t>
  </si>
  <si>
    <t>VALORIZACION (cargado a Cuenta Recaudadora)</t>
  </si>
  <si>
    <t>Ingresos por Valorización Cuenta Recaudadora</t>
  </si>
  <si>
    <t>SALDO A VALORIZACION SIN CREDITO ACUMULADO</t>
  </si>
  <si>
    <t xml:space="preserve">CREDITO DE INICIALES INVEB ACUMULADO </t>
  </si>
  <si>
    <t>Utilidad antes de Impuestos</t>
  </si>
  <si>
    <t>Impuesto a la Renta</t>
  </si>
  <si>
    <t>Utilidad despues de Impuestos</t>
  </si>
  <si>
    <t>Rentabilidad Bruta</t>
  </si>
  <si>
    <t>Valorización Aporte Cliente</t>
  </si>
  <si>
    <t>VALORIZACION PREVENTA</t>
  </si>
  <si>
    <t>Valorizacion Preventa (Costo de Obra)</t>
  </si>
  <si>
    <t>Valorizacion Preventa (Costos Indirectos)</t>
  </si>
  <si>
    <t>210</t>
  </si>
  <si>
    <t>410</t>
  </si>
  <si>
    <t>610</t>
  </si>
  <si>
    <t>810</t>
  </si>
  <si>
    <t>1010</t>
  </si>
  <si>
    <t>1110</t>
  </si>
  <si>
    <t>1101</t>
  </si>
  <si>
    <t>1102</t>
  </si>
  <si>
    <t>1103</t>
  </si>
  <si>
    <t>1104</t>
  </si>
  <si>
    <t>1105</t>
  </si>
  <si>
    <t>1106</t>
  </si>
  <si>
    <t>1107</t>
  </si>
  <si>
    <t>1108</t>
  </si>
  <si>
    <t>1109</t>
  </si>
  <si>
    <t>Total m2 construidos (Vivienda 10 pisos)</t>
  </si>
  <si>
    <t>Valorizacion Ventas</t>
  </si>
  <si>
    <t>PRESUPUESTO Junio 2014</t>
  </si>
  <si>
    <t>Valor compra</t>
  </si>
  <si>
    <t>9.1 INFORMACIÓN GENERAL DEL PROYECTO - LINEA BASE</t>
  </si>
  <si>
    <t>9.2 RELACION Y PRECIO DE LOS INMUEBLES - LINEA BASE</t>
  </si>
  <si>
    <t>9.3 COSTO DIRECTO DE CONSTRUCCION Y EQUIPAMIENTO - LINEA BASE</t>
  </si>
  <si>
    <t>9.4 CRONOGRAMA VALORIZADO DE OBRA - LINEA BASE</t>
  </si>
  <si>
    <t>9.5. DETALLE DE GASTOS - LINEA BASE</t>
  </si>
  <si>
    <t>9.6. ESTRUCTURA DE FINANCIAMIENTO - LINEA BASE</t>
  </si>
  <si>
    <t>9.7. FLUJO DE INGRESOS - LINEA BASE</t>
  </si>
  <si>
    <t>9.9. FLUJO DE CAJA ECONÓMICO Y FINANCIERO - LINEA BASE</t>
  </si>
  <si>
    <t>9.8. FLUJO DE EGRESOS - LINEA BASE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</si>
</sst>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6" formatCode="&quot;S/.&quot;\ #,##0;[Red]&quot;S/.&quot;\ \-#,##0"/>
    <numFmt numFmtId="8" formatCode="&quot;S/.&quot;\ #,##0.00;[Red]&quot;S/.&quot;\ \-#,##0.00"/>
    <numFmt numFmtId="44" formatCode="_ &quot;S/.&quot;\ * #,##0.00_ ;_ &quot;S/.&quot;\ * \-#,##0.00_ ;_ &quot;S/.&quot;\ * &quot;-&quot;??_ ;_ @_ "/>
    <numFmt numFmtId="43" formatCode="_ * #,##0.00_ ;_ * \-#,##0.00_ ;_ * &quot;-&quot;??_ ;_ @_ "/>
    <numFmt numFmtId="164" formatCode="&quot;$&quot;#,##0.00;[Red]\-&quot;$&quot;#,##0.00"/>
    <numFmt numFmtId="165" formatCode="_-* #,##0.00_-;\-* #,##0.00_-;_-* &quot;-&quot;??_-;_-@_-"/>
    <numFmt numFmtId="166" formatCode="_(* #,##0_);_(* \(#,##0\);_(* &quot;-&quot;_);_(@_)"/>
    <numFmt numFmtId="167" formatCode="_(* #,##0.00_);_(* \(#,##0.00\);_(* &quot;-&quot;??_);_(@_)"/>
    <numFmt numFmtId="168" formatCode="_ * #,##0_ ;_ * \-#,##0_ ;_ * &quot;-&quot;??_ ;_ @_ "/>
    <numFmt numFmtId="169" formatCode="_ * #,##0.0_ ;_ * \-#,##0.0_ ;_ * &quot;-&quot;??_ ;_ @_ "/>
    <numFmt numFmtId="170" formatCode="_(* #,##0.0_);_(* \(#,##0.0\);_(* &quot;-&quot;??_);_(@_)"/>
    <numFmt numFmtId="171" formatCode="#,##0.00\ &quot;m2&quot;"/>
    <numFmt numFmtId="172" formatCode="_(* #,##0_);_(* \(#,##0\);_(* &quot;-&quot;??_);_(@_)"/>
    <numFmt numFmtId="173" formatCode="0.0%"/>
    <numFmt numFmtId="174" formatCode="#,##0.00_ ;[Red]\-#,##0.00\ "/>
    <numFmt numFmtId="175" formatCode="#,##0_ ;\-#,##0\ "/>
    <numFmt numFmtId="176" formatCode="_(&quot;$&quot;* #,##0_);_(&quot;$&quot;* \(#,##0\);_(&quot;$&quot;* &quot;-&quot;_);_(@_)"/>
    <numFmt numFmtId="177" formatCode="&quot;S/.&quot;\ #,##0"/>
    <numFmt numFmtId="178" formatCode="0.0000%"/>
    <numFmt numFmtId="179" formatCode="#,##0.000000"/>
    <numFmt numFmtId="180" formatCode="_ * #,##0.000_ ;_ * \-#,##0.000_ ;_ * &quot;-&quot;??_ ;_ @_ "/>
    <numFmt numFmtId="181" formatCode="#,##0.00000000"/>
    <numFmt numFmtId="182" formatCode="_ * #,##0.0_ ;_ * \-#,##0.0_ ;_ * &quot;-&quot;?_ ;_ @_ "/>
    <numFmt numFmtId="183" formatCode="#,##0.00_ ;\-#,##0.00\ "/>
  </numFmts>
  <fonts count="108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Verdana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sz val="10"/>
      <name val="Arial"/>
      <family val="2"/>
    </font>
    <font>
      <sz val="10"/>
      <name val="BERNHARD"/>
    </font>
    <font>
      <sz val="10"/>
      <name val="Helv"/>
    </font>
    <font>
      <sz val="12"/>
      <name val="Arial"/>
      <family val="2"/>
    </font>
    <font>
      <sz val="8"/>
      <name val="Helv"/>
    </font>
    <font>
      <sz val="8"/>
      <name val="Arial"/>
      <family val="2"/>
    </font>
    <font>
      <b/>
      <u/>
      <sz val="10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9"/>
      <color indexed="8"/>
      <name val="Arial"/>
      <family val="2"/>
    </font>
    <font>
      <b/>
      <sz val="12"/>
      <name val="Arial"/>
      <family val="2"/>
    </font>
    <font>
      <b/>
      <sz val="14"/>
      <color indexed="10"/>
      <name val="Arial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0"/>
      <color theme="0"/>
      <name val="Arial"/>
      <family val="2"/>
    </font>
    <font>
      <b/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6"/>
      <color rgb="FF245404"/>
      <name val="Arial"/>
      <family val="2"/>
    </font>
    <font>
      <u/>
      <sz val="11"/>
      <color theme="10"/>
      <name val="Calibri"/>
      <family val="2"/>
    </font>
    <font>
      <b/>
      <u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u/>
      <sz val="14"/>
      <color indexed="8"/>
      <name val="Calibri"/>
      <family val="2"/>
    </font>
    <font>
      <sz val="9"/>
      <name val="Calibri"/>
      <family val="2"/>
    </font>
    <font>
      <sz val="11"/>
      <color indexed="8"/>
      <name val="Arial"/>
      <family val="2"/>
    </font>
    <font>
      <b/>
      <sz val="11"/>
      <name val="Arial"/>
      <family val="2"/>
    </font>
    <font>
      <b/>
      <u/>
      <sz val="16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rgb="FF000000"/>
      <name val="Verdana"/>
      <family val="2"/>
    </font>
    <font>
      <sz val="11"/>
      <color rgb="FF000000"/>
      <name val="Arial"/>
      <family val="2"/>
    </font>
    <font>
      <sz val="8"/>
      <color theme="1"/>
      <name val="Calibri"/>
      <family val="2"/>
      <scheme val="minor"/>
    </font>
    <font>
      <b/>
      <sz val="8"/>
      <color rgb="FF245404"/>
      <name val="Arial"/>
      <family val="2"/>
    </font>
    <font>
      <b/>
      <sz val="14"/>
      <color indexed="8"/>
      <name val="Calibri"/>
      <family val="2"/>
    </font>
    <font>
      <sz val="11"/>
      <color theme="1" tint="4.9989318521683403E-2"/>
      <name val="Calibri"/>
      <family val="2"/>
      <scheme val="minor"/>
    </font>
    <font>
      <sz val="8"/>
      <color theme="1" tint="4.9989318521683403E-2"/>
      <name val="Calibri"/>
      <family val="2"/>
      <scheme val="minor"/>
    </font>
    <font>
      <u/>
      <sz val="8"/>
      <color theme="10"/>
      <name val="Calibri"/>
      <family val="2"/>
    </font>
    <font>
      <sz val="8"/>
      <name val="Calibri"/>
      <family val="2"/>
      <scheme val="minor"/>
    </font>
    <font>
      <sz val="11"/>
      <color theme="1"/>
      <name val="Calibri"/>
      <family val="2"/>
    </font>
    <font>
      <sz val="8"/>
      <color theme="1"/>
      <name val="Calibri"/>
      <family val="2"/>
    </font>
    <font>
      <sz val="8"/>
      <name val="Calibri"/>
      <family val="2"/>
    </font>
    <font>
      <sz val="1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4"/>
      <color indexed="8"/>
      <name val="Arial"/>
      <family val="2"/>
    </font>
    <font>
      <b/>
      <sz val="10"/>
      <color rgb="FFFF0000"/>
      <name val="Arial"/>
      <family val="2"/>
    </font>
    <font>
      <u/>
      <sz val="10"/>
      <color theme="11"/>
      <name val="Arial"/>
      <family val="2"/>
    </font>
    <font>
      <sz val="11"/>
      <color theme="0"/>
      <name val="Calibri"/>
      <family val="2"/>
      <scheme val="minor"/>
    </font>
    <font>
      <b/>
      <u/>
      <sz val="18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2"/>
      <color theme="1"/>
      <name val="Calibri"/>
      <family val="2"/>
      <charset val="128"/>
      <scheme val="minor"/>
    </font>
    <font>
      <sz val="8"/>
      <color theme="1"/>
      <name val="Arial Unicode MS"/>
      <family val="2"/>
    </font>
    <font>
      <b/>
      <sz val="8"/>
      <color theme="1"/>
      <name val="Arial Unicode MS"/>
      <family val="2"/>
    </font>
    <font>
      <sz val="10"/>
      <color rgb="FFFF0000"/>
      <name val="Arial"/>
      <family val="2"/>
    </font>
    <font>
      <sz val="10"/>
      <color rgb="FFFF0000"/>
      <name val="Verdana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9"/>
      <color theme="0"/>
      <name val="Calibri"/>
      <family val="2"/>
    </font>
    <font>
      <b/>
      <sz val="9"/>
      <color rgb="FF3F3F3F"/>
      <name val="Calibri"/>
      <family val="2"/>
      <scheme val="minor"/>
    </font>
    <font>
      <sz val="11"/>
      <color indexed="8"/>
      <name val="Calibri"/>
      <family val="2"/>
    </font>
    <font>
      <sz val="10"/>
      <name val="Calibri"/>
      <family val="2"/>
    </font>
    <font>
      <b/>
      <sz val="11"/>
      <color indexed="8"/>
      <name val="Calibri"/>
      <family val="2"/>
    </font>
    <font>
      <sz val="10"/>
      <name val="Calibri"/>
      <family val="2"/>
      <scheme val="minor"/>
    </font>
    <font>
      <b/>
      <sz val="8"/>
      <name val="Calibri"/>
      <family val="2"/>
      <scheme val="minor"/>
    </font>
    <font>
      <b/>
      <u/>
      <sz val="8"/>
      <color indexed="8"/>
      <name val="Calibri"/>
      <family val="2"/>
      <scheme val="minor"/>
    </font>
    <font>
      <b/>
      <sz val="8"/>
      <color indexed="8"/>
      <name val="Calibri"/>
      <family val="2"/>
      <scheme val="minor"/>
    </font>
    <font>
      <u/>
      <sz val="8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11"/>
      <color rgb="FFFF0000"/>
      <name val="Arial"/>
      <family val="2"/>
    </font>
    <font>
      <sz val="9"/>
      <name val="Verdana"/>
      <family val="2"/>
    </font>
    <font>
      <b/>
      <sz val="12"/>
      <color indexed="8"/>
      <name val="Calibri"/>
      <family val="2"/>
    </font>
    <font>
      <b/>
      <sz val="10"/>
      <color indexed="8"/>
      <name val="Calibri"/>
      <family val="2"/>
    </font>
    <font>
      <b/>
      <sz val="10"/>
      <name val="Calibri"/>
      <family val="2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21"/>
        <bgColor indexed="64"/>
      </patternFill>
    </fill>
    <fill>
      <patternFill patternType="solid">
        <fgColor indexed="21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2F2F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</fills>
  <borders count="111">
    <border>
      <left/>
      <right/>
      <top/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indexed="62"/>
      </left>
      <right style="hair">
        <color indexed="62"/>
      </right>
      <top style="hair">
        <color indexed="62"/>
      </top>
      <bottom style="hair">
        <color indexed="62"/>
      </bottom>
      <diagonal/>
    </border>
    <border>
      <left style="hair">
        <color indexed="62"/>
      </left>
      <right style="hair">
        <color indexed="62"/>
      </right>
      <top style="hair">
        <color indexed="62"/>
      </top>
      <bottom style="hair">
        <color indexed="62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indexed="62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indexed="62"/>
      </right>
      <top style="medium">
        <color auto="1"/>
      </top>
      <bottom/>
      <diagonal/>
    </border>
    <border>
      <left style="medium">
        <color auto="1"/>
      </left>
      <right style="thin">
        <color indexed="62"/>
      </right>
      <top/>
      <bottom/>
      <diagonal/>
    </border>
    <border>
      <left style="thin">
        <color indexed="62"/>
      </left>
      <right style="hair">
        <color indexed="62"/>
      </right>
      <top style="hair">
        <color indexed="62"/>
      </top>
      <bottom/>
      <diagonal/>
    </border>
    <border>
      <left style="hair">
        <color indexed="62"/>
      </left>
      <right style="hair">
        <color indexed="62"/>
      </right>
      <top style="hair">
        <color indexed="62"/>
      </top>
      <bottom/>
      <diagonal/>
    </border>
    <border>
      <left style="medium">
        <color auto="1"/>
      </left>
      <right style="thin">
        <color indexed="62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2"/>
      </left>
      <right style="hair">
        <color indexed="62"/>
      </right>
      <top/>
      <bottom style="hair">
        <color indexed="62"/>
      </bottom>
      <diagonal/>
    </border>
    <border>
      <left style="hair">
        <color indexed="62"/>
      </left>
      <right style="hair">
        <color indexed="62"/>
      </right>
      <top/>
      <bottom style="hair">
        <color indexed="62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 style="thin">
        <color indexed="18"/>
      </right>
      <top/>
      <bottom style="medium">
        <color indexed="18"/>
      </bottom>
      <diagonal/>
    </border>
    <border>
      <left style="medium">
        <color indexed="18"/>
      </left>
      <right style="thin">
        <color indexed="18"/>
      </right>
      <top/>
      <bottom style="medium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18"/>
      </left>
      <right/>
      <top/>
      <bottom style="medium">
        <color indexed="18"/>
      </bottom>
      <diagonal/>
    </border>
    <border>
      <left/>
      <right/>
      <top/>
      <bottom style="medium">
        <color indexed="18"/>
      </bottom>
      <diagonal/>
    </border>
    <border>
      <left/>
      <right/>
      <top/>
      <bottom style="dotted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3F3F3F"/>
      </left>
      <right/>
      <top style="thin">
        <color auto="1"/>
      </top>
      <bottom style="thin">
        <color rgb="FF3F3F3F"/>
      </bottom>
      <diagonal/>
    </border>
    <border>
      <left/>
      <right/>
      <top style="thin">
        <color auto="1"/>
      </top>
      <bottom style="thin">
        <color rgb="FF3F3F3F"/>
      </bottom>
      <diagonal/>
    </border>
    <border>
      <left/>
      <right style="thin">
        <color rgb="FF3F3F3F"/>
      </right>
      <top style="thin">
        <color auto="1"/>
      </top>
      <bottom style="thin">
        <color rgb="FF3F3F3F"/>
      </bottom>
      <diagonal/>
    </border>
    <border>
      <left/>
      <right style="thin">
        <color rgb="FF3F3F3F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3F3F3F"/>
      </right>
      <top style="medium">
        <color indexed="64"/>
      </top>
      <bottom style="medium">
        <color indexed="64"/>
      </bottom>
      <diagonal/>
    </border>
    <border>
      <left style="thin">
        <color rgb="FF3F3F3F"/>
      </left>
      <right style="thin">
        <color rgb="FF3F3F3F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</borders>
  <cellStyleXfs count="68">
    <xf numFmtId="0" fontId="0" fillId="0" borderId="0"/>
    <xf numFmtId="0" fontId="20" fillId="0" borderId="0"/>
    <xf numFmtId="0" fontId="21" fillId="0" borderId="0"/>
    <xf numFmtId="0" fontId="21" fillId="0" borderId="0"/>
    <xf numFmtId="0" fontId="22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2" fontId="22" fillId="0" borderId="0" applyFont="0" applyFill="0" applyBorder="0" applyAlignment="0" applyProtection="0"/>
    <xf numFmtId="0" fontId="22" fillId="0" borderId="0" applyNumberFormat="0" applyFont="0" applyFill="0" applyBorder="0" applyAlignment="0" applyProtection="0"/>
    <xf numFmtId="0" fontId="22" fillId="0" borderId="0" applyNumberFormat="0" applyFont="0" applyFill="0" applyBorder="0" applyAlignment="0" applyProtection="0"/>
    <xf numFmtId="167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7" fontId="41" fillId="0" borderId="0" applyFont="0" applyFill="0" applyBorder="0" applyAlignment="0" applyProtection="0"/>
    <xf numFmtId="0" fontId="42" fillId="0" borderId="0"/>
    <xf numFmtId="0" fontId="15" fillId="0" borderId="0"/>
    <xf numFmtId="0" fontId="21" fillId="0" borderId="0"/>
    <xf numFmtId="9" fontId="15" fillId="0" borderId="0" applyFont="0" applyFill="0" applyBorder="0" applyAlignment="0" applyProtection="0"/>
    <xf numFmtId="9" fontId="41" fillId="0" borderId="0" applyFont="0" applyFill="0" applyBorder="0" applyAlignment="0" applyProtection="0"/>
    <xf numFmtId="38" fontId="23" fillId="0" borderId="0"/>
    <xf numFmtId="0" fontId="22" fillId="0" borderId="1" applyNumberFormat="0" applyFont="0" applyFill="0" applyAlignment="0" applyProtection="0"/>
    <xf numFmtId="0" fontId="14" fillId="0" borderId="0"/>
    <xf numFmtId="176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3" fillId="0" borderId="0"/>
    <xf numFmtId="0" fontId="12" fillId="0" borderId="0"/>
    <xf numFmtId="167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167" fontId="19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9" fillId="0" borderId="0"/>
    <xf numFmtId="9" fontId="12" fillId="0" borderId="0" applyFont="0" applyFill="0" applyBorder="0" applyAlignment="0" applyProtection="0"/>
    <xf numFmtId="0" fontId="11" fillId="0" borderId="0"/>
    <xf numFmtId="0" fontId="47" fillId="0" borderId="0" applyNumberFormat="0" applyFill="0" applyBorder="0" applyAlignment="0" applyProtection="0">
      <alignment vertical="top"/>
      <protection locked="0"/>
    </xf>
    <xf numFmtId="9" fontId="11" fillId="0" borderId="0" applyFont="0" applyFill="0" applyBorder="0" applyAlignment="0" applyProtection="0"/>
    <xf numFmtId="0" fontId="10" fillId="0" borderId="0"/>
    <xf numFmtId="167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" fillId="0" borderId="0"/>
    <xf numFmtId="0" fontId="5" fillId="0" borderId="0"/>
    <xf numFmtId="0" fontId="4" fillId="0" borderId="0"/>
    <xf numFmtId="167" fontId="4" fillId="0" borderId="0" applyFont="0" applyFill="0" applyBorder="0" applyAlignment="0" applyProtection="0"/>
    <xf numFmtId="0" fontId="78" fillId="0" borderId="0"/>
    <xf numFmtId="0" fontId="15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83" fillId="12" borderId="93" applyNumberFormat="0" applyAlignment="0" applyProtection="0"/>
  </cellStyleXfs>
  <cellXfs count="1036">
    <xf numFmtId="0" fontId="0" fillId="0" borderId="0" xfId="0"/>
    <xf numFmtId="0" fontId="17" fillId="0" borderId="0" xfId="0" applyFont="1" applyFill="1"/>
    <xf numFmtId="169" fontId="17" fillId="0" borderId="0" xfId="16" applyNumberFormat="1" applyFont="1" applyFill="1" applyBorder="1" applyProtection="1"/>
    <xf numFmtId="170" fontId="17" fillId="0" borderId="0" xfId="16" applyNumberFormat="1" applyFont="1" applyFill="1"/>
    <xf numFmtId="168" fontId="17" fillId="0" borderId="0" xfId="16" applyNumberFormat="1" applyFont="1" applyFill="1" applyBorder="1"/>
    <xf numFmtId="0" fontId="17" fillId="0" borderId="0" xfId="0" applyFont="1" applyFill="1" applyBorder="1"/>
    <xf numFmtId="17" fontId="17" fillId="0" borderId="0" xfId="0" applyNumberFormat="1" applyFont="1" applyFill="1" applyBorder="1"/>
    <xf numFmtId="166" fontId="18" fillId="0" borderId="0" xfId="17" applyFont="1" applyFill="1" applyBorder="1"/>
    <xf numFmtId="170" fontId="18" fillId="0" borderId="0" xfId="16" applyNumberFormat="1" applyFont="1" applyFill="1"/>
    <xf numFmtId="15" fontId="17" fillId="0" borderId="0" xfId="0" applyNumberFormat="1" applyFont="1" applyFill="1" applyAlignment="1">
      <alignment horizontal="left"/>
    </xf>
    <xf numFmtId="0" fontId="19" fillId="0" borderId="0" xfId="0" applyFont="1"/>
    <xf numFmtId="0" fontId="16" fillId="0" borderId="0" xfId="0" applyFont="1"/>
    <xf numFmtId="0" fontId="26" fillId="0" borderId="2" xfId="0" applyFont="1" applyBorder="1"/>
    <xf numFmtId="0" fontId="26" fillId="0" borderId="3" xfId="0" applyFont="1" applyBorder="1"/>
    <xf numFmtId="0" fontId="26" fillId="0" borderId="2" xfId="0" applyFont="1" applyFill="1" applyBorder="1"/>
    <xf numFmtId="0" fontId="26" fillId="0" borderId="0" xfId="0" applyFont="1"/>
    <xf numFmtId="43" fontId="28" fillId="0" borderId="5" xfId="0" applyNumberFormat="1" applyFont="1" applyBorder="1"/>
    <xf numFmtId="169" fontId="19" fillId="0" borderId="0" xfId="16" applyNumberFormat="1" applyFont="1" applyFill="1"/>
    <xf numFmtId="169" fontId="29" fillId="0" borderId="0" xfId="16" applyNumberFormat="1" applyFont="1" applyFill="1"/>
    <xf numFmtId="169" fontId="36" fillId="0" borderId="0" xfId="16" applyNumberFormat="1" applyFont="1" applyFill="1"/>
    <xf numFmtId="169" fontId="19" fillId="0" borderId="0" xfId="16" applyNumberFormat="1" applyFont="1" applyFill="1" applyAlignment="1">
      <alignment horizontal="right"/>
    </xf>
    <xf numFmtId="169" fontId="28" fillId="0" borderId="0" xfId="16" applyNumberFormat="1" applyFont="1" applyFill="1"/>
    <xf numFmtId="169" fontId="33" fillId="0" borderId="0" xfId="16" applyNumberFormat="1" applyFont="1" applyFill="1"/>
    <xf numFmtId="169" fontId="30" fillId="0" borderId="0" xfId="16" applyNumberFormat="1" applyFont="1" applyFill="1"/>
    <xf numFmtId="169" fontId="30" fillId="0" borderId="0" xfId="16" applyNumberFormat="1" applyFont="1" applyFill="1" applyBorder="1"/>
    <xf numFmtId="169" fontId="34" fillId="0" borderId="0" xfId="16" applyNumberFormat="1" applyFont="1" applyFill="1" applyBorder="1" applyAlignment="1" applyProtection="1">
      <alignment horizontal="left" indent="1"/>
    </xf>
    <xf numFmtId="169" fontId="30" fillId="0" borderId="0" xfId="16" applyNumberFormat="1" applyFont="1" applyFill="1" applyBorder="1" applyAlignment="1" applyProtection="1">
      <alignment horizontal="left" indent="1"/>
    </xf>
    <xf numFmtId="169" fontId="30" fillId="0" borderId="0" xfId="16" applyNumberFormat="1" applyFont="1" applyFill="1" applyBorder="1" applyProtection="1"/>
    <xf numFmtId="170" fontId="30" fillId="0" borderId="0" xfId="16" applyNumberFormat="1" applyFont="1" applyFill="1" applyBorder="1"/>
    <xf numFmtId="169" fontId="32" fillId="0" borderId="0" xfId="16" applyNumberFormat="1" applyFont="1" applyFill="1" applyBorder="1" applyAlignment="1" applyProtection="1">
      <alignment horizontal="right"/>
    </xf>
    <xf numFmtId="169" fontId="32" fillId="0" borderId="0" xfId="16" applyNumberFormat="1" applyFont="1" applyFill="1" applyBorder="1" applyProtection="1"/>
    <xf numFmtId="169" fontId="19" fillId="0" borderId="0" xfId="16" applyNumberFormat="1" applyFont="1" applyFill="1" applyBorder="1"/>
    <xf numFmtId="169" fontId="30" fillId="0" borderId="0" xfId="16" applyNumberFormat="1" applyFont="1" applyFill="1" applyBorder="1" applyAlignment="1" applyProtection="1">
      <alignment horizontal="right"/>
    </xf>
    <xf numFmtId="169" fontId="32" fillId="0" borderId="0" xfId="16" applyNumberFormat="1" applyFont="1" applyFill="1" applyBorder="1" applyAlignment="1" applyProtection="1">
      <alignment horizontal="center"/>
    </xf>
    <xf numFmtId="43" fontId="19" fillId="0" borderId="0" xfId="0" applyNumberFormat="1" applyFont="1"/>
    <xf numFmtId="10" fontId="30" fillId="0" borderId="8" xfId="16" applyNumberFormat="1" applyFont="1" applyFill="1" applyBorder="1"/>
    <xf numFmtId="0" fontId="25" fillId="0" borderId="0" xfId="0" applyFont="1" applyAlignment="1">
      <alignment horizontal="center"/>
    </xf>
    <xf numFmtId="0" fontId="37" fillId="0" borderId="0" xfId="0" applyFont="1"/>
    <xf numFmtId="39" fontId="29" fillId="0" borderId="0" xfId="0" applyNumberFormat="1" applyFont="1" applyFill="1" applyBorder="1"/>
    <xf numFmtId="0" fontId="30" fillId="0" borderId="0" xfId="0" applyFont="1" applyFill="1" applyBorder="1"/>
    <xf numFmtId="0" fontId="34" fillId="0" borderId="0" xfId="0" applyFont="1" applyFill="1" applyBorder="1"/>
    <xf numFmtId="17" fontId="30" fillId="0" borderId="0" xfId="0" applyNumberFormat="1" applyFont="1" applyFill="1" applyBorder="1"/>
    <xf numFmtId="170" fontId="30" fillId="0" borderId="14" xfId="16" applyNumberFormat="1" applyFont="1" applyFill="1" applyBorder="1"/>
    <xf numFmtId="170" fontId="30" fillId="0" borderId="15" xfId="16" applyNumberFormat="1" applyFont="1" applyFill="1" applyBorder="1"/>
    <xf numFmtId="166" fontId="32" fillId="0" borderId="0" xfId="17" applyFont="1" applyFill="1" applyBorder="1"/>
    <xf numFmtId="0" fontId="26" fillId="0" borderId="0" xfId="0" applyFont="1" applyBorder="1"/>
    <xf numFmtId="4" fontId="26" fillId="0" borderId="16" xfId="0" applyNumberFormat="1" applyFont="1" applyBorder="1"/>
    <xf numFmtId="10" fontId="26" fillId="0" borderId="16" xfId="0" applyNumberFormat="1" applyFont="1" applyBorder="1"/>
    <xf numFmtId="0" fontId="26" fillId="0" borderId="16" xfId="0" applyFont="1" applyBorder="1"/>
    <xf numFmtId="0" fontId="26" fillId="0" borderId="8" xfId="0" applyFont="1" applyBorder="1"/>
    <xf numFmtId="168" fontId="30" fillId="0" borderId="0" xfId="16" applyNumberFormat="1" applyFont="1" applyFill="1"/>
    <xf numFmtId="168" fontId="30" fillId="0" borderId="0" xfId="16" applyNumberFormat="1" applyFont="1" applyFill="1" applyBorder="1"/>
    <xf numFmtId="39" fontId="33" fillId="0" borderId="0" xfId="0" applyNumberFormat="1" applyFont="1" applyFill="1"/>
    <xf numFmtId="15" fontId="34" fillId="0" borderId="0" xfId="0" applyNumberFormat="1" applyFont="1" applyFill="1" applyAlignment="1">
      <alignment horizontal="left"/>
    </xf>
    <xf numFmtId="15" fontId="30" fillId="0" borderId="0" xfId="16" applyNumberFormat="1" applyFont="1" applyFill="1" applyAlignment="1">
      <alignment horizontal="left"/>
    </xf>
    <xf numFmtId="15" fontId="30" fillId="0" borderId="0" xfId="16" applyNumberFormat="1" applyFont="1" applyFill="1" applyBorder="1" applyAlignment="1">
      <alignment horizontal="left"/>
    </xf>
    <xf numFmtId="0" fontId="29" fillId="0" borderId="0" xfId="0" applyFont="1" applyFill="1" applyBorder="1" applyAlignment="1">
      <alignment vertical="center"/>
    </xf>
    <xf numFmtId="0" fontId="35" fillId="0" borderId="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168" fontId="19" fillId="0" borderId="0" xfId="16" applyNumberFormat="1" applyFont="1" applyFill="1" applyBorder="1" applyAlignment="1">
      <alignment vertical="center"/>
    </xf>
    <xf numFmtId="0" fontId="37" fillId="0" borderId="0" xfId="0" applyFont="1" applyFill="1" applyBorder="1" applyAlignment="1">
      <alignment vertical="center"/>
    </xf>
    <xf numFmtId="0" fontId="19" fillId="0" borderId="0" xfId="0" applyFont="1" applyFill="1" applyAlignment="1">
      <alignment vertical="center"/>
    </xf>
    <xf numFmtId="168" fontId="19" fillId="0" borderId="0" xfId="16" applyNumberFormat="1" applyFont="1" applyFill="1" applyAlignment="1">
      <alignment horizontal="center" vertical="center"/>
    </xf>
    <xf numFmtId="15" fontId="19" fillId="0" borderId="0" xfId="16" applyNumberFormat="1" applyFont="1" applyFill="1" applyAlignment="1">
      <alignment horizontal="left" vertical="center"/>
    </xf>
    <xf numFmtId="172" fontId="19" fillId="0" borderId="0" xfId="16" applyNumberFormat="1" applyFont="1"/>
    <xf numFmtId="170" fontId="30" fillId="0" borderId="0" xfId="16" applyNumberFormat="1" applyFont="1" applyFill="1" applyBorder="1" applyAlignment="1">
      <alignment vertical="center"/>
    </xf>
    <xf numFmtId="172" fontId="30" fillId="0" borderId="0" xfId="16" applyNumberFormat="1" applyFont="1" applyFill="1" applyBorder="1" applyAlignment="1">
      <alignment vertical="center"/>
    </xf>
    <xf numFmtId="173" fontId="27" fillId="0" borderId="0" xfId="22" applyNumberFormat="1" applyFont="1" applyFill="1" applyBorder="1" applyAlignment="1">
      <alignment vertical="center"/>
    </xf>
    <xf numFmtId="0" fontId="38" fillId="2" borderId="4" xfId="0" applyFont="1" applyFill="1" applyBorder="1"/>
    <xf numFmtId="39" fontId="38" fillId="3" borderId="4" xfId="0" applyNumberFormat="1" applyFont="1" applyFill="1" applyBorder="1" applyProtection="1"/>
    <xf numFmtId="10" fontId="38" fillId="2" borderId="12" xfId="0" applyNumberFormat="1" applyFont="1" applyFill="1" applyBorder="1"/>
    <xf numFmtId="0" fontId="27" fillId="2" borderId="12" xfId="0" applyFont="1" applyFill="1" applyBorder="1"/>
    <xf numFmtId="49" fontId="32" fillId="0" borderId="0" xfId="0" applyNumberFormat="1" applyFont="1" applyFill="1" applyBorder="1" applyAlignment="1">
      <alignment horizontal="center"/>
    </xf>
    <xf numFmtId="170" fontId="30" fillId="0" borderId="20" xfId="16" applyNumberFormat="1" applyFont="1" applyFill="1" applyBorder="1" applyAlignment="1">
      <alignment horizontal="center"/>
    </xf>
    <xf numFmtId="170" fontId="30" fillId="0" borderId="16" xfId="16" applyNumberFormat="1" applyFont="1" applyFill="1" applyBorder="1"/>
    <xf numFmtId="170" fontId="30" fillId="0" borderId="17" xfId="16" applyNumberFormat="1" applyFont="1" applyFill="1" applyBorder="1" applyAlignment="1">
      <alignment vertical="center"/>
    </xf>
    <xf numFmtId="172" fontId="30" fillId="0" borderId="17" xfId="16" applyNumberFormat="1" applyFont="1" applyFill="1" applyBorder="1" applyAlignment="1">
      <alignment vertical="center"/>
    </xf>
    <xf numFmtId="172" fontId="30" fillId="0" borderId="20" xfId="16" applyNumberFormat="1" applyFont="1" applyFill="1" applyBorder="1" applyAlignment="1">
      <alignment vertical="center"/>
    </xf>
    <xf numFmtId="172" fontId="30" fillId="0" borderId="11" xfId="16" applyNumberFormat="1" applyFont="1" applyFill="1" applyBorder="1" applyAlignment="1">
      <alignment vertical="center"/>
    </xf>
    <xf numFmtId="170" fontId="30" fillId="0" borderId="11" xfId="16" applyNumberFormat="1" applyFont="1" applyFill="1" applyBorder="1" applyAlignment="1">
      <alignment vertical="center"/>
    </xf>
    <xf numFmtId="170" fontId="32" fillId="0" borderId="24" xfId="16" applyNumberFormat="1" applyFont="1" applyFill="1" applyBorder="1"/>
    <xf numFmtId="170" fontId="32" fillId="0" borderId="9" xfId="16" applyNumberFormat="1" applyFont="1" applyFill="1" applyBorder="1"/>
    <xf numFmtId="17" fontId="32" fillId="0" borderId="0" xfId="0" applyNumberFormat="1" applyFont="1" applyFill="1" applyBorder="1" applyAlignment="1">
      <alignment horizontal="right"/>
    </xf>
    <xf numFmtId="170" fontId="30" fillId="0" borderId="25" xfId="16" applyNumberFormat="1" applyFont="1" applyFill="1" applyBorder="1"/>
    <xf numFmtId="170" fontId="30" fillId="0" borderId="26" xfId="16" applyNumberFormat="1" applyFont="1" applyFill="1" applyBorder="1"/>
    <xf numFmtId="170" fontId="32" fillId="0" borderId="16" xfId="16" applyNumberFormat="1" applyFont="1" applyFill="1" applyBorder="1"/>
    <xf numFmtId="170" fontId="30" fillId="0" borderId="27" xfId="16" applyNumberFormat="1" applyFont="1" applyFill="1" applyBorder="1"/>
    <xf numFmtId="170" fontId="30" fillId="0" borderId="28" xfId="16" applyNumberFormat="1" applyFont="1" applyFill="1" applyBorder="1"/>
    <xf numFmtId="170" fontId="32" fillId="0" borderId="29" xfId="16" applyNumberFormat="1" applyFont="1" applyFill="1" applyBorder="1"/>
    <xf numFmtId="170" fontId="32" fillId="0" borderId="12" xfId="16" applyNumberFormat="1" applyFont="1" applyFill="1" applyBorder="1"/>
    <xf numFmtId="39" fontId="30" fillId="0" borderId="2" xfId="0" applyNumberFormat="1" applyFont="1" applyFill="1" applyBorder="1" applyProtection="1"/>
    <xf numFmtId="39" fontId="30" fillId="0" borderId="13" xfId="0" applyNumberFormat="1" applyFont="1" applyFill="1" applyBorder="1" applyProtection="1"/>
    <xf numFmtId="17" fontId="38" fillId="2" borderId="24" xfId="0" applyNumberFormat="1" applyFont="1" applyFill="1" applyBorder="1" applyAlignment="1">
      <alignment horizontal="right"/>
    </xf>
    <xf numFmtId="170" fontId="30" fillId="0" borderId="31" xfId="16" applyNumberFormat="1" applyFont="1" applyFill="1" applyBorder="1"/>
    <xf numFmtId="170" fontId="30" fillId="0" borderId="32" xfId="16" applyNumberFormat="1" applyFont="1" applyFill="1" applyBorder="1"/>
    <xf numFmtId="17" fontId="38" fillId="2" borderId="19" xfId="0" applyNumberFormat="1" applyFont="1" applyFill="1" applyBorder="1" applyAlignment="1">
      <alignment horizontal="center"/>
    </xf>
    <xf numFmtId="17" fontId="38" fillId="2" borderId="30" xfId="0" applyNumberFormat="1" applyFont="1" applyFill="1" applyBorder="1" applyAlignment="1">
      <alignment horizontal="center"/>
    </xf>
    <xf numFmtId="169" fontId="38" fillId="2" borderId="33" xfId="16" applyNumberFormat="1" applyFont="1" applyFill="1" applyBorder="1" applyProtection="1"/>
    <xf numFmtId="169" fontId="38" fillId="2" borderId="6" xfId="16" applyNumberFormat="1" applyFont="1" applyFill="1" applyBorder="1" applyAlignment="1" applyProtection="1">
      <alignment horizontal="center"/>
    </xf>
    <xf numFmtId="169" fontId="32" fillId="0" borderId="6" xfId="16" applyNumberFormat="1" applyFont="1" applyFill="1" applyBorder="1" applyAlignment="1">
      <alignment horizontal="center"/>
    </xf>
    <xf numFmtId="4" fontId="28" fillId="0" borderId="35" xfId="0" applyNumberFormat="1" applyFont="1" applyBorder="1"/>
    <xf numFmtId="4" fontId="28" fillId="0" borderId="36" xfId="0" applyNumberFormat="1" applyFont="1" applyBorder="1"/>
    <xf numFmtId="169" fontId="30" fillId="0" borderId="37" xfId="16" applyNumberFormat="1" applyFont="1" applyFill="1" applyBorder="1" applyProtection="1"/>
    <xf numFmtId="170" fontId="30" fillId="0" borderId="37" xfId="16" applyNumberFormat="1" applyFont="1" applyFill="1" applyBorder="1"/>
    <xf numFmtId="170" fontId="30" fillId="0" borderId="37" xfId="16" applyNumberFormat="1" applyFont="1" applyFill="1" applyBorder="1" applyProtection="1"/>
    <xf numFmtId="10" fontId="30" fillId="0" borderId="37" xfId="16" applyNumberFormat="1" applyFont="1" applyFill="1" applyBorder="1"/>
    <xf numFmtId="4" fontId="19" fillId="0" borderId="37" xfId="0" applyNumberFormat="1" applyFont="1" applyBorder="1"/>
    <xf numFmtId="169" fontId="30" fillId="0" borderId="38" xfId="16" applyNumberFormat="1" applyFont="1" applyFill="1" applyBorder="1" applyProtection="1"/>
    <xf numFmtId="169" fontId="30" fillId="0" borderId="39" xfId="16" applyNumberFormat="1" applyFont="1" applyFill="1" applyBorder="1" applyProtection="1"/>
    <xf numFmtId="10" fontId="30" fillId="0" borderId="39" xfId="16" applyNumberFormat="1" applyFont="1" applyFill="1" applyBorder="1"/>
    <xf numFmtId="4" fontId="19" fillId="0" borderId="39" xfId="0" applyNumberFormat="1" applyFont="1" applyBorder="1"/>
    <xf numFmtId="169" fontId="30" fillId="0" borderId="40" xfId="16" applyNumberFormat="1" applyFont="1" applyFill="1" applyBorder="1" applyProtection="1"/>
    <xf numFmtId="169" fontId="30" fillId="0" borderId="42" xfId="16" applyNumberFormat="1" applyFont="1" applyFill="1" applyBorder="1" applyProtection="1"/>
    <xf numFmtId="169" fontId="30" fillId="0" borderId="43" xfId="16" applyNumberFormat="1" applyFont="1" applyFill="1" applyBorder="1" applyProtection="1"/>
    <xf numFmtId="10" fontId="30" fillId="0" borderId="43" xfId="16" applyNumberFormat="1" applyFont="1" applyFill="1" applyBorder="1"/>
    <xf numFmtId="4" fontId="19" fillId="0" borderId="43" xfId="0" applyNumberFormat="1" applyFont="1" applyBorder="1"/>
    <xf numFmtId="169" fontId="30" fillId="0" borderId="45" xfId="16" applyNumberFormat="1" applyFont="1" applyFill="1" applyBorder="1" applyProtection="1"/>
    <xf numFmtId="169" fontId="30" fillId="0" borderId="46" xfId="16" applyNumberFormat="1" applyFont="1" applyFill="1" applyBorder="1" applyProtection="1"/>
    <xf numFmtId="170" fontId="30" fillId="0" borderId="46" xfId="16" applyNumberFormat="1" applyFont="1" applyFill="1" applyBorder="1" applyProtection="1"/>
    <xf numFmtId="10" fontId="30" fillId="0" borderId="46" xfId="16" applyNumberFormat="1" applyFont="1" applyFill="1" applyBorder="1"/>
    <xf numFmtId="4" fontId="19" fillId="0" borderId="46" xfId="0" applyNumberFormat="1" applyFont="1" applyBorder="1"/>
    <xf numFmtId="169" fontId="32" fillId="0" borderId="47" xfId="16" applyNumberFormat="1" applyFont="1" applyFill="1" applyBorder="1" applyProtection="1"/>
    <xf numFmtId="169" fontId="32" fillId="0" borderId="19" xfId="16" applyNumberFormat="1" applyFont="1" applyFill="1" applyBorder="1" applyProtection="1"/>
    <xf numFmtId="170" fontId="32" fillId="0" borderId="19" xfId="16" applyNumberFormat="1" applyFont="1" applyFill="1" applyBorder="1" applyAlignment="1" applyProtection="1">
      <alignment horizontal="right"/>
    </xf>
    <xf numFmtId="10" fontId="32" fillId="0" borderId="19" xfId="16" applyNumberFormat="1" applyFont="1" applyFill="1" applyBorder="1"/>
    <xf numFmtId="4" fontId="28" fillId="0" borderId="19" xfId="0" applyNumberFormat="1" applyFont="1" applyBorder="1"/>
    <xf numFmtId="10" fontId="30" fillId="0" borderId="6" xfId="16" applyNumberFormat="1" applyFont="1" applyFill="1" applyBorder="1"/>
    <xf numFmtId="169" fontId="30" fillId="0" borderId="37" xfId="16" applyNumberFormat="1" applyFont="1" applyFill="1" applyBorder="1"/>
    <xf numFmtId="169" fontId="30" fillId="0" borderId="46" xfId="16" applyNumberFormat="1" applyFont="1" applyFill="1" applyBorder="1"/>
    <xf numFmtId="169" fontId="32" fillId="0" borderId="19" xfId="16" applyNumberFormat="1" applyFont="1" applyFill="1" applyBorder="1" applyAlignment="1" applyProtection="1">
      <alignment horizontal="right"/>
    </xf>
    <xf numFmtId="169" fontId="30" fillId="0" borderId="37" xfId="16" applyNumberFormat="1" applyFont="1" applyFill="1" applyBorder="1" applyAlignment="1" applyProtection="1">
      <alignment horizontal="right"/>
    </xf>
    <xf numFmtId="169" fontId="30" fillId="0" borderId="39" xfId="16" applyNumberFormat="1" applyFont="1" applyFill="1" applyBorder="1" applyAlignment="1" applyProtection="1">
      <alignment horizontal="right"/>
    </xf>
    <xf numFmtId="169" fontId="30" fillId="0" borderId="43" xfId="16" applyNumberFormat="1" applyFont="1" applyFill="1" applyBorder="1" applyAlignment="1" applyProtection="1">
      <alignment horizontal="right"/>
    </xf>
    <xf numFmtId="169" fontId="30" fillId="0" borderId="46" xfId="16" applyNumberFormat="1" applyFont="1" applyFill="1" applyBorder="1" applyAlignment="1" applyProtection="1">
      <alignment horizontal="right"/>
    </xf>
    <xf numFmtId="169" fontId="19" fillId="0" borderId="37" xfId="16" applyNumberFormat="1" applyFont="1" applyFill="1" applyBorder="1" applyProtection="1"/>
    <xf numFmtId="169" fontId="19" fillId="0" borderId="37" xfId="16" applyNumberFormat="1" applyFont="1" applyFill="1" applyBorder="1" applyAlignment="1" applyProtection="1">
      <alignment horizontal="right"/>
    </xf>
    <xf numFmtId="169" fontId="19" fillId="0" borderId="46" xfId="16" applyNumberFormat="1" applyFont="1" applyFill="1" applyBorder="1" applyProtection="1"/>
    <xf numFmtId="169" fontId="19" fillId="0" borderId="46" xfId="16" applyNumberFormat="1" applyFont="1" applyFill="1" applyBorder="1" applyAlignment="1" applyProtection="1">
      <alignment horizontal="right"/>
    </xf>
    <xf numFmtId="169" fontId="28" fillId="0" borderId="47" xfId="16" applyNumberFormat="1" applyFont="1" applyFill="1" applyBorder="1" applyProtection="1"/>
    <xf numFmtId="169" fontId="28" fillId="0" borderId="19" xfId="16" applyNumberFormat="1" applyFont="1" applyFill="1" applyBorder="1" applyProtection="1"/>
    <xf numFmtId="169" fontId="28" fillId="0" borderId="19" xfId="16" applyNumberFormat="1" applyFont="1" applyFill="1" applyBorder="1" applyAlignment="1" applyProtection="1">
      <alignment horizontal="right"/>
    </xf>
    <xf numFmtId="4" fontId="28" fillId="0" borderId="19" xfId="0" applyNumberFormat="1" applyFont="1" applyFill="1" applyBorder="1"/>
    <xf numFmtId="169" fontId="32" fillId="0" borderId="48" xfId="16" applyNumberFormat="1" applyFont="1" applyFill="1" applyBorder="1" applyProtection="1"/>
    <xf numFmtId="169" fontId="32" fillId="0" borderId="49" xfId="16" applyNumberFormat="1" applyFont="1" applyFill="1" applyBorder="1" applyProtection="1"/>
    <xf numFmtId="169" fontId="32" fillId="0" borderId="49" xfId="16" applyNumberFormat="1" applyFont="1" applyFill="1" applyBorder="1" applyAlignment="1" applyProtection="1">
      <alignment horizontal="right"/>
    </xf>
    <xf numFmtId="169" fontId="30" fillId="0" borderId="46" xfId="16" applyNumberFormat="1" applyFont="1" applyFill="1" applyBorder="1" applyAlignment="1" applyProtection="1">
      <alignment horizontal="left"/>
    </xf>
    <xf numFmtId="172" fontId="19" fillId="0" borderId="0" xfId="0" applyNumberFormat="1" applyFont="1"/>
    <xf numFmtId="169" fontId="19" fillId="0" borderId="45" xfId="16" applyNumberFormat="1" applyFont="1" applyFill="1" applyBorder="1" applyProtection="1"/>
    <xf numFmtId="174" fontId="19" fillId="0" borderId="41" xfId="0" applyNumberFormat="1" applyFont="1" applyBorder="1"/>
    <xf numFmtId="10" fontId="19" fillId="0" borderId="41" xfId="0" applyNumberFormat="1" applyFont="1" applyBorder="1"/>
    <xf numFmtId="10" fontId="19" fillId="0" borderId="44" xfId="0" applyNumberFormat="1" applyFont="1" applyBorder="1"/>
    <xf numFmtId="0" fontId="52" fillId="0" borderId="0" xfId="20" applyFont="1" applyAlignment="1">
      <alignment vertical="center"/>
    </xf>
    <xf numFmtId="0" fontId="52" fillId="0" borderId="0" xfId="20" applyFont="1" applyAlignment="1">
      <alignment horizontal="center" vertical="center"/>
    </xf>
    <xf numFmtId="0" fontId="10" fillId="0" borderId="0" xfId="43"/>
    <xf numFmtId="0" fontId="45" fillId="0" borderId="0" xfId="43" applyFont="1"/>
    <xf numFmtId="0" fontId="10" fillId="0" borderId="16" xfId="43" applyBorder="1"/>
    <xf numFmtId="4" fontId="10" fillId="0" borderId="10" xfId="43" applyNumberFormat="1" applyBorder="1"/>
    <xf numFmtId="4" fontId="44" fillId="0" borderId="5" xfId="43" applyNumberFormat="1" applyFont="1" applyBorder="1"/>
    <xf numFmtId="0" fontId="10" fillId="0" borderId="2" xfId="43" applyBorder="1"/>
    <xf numFmtId="4" fontId="10" fillId="0" borderId="2" xfId="43" applyNumberFormat="1" applyBorder="1"/>
    <xf numFmtId="4" fontId="10" fillId="0" borderId="0" xfId="43" applyNumberFormat="1" applyBorder="1"/>
    <xf numFmtId="4" fontId="44" fillId="0" borderId="2" xfId="43" applyNumberFormat="1" applyFont="1" applyBorder="1"/>
    <xf numFmtId="4" fontId="44" fillId="0" borderId="4" xfId="43" applyNumberFormat="1" applyFont="1" applyBorder="1"/>
    <xf numFmtId="4" fontId="44" fillId="0" borderId="9" xfId="43" applyNumberFormat="1" applyFont="1" applyBorder="1"/>
    <xf numFmtId="10" fontId="32" fillId="0" borderId="22" xfId="16" applyNumberFormat="1" applyFont="1" applyFill="1" applyBorder="1"/>
    <xf numFmtId="4" fontId="19" fillId="0" borderId="57" xfId="0" applyNumberFormat="1" applyFont="1" applyBorder="1"/>
    <xf numFmtId="173" fontId="28" fillId="0" borderId="0" xfId="22" applyNumberFormat="1" applyFont="1" applyFill="1" applyBorder="1" applyAlignment="1">
      <alignment vertical="center"/>
    </xf>
    <xf numFmtId="0" fontId="43" fillId="2" borderId="4" xfId="0" applyFont="1" applyFill="1" applyBorder="1"/>
    <xf numFmtId="0" fontId="28" fillId="0" borderId="0" xfId="0" applyFont="1"/>
    <xf numFmtId="0" fontId="9" fillId="0" borderId="0" xfId="46"/>
    <xf numFmtId="0" fontId="56" fillId="0" borderId="0" xfId="46" applyFont="1"/>
    <xf numFmtId="0" fontId="57" fillId="0" borderId="0" xfId="46" applyFont="1"/>
    <xf numFmtId="0" fontId="58" fillId="0" borderId="0" xfId="46" applyFont="1"/>
    <xf numFmtId="0" fontId="9" fillId="0" borderId="12" xfId="46" applyBorder="1" applyAlignment="1">
      <alignment horizontal="center"/>
    </xf>
    <xf numFmtId="0" fontId="9" fillId="0" borderId="12" xfId="46" applyBorder="1"/>
    <xf numFmtId="0" fontId="9" fillId="0" borderId="4" xfId="46" applyBorder="1"/>
    <xf numFmtId="0" fontId="9" fillId="0" borderId="47" xfId="46" applyBorder="1"/>
    <xf numFmtId="0" fontId="9" fillId="0" borderId="61" xfId="46" applyBorder="1"/>
    <xf numFmtId="0" fontId="58" fillId="0" borderId="12" xfId="46" applyFont="1" applyBorder="1" applyAlignment="1">
      <alignment horizontal="center"/>
    </xf>
    <xf numFmtId="0" fontId="58" fillId="0" borderId="12" xfId="46" applyFont="1" applyBorder="1"/>
    <xf numFmtId="0" fontId="58" fillId="0" borderId="4" xfId="46" applyFont="1" applyBorder="1"/>
    <xf numFmtId="0" fontId="58" fillId="0" borderId="47" xfId="46" applyFont="1" applyBorder="1"/>
    <xf numFmtId="0" fontId="61" fillId="0" borderId="20" xfId="46" applyFont="1" applyBorder="1" applyAlignment="1">
      <alignment horizontal="center"/>
    </xf>
    <xf numFmtId="0" fontId="61" fillId="0" borderId="13" xfId="46" applyFont="1" applyBorder="1" applyAlignment="1">
      <alignment horizontal="center"/>
    </xf>
    <xf numFmtId="0" fontId="61" fillId="0" borderId="63" xfId="46" applyFont="1" applyBorder="1" applyAlignment="1">
      <alignment horizontal="center"/>
    </xf>
    <xf numFmtId="0" fontId="61" fillId="0" borderId="67" xfId="46" applyFont="1" applyBorder="1" applyAlignment="1">
      <alignment horizontal="center"/>
    </xf>
    <xf numFmtId="0" fontId="62" fillId="0" borderId="13" xfId="46" applyFont="1" applyBorder="1" applyAlignment="1">
      <alignment horizontal="center"/>
    </xf>
    <xf numFmtId="0" fontId="62" fillId="0" borderId="20" xfId="46" applyFont="1" applyBorder="1" applyAlignment="1">
      <alignment horizontal="center"/>
    </xf>
    <xf numFmtId="0" fontId="62" fillId="0" borderId="63" xfId="46" applyFont="1" applyBorder="1" applyAlignment="1">
      <alignment horizontal="center"/>
    </xf>
    <xf numFmtId="0" fontId="62" fillId="0" borderId="67" xfId="46" applyFont="1" applyBorder="1" applyAlignment="1">
      <alignment horizontal="center"/>
    </xf>
    <xf numFmtId="0" fontId="61" fillId="0" borderId="16" xfId="46" applyFont="1" applyBorder="1" applyAlignment="1">
      <alignment horizontal="center"/>
    </xf>
    <xf numFmtId="0" fontId="61" fillId="0" borderId="16" xfId="46" applyFont="1" applyBorder="1" applyAlignment="1">
      <alignment horizontal="center" wrapText="1"/>
    </xf>
    <xf numFmtId="0" fontId="61" fillId="0" borderId="2" xfId="46" applyFont="1" applyFill="1" applyBorder="1" applyAlignment="1">
      <alignment horizontal="center"/>
    </xf>
    <xf numFmtId="0" fontId="61" fillId="0" borderId="64" xfId="46" applyFont="1" applyBorder="1" applyAlignment="1">
      <alignment horizontal="center"/>
    </xf>
    <xf numFmtId="0" fontId="61" fillId="0" borderId="40" xfId="46" applyFont="1" applyFill="1" applyBorder="1" applyAlignment="1">
      <alignment horizontal="center"/>
    </xf>
    <xf numFmtId="0" fontId="62" fillId="0" borderId="2" xfId="46" applyFont="1" applyFill="1" applyBorder="1" applyAlignment="1">
      <alignment horizontal="center"/>
    </xf>
    <xf numFmtId="0" fontId="62" fillId="0" borderId="16" xfId="46" applyFont="1" applyBorder="1" applyAlignment="1">
      <alignment horizontal="center" wrapText="1"/>
    </xf>
    <xf numFmtId="0" fontId="62" fillId="0" borderId="64" xfId="46" applyFont="1" applyFill="1" applyBorder="1" applyAlignment="1">
      <alignment horizontal="center"/>
    </xf>
    <xf numFmtId="0" fontId="62" fillId="0" borderId="16" xfId="46" applyFont="1" applyBorder="1" applyAlignment="1">
      <alignment horizontal="center"/>
    </xf>
    <xf numFmtId="0" fontId="62" fillId="0" borderId="40" xfId="46" applyFont="1" applyBorder="1" applyAlignment="1">
      <alignment horizontal="center"/>
    </xf>
    <xf numFmtId="0" fontId="61" fillId="0" borderId="16" xfId="46" applyFont="1" applyFill="1" applyBorder="1" applyAlignment="1">
      <alignment horizontal="center"/>
    </xf>
    <xf numFmtId="0" fontId="61" fillId="0" borderId="16" xfId="46" applyFont="1" applyFill="1" applyBorder="1" applyAlignment="1">
      <alignment horizontal="center" wrapText="1"/>
    </xf>
    <xf numFmtId="0" fontId="61" fillId="0" borderId="65" xfId="46" applyFont="1" applyBorder="1" applyAlignment="1">
      <alignment horizontal="center"/>
    </xf>
    <xf numFmtId="0" fontId="61" fillId="0" borderId="42" xfId="46" applyFont="1" applyFill="1" applyBorder="1" applyAlignment="1">
      <alignment horizontal="center"/>
    </xf>
    <xf numFmtId="0" fontId="62" fillId="0" borderId="16" xfId="46" applyFont="1" applyFill="1" applyBorder="1" applyAlignment="1">
      <alignment horizontal="center"/>
    </xf>
    <xf numFmtId="0" fontId="62" fillId="0" borderId="65" xfId="46" applyFont="1" applyFill="1" applyBorder="1" applyAlignment="1">
      <alignment horizontal="center"/>
    </xf>
    <xf numFmtId="0" fontId="62" fillId="0" borderId="42" xfId="46" applyFont="1" applyBorder="1" applyAlignment="1">
      <alignment horizontal="center"/>
    </xf>
    <xf numFmtId="0" fontId="47" fillId="0" borderId="8" xfId="41" applyFill="1" applyBorder="1" applyAlignment="1" applyProtection="1">
      <alignment horizontal="center"/>
    </xf>
    <xf numFmtId="0" fontId="47" fillId="0" borderId="8" xfId="41" applyBorder="1" applyAlignment="1" applyProtection="1">
      <alignment horizontal="center"/>
    </xf>
    <xf numFmtId="0" fontId="47" fillId="0" borderId="3" xfId="41" applyBorder="1" applyAlignment="1" applyProtection="1">
      <alignment horizontal="center"/>
    </xf>
    <xf numFmtId="0" fontId="47" fillId="0" borderId="63" xfId="41" applyBorder="1" applyAlignment="1" applyProtection="1">
      <alignment horizontal="center"/>
    </xf>
    <xf numFmtId="0" fontId="47" fillId="0" borderId="67" xfId="41" applyFill="1" applyBorder="1" applyAlignment="1" applyProtection="1">
      <alignment horizontal="center"/>
    </xf>
    <xf numFmtId="0" fontId="47" fillId="0" borderId="8" xfId="41" applyFont="1" applyBorder="1" applyAlignment="1" applyProtection="1">
      <alignment horizontal="center"/>
    </xf>
    <xf numFmtId="0" fontId="63" fillId="0" borderId="3" xfId="41" applyFont="1" applyBorder="1" applyAlignment="1" applyProtection="1">
      <alignment horizontal="center"/>
    </xf>
    <xf numFmtId="0" fontId="63" fillId="0" borderId="8" xfId="41" applyFont="1" applyBorder="1" applyAlignment="1" applyProtection="1">
      <alignment horizontal="center"/>
    </xf>
    <xf numFmtId="0" fontId="63" fillId="0" borderId="63" xfId="41" applyFont="1" applyFill="1" applyBorder="1" applyAlignment="1" applyProtection="1">
      <alignment horizontal="center"/>
    </xf>
    <xf numFmtId="0" fontId="63" fillId="0" borderId="67" xfId="41" applyFont="1" applyBorder="1" applyAlignment="1" applyProtection="1">
      <alignment horizontal="center"/>
    </xf>
    <xf numFmtId="0" fontId="9" fillId="0" borderId="65" xfId="46" applyBorder="1"/>
    <xf numFmtId="0" fontId="9" fillId="0" borderId="42" xfId="46" applyBorder="1"/>
    <xf numFmtId="0" fontId="9" fillId="0" borderId="0" xfId="46" applyFont="1"/>
    <xf numFmtId="0" fontId="58" fillId="0" borderId="65" xfId="46" applyFont="1" applyBorder="1"/>
    <xf numFmtId="0" fontId="58" fillId="0" borderId="42" xfId="46" applyFont="1" applyBorder="1"/>
    <xf numFmtId="0" fontId="48" fillId="0" borderId="38" xfId="46" applyFont="1" applyBorder="1"/>
    <xf numFmtId="2" fontId="49" fillId="0" borderId="39" xfId="46" applyNumberFormat="1" applyFont="1" applyBorder="1" applyAlignment="1">
      <alignment horizontal="center" vertical="center" wrapText="1"/>
    </xf>
    <xf numFmtId="0" fontId="49" fillId="0" borderId="39" xfId="46" applyFont="1" applyBorder="1" applyAlignment="1">
      <alignment horizontal="center" vertical="center" wrapText="1"/>
    </xf>
    <xf numFmtId="0" fontId="49" fillId="0" borderId="60" xfId="46" applyFont="1" applyBorder="1" applyAlignment="1">
      <alignment horizontal="center" vertical="center" wrapText="1"/>
    </xf>
    <xf numFmtId="0" fontId="9" fillId="0" borderId="62" xfId="46" applyBorder="1"/>
    <xf numFmtId="0" fontId="9" fillId="0" borderId="57" xfId="46" applyBorder="1"/>
    <xf numFmtId="0" fontId="64" fillId="0" borderId="60" xfId="46" applyFont="1" applyBorder="1" applyAlignment="1">
      <alignment horizontal="center" vertical="center" wrapText="1"/>
    </xf>
    <xf numFmtId="0" fontId="64" fillId="0" borderId="39" xfId="46" applyFont="1" applyBorder="1" applyAlignment="1">
      <alignment horizontal="center" vertical="center" wrapText="1"/>
    </xf>
    <xf numFmtId="0" fontId="58" fillId="0" borderId="57" xfId="46" applyFont="1" applyBorder="1"/>
    <xf numFmtId="0" fontId="9" fillId="0" borderId="40" xfId="46" applyBorder="1"/>
    <xf numFmtId="177" fontId="49" fillId="0" borderId="37" xfId="46" applyNumberFormat="1" applyFont="1" applyBorder="1" applyAlignment="1">
      <alignment horizontal="center" vertical="center" wrapText="1"/>
    </xf>
    <xf numFmtId="177" fontId="49" fillId="0" borderId="51" xfId="46" applyNumberFormat="1" applyFont="1" applyBorder="1" applyAlignment="1">
      <alignment horizontal="center" vertical="center" wrapText="1"/>
    </xf>
    <xf numFmtId="0" fontId="9" fillId="0" borderId="51" xfId="46" applyBorder="1" applyAlignment="1">
      <alignment horizontal="center"/>
    </xf>
    <xf numFmtId="0" fontId="9" fillId="0" borderId="37" xfId="46" applyBorder="1" applyAlignment="1">
      <alignment horizontal="center"/>
    </xf>
    <xf numFmtId="177" fontId="64" fillId="0" borderId="51" xfId="46" applyNumberFormat="1" applyFont="1" applyBorder="1" applyAlignment="1">
      <alignment horizontal="center" vertical="center" wrapText="1"/>
    </xf>
    <xf numFmtId="177" fontId="64" fillId="0" borderId="37" xfId="46" applyNumberFormat="1" applyFont="1" applyBorder="1" applyAlignment="1">
      <alignment horizontal="center" vertical="center" wrapText="1"/>
    </xf>
    <xf numFmtId="0" fontId="58" fillId="0" borderId="37" xfId="46" applyFont="1" applyBorder="1" applyAlignment="1">
      <alignment horizontal="center"/>
    </xf>
    <xf numFmtId="177" fontId="49" fillId="0" borderId="37" xfId="46" applyNumberFormat="1" applyFont="1" applyFill="1" applyBorder="1" applyAlignment="1">
      <alignment horizontal="center" vertical="center" wrapText="1"/>
    </xf>
    <xf numFmtId="0" fontId="49" fillId="0" borderId="37" xfId="46" applyFont="1" applyBorder="1" applyAlignment="1">
      <alignment horizontal="center" vertical="center" wrapText="1"/>
    </xf>
    <xf numFmtId="0" fontId="49" fillId="0" borderId="51" xfId="46" applyFont="1" applyBorder="1" applyAlignment="1">
      <alignment horizontal="center" vertical="center" wrapText="1"/>
    </xf>
    <xf numFmtId="0" fontId="49" fillId="0" borderId="37" xfId="46" applyFont="1" applyFill="1" applyBorder="1" applyAlignment="1">
      <alignment horizontal="center" vertical="center" wrapText="1"/>
    </xf>
    <xf numFmtId="0" fontId="64" fillId="0" borderId="51" xfId="46" applyFont="1" applyBorder="1" applyAlignment="1">
      <alignment horizontal="center" vertical="center" wrapText="1"/>
    </xf>
    <xf numFmtId="0" fontId="64" fillId="0" borderId="37" xfId="46" applyFont="1" applyBorder="1" applyAlignment="1">
      <alignment horizontal="center" vertical="center" wrapText="1"/>
    </xf>
    <xf numFmtId="0" fontId="9" fillId="0" borderId="51" xfId="46" applyBorder="1"/>
    <xf numFmtId="0" fontId="9" fillId="0" borderId="37" xfId="46" applyBorder="1"/>
    <xf numFmtId="0" fontId="58" fillId="0" borderId="37" xfId="46" applyFont="1" applyBorder="1"/>
    <xf numFmtId="0" fontId="48" fillId="0" borderId="40" xfId="46" applyFont="1" applyBorder="1"/>
    <xf numFmtId="9" fontId="49" fillId="0" borderId="37" xfId="46" applyNumberFormat="1" applyFont="1" applyBorder="1" applyAlignment="1">
      <alignment horizontal="center" vertical="center" wrapText="1"/>
    </xf>
    <xf numFmtId="9" fontId="49" fillId="0" borderId="51" xfId="46" applyNumberFormat="1" applyFont="1" applyBorder="1" applyAlignment="1">
      <alignment horizontal="center" vertical="center" wrapText="1"/>
    </xf>
    <xf numFmtId="9" fontId="64" fillId="0" borderId="51" xfId="46" applyNumberFormat="1" applyFont="1" applyBorder="1" applyAlignment="1">
      <alignment horizontal="center" vertical="center" wrapText="1"/>
    </xf>
    <xf numFmtId="9" fontId="64" fillId="0" borderId="37" xfId="46" applyNumberFormat="1" applyFont="1" applyBorder="1" applyAlignment="1">
      <alignment horizontal="center" vertical="center" wrapText="1"/>
    </xf>
    <xf numFmtId="0" fontId="9" fillId="0" borderId="52" xfId="46" applyBorder="1" applyAlignment="1">
      <alignment horizontal="center"/>
    </xf>
    <xf numFmtId="0" fontId="58" fillId="0" borderId="56" xfId="46" applyFont="1" applyBorder="1" applyAlignment="1">
      <alignment horizontal="center"/>
    </xf>
    <xf numFmtId="2" fontId="49" fillId="0" borderId="37" xfId="47" applyNumberFormat="1" applyFont="1" applyBorder="1" applyAlignment="1">
      <alignment horizontal="center" vertical="center" wrapText="1"/>
    </xf>
    <xf numFmtId="2" fontId="49" fillId="0" borderId="51" xfId="47" applyNumberFormat="1" applyFont="1" applyBorder="1" applyAlignment="1">
      <alignment horizontal="center" vertical="center" wrapText="1"/>
    </xf>
    <xf numFmtId="2" fontId="49" fillId="0" borderId="37" xfId="47" applyNumberFormat="1" applyFont="1" applyFill="1" applyBorder="1" applyAlignment="1">
      <alignment horizontal="center" vertical="center" wrapText="1"/>
    </xf>
    <xf numFmtId="2" fontId="64" fillId="0" borderId="37" xfId="47" applyNumberFormat="1" applyFont="1" applyBorder="1" applyAlignment="1">
      <alignment horizontal="center" vertical="center" wrapText="1"/>
    </xf>
    <xf numFmtId="2" fontId="64" fillId="0" borderId="51" xfId="47" applyNumberFormat="1" applyFont="1" applyBorder="1" applyAlignment="1">
      <alignment horizontal="center" vertical="center" wrapText="1"/>
    </xf>
    <xf numFmtId="0" fontId="9" fillId="0" borderId="66" xfId="46" applyBorder="1"/>
    <xf numFmtId="17" fontId="49" fillId="0" borderId="37" xfId="46" applyNumberFormat="1" applyFont="1" applyBorder="1" applyAlignment="1">
      <alignment horizontal="center" vertical="center" wrapText="1"/>
    </xf>
    <xf numFmtId="17" fontId="49" fillId="0" borderId="56" xfId="46" applyNumberFormat="1" applyFont="1" applyBorder="1" applyAlignment="1">
      <alignment horizontal="center" vertical="center" wrapText="1"/>
    </xf>
    <xf numFmtId="17" fontId="49" fillId="0" borderId="37" xfId="46" applyNumberFormat="1" applyFont="1" applyFill="1" applyBorder="1" applyAlignment="1">
      <alignment horizontal="center" vertical="center" wrapText="1"/>
    </xf>
    <xf numFmtId="17" fontId="64" fillId="0" borderId="37" xfId="46" applyNumberFormat="1" applyFont="1" applyBorder="1" applyAlignment="1">
      <alignment horizontal="center" vertical="center" wrapText="1"/>
    </xf>
    <xf numFmtId="17" fontId="64" fillId="0" borderId="56" xfId="46" applyNumberFormat="1" applyFont="1" applyBorder="1" applyAlignment="1">
      <alignment horizontal="center" vertical="center" wrapText="1"/>
    </xf>
    <xf numFmtId="0" fontId="9" fillId="0" borderId="66" xfId="46" applyFill="1" applyBorder="1"/>
    <xf numFmtId="0" fontId="49" fillId="0" borderId="56" xfId="46" applyFont="1" applyFill="1" applyBorder="1" applyAlignment="1">
      <alignment horizontal="center" vertical="center" wrapText="1"/>
    </xf>
    <xf numFmtId="0" fontId="9" fillId="0" borderId="52" xfId="46" applyFill="1" applyBorder="1" applyAlignment="1">
      <alignment horizontal="center"/>
    </xf>
    <xf numFmtId="0" fontId="64" fillId="0" borderId="37" xfId="46" applyFont="1" applyFill="1" applyBorder="1" applyAlignment="1">
      <alignment horizontal="center" vertical="center" wrapText="1"/>
    </xf>
    <xf numFmtId="0" fontId="64" fillId="0" borderId="56" xfId="46" applyFont="1" applyFill="1" applyBorder="1" applyAlignment="1">
      <alignment horizontal="center" vertical="center" wrapText="1"/>
    </xf>
    <xf numFmtId="0" fontId="58" fillId="0" borderId="56" xfId="46" applyFont="1" applyFill="1" applyBorder="1" applyAlignment="1">
      <alignment horizontal="center"/>
    </xf>
    <xf numFmtId="0" fontId="9" fillId="0" borderId="59" xfId="46" applyBorder="1"/>
    <xf numFmtId="0" fontId="49" fillId="0" borderId="56" xfId="46" applyFont="1" applyBorder="1" applyAlignment="1">
      <alignment horizontal="center" vertical="center" wrapText="1"/>
    </xf>
    <xf numFmtId="0" fontId="64" fillId="0" borderId="56" xfId="46" applyFont="1" applyBorder="1" applyAlignment="1">
      <alignment horizontal="center" vertical="center" wrapText="1"/>
    </xf>
    <xf numFmtId="0" fontId="9" fillId="0" borderId="51" xfId="46" applyFill="1" applyBorder="1"/>
    <xf numFmtId="0" fontId="9" fillId="0" borderId="37" xfId="46" applyBorder="1" applyAlignment="1">
      <alignment horizontal="center" vertical="center" wrapText="1"/>
    </xf>
    <xf numFmtId="0" fontId="49" fillId="0" borderId="37" xfId="46" applyFont="1" applyBorder="1" applyAlignment="1">
      <alignment horizontal="center"/>
    </xf>
    <xf numFmtId="0" fontId="9" fillId="0" borderId="56" xfId="46" applyBorder="1" applyAlignment="1">
      <alignment horizontal="center" vertical="center" wrapText="1"/>
    </xf>
    <xf numFmtId="0" fontId="9" fillId="0" borderId="56" xfId="46" applyFont="1" applyBorder="1" applyAlignment="1">
      <alignment horizontal="center" vertical="center" wrapText="1"/>
    </xf>
    <xf numFmtId="0" fontId="58" fillId="0" borderId="37" xfId="46" applyFont="1" applyBorder="1" applyAlignment="1">
      <alignment horizontal="center" vertical="center" wrapText="1"/>
    </xf>
    <xf numFmtId="0" fontId="64" fillId="0" borderId="37" xfId="46" applyFont="1" applyBorder="1" applyAlignment="1">
      <alignment horizontal="center"/>
    </xf>
    <xf numFmtId="0" fontId="58" fillId="0" borderId="56" xfId="46" applyFont="1" applyBorder="1" applyAlignment="1">
      <alignment horizontal="center" vertical="center" wrapText="1"/>
    </xf>
    <xf numFmtId="0" fontId="50" fillId="0" borderId="3" xfId="46" applyFont="1" applyBorder="1"/>
    <xf numFmtId="0" fontId="9" fillId="0" borderId="52" xfId="46" applyBorder="1"/>
    <xf numFmtId="0" fontId="58" fillId="0" borderId="56" xfId="46" applyFont="1" applyBorder="1"/>
    <xf numFmtId="0" fontId="9" fillId="0" borderId="58" xfId="46" applyBorder="1"/>
    <xf numFmtId="12" fontId="49" fillId="0" borderId="37" xfId="46" applyNumberFormat="1" applyFont="1" applyBorder="1" applyAlignment="1">
      <alignment horizontal="center" vertical="center" wrapText="1"/>
    </xf>
    <xf numFmtId="0" fontId="49" fillId="0" borderId="37" xfId="46" applyFont="1" applyFill="1" applyBorder="1" applyAlignment="1">
      <alignment horizontal="center" wrapText="1"/>
    </xf>
    <xf numFmtId="0" fontId="65" fillId="0" borderId="0" xfId="46" applyFont="1"/>
    <xf numFmtId="0" fontId="66" fillId="0" borderId="0" xfId="46" applyFont="1"/>
    <xf numFmtId="0" fontId="48" fillId="0" borderId="66" xfId="46" applyFont="1" applyBorder="1"/>
    <xf numFmtId="8" fontId="49" fillId="0" borderId="37" xfId="46" applyNumberFormat="1" applyFont="1" applyBorder="1" applyAlignment="1">
      <alignment horizontal="center" vertical="center" wrapText="1"/>
    </xf>
    <xf numFmtId="3" fontId="9" fillId="0" borderId="37" xfId="46" applyNumberFormat="1" applyFont="1" applyBorder="1" applyAlignment="1">
      <alignment horizontal="center" vertical="center" wrapText="1"/>
    </xf>
    <xf numFmtId="8" fontId="9" fillId="0" borderId="37" xfId="46" applyNumberFormat="1" applyFont="1" applyBorder="1" applyAlignment="1">
      <alignment horizontal="center" vertical="center" wrapText="1"/>
    </xf>
    <xf numFmtId="8" fontId="49" fillId="0" borderId="51" xfId="46" applyNumberFormat="1" applyFont="1" applyBorder="1" applyAlignment="1">
      <alignment horizontal="center" vertical="center" wrapText="1"/>
    </xf>
    <xf numFmtId="6" fontId="9" fillId="0" borderId="51" xfId="46" applyNumberFormat="1" applyFont="1" applyBorder="1" applyAlignment="1">
      <alignment horizontal="center"/>
    </xf>
    <xf numFmtId="8" fontId="64" fillId="0" borderId="51" xfId="46" applyNumberFormat="1" applyFont="1" applyBorder="1" applyAlignment="1">
      <alignment horizontal="center" vertical="center" wrapText="1"/>
    </xf>
    <xf numFmtId="3" fontId="58" fillId="0" borderId="37" xfId="46" applyNumberFormat="1" applyFont="1" applyBorder="1" applyAlignment="1">
      <alignment horizontal="center" vertical="center" wrapText="1"/>
    </xf>
    <xf numFmtId="8" fontId="64" fillId="0" borderId="37" xfId="46" applyNumberFormat="1" applyFont="1" applyBorder="1" applyAlignment="1">
      <alignment horizontal="center" vertical="center" wrapText="1"/>
    </xf>
    <xf numFmtId="8" fontId="58" fillId="0" borderId="37" xfId="46" applyNumberFormat="1" applyFont="1" applyBorder="1" applyAlignment="1">
      <alignment horizontal="center" vertical="center" wrapText="1"/>
    </xf>
    <xf numFmtId="6" fontId="64" fillId="0" borderId="51" xfId="46" applyNumberFormat="1" applyFont="1" applyBorder="1" applyAlignment="1">
      <alignment horizontal="center" vertical="center" wrapText="1"/>
    </xf>
    <xf numFmtId="6" fontId="58" fillId="0" borderId="37" xfId="46" applyNumberFormat="1" applyFont="1" applyBorder="1" applyAlignment="1">
      <alignment horizontal="center"/>
    </xf>
    <xf numFmtId="0" fontId="49" fillId="4" borderId="37" xfId="46" applyFont="1" applyFill="1" applyBorder="1" applyAlignment="1">
      <alignment horizontal="center" vertical="center" wrapText="1"/>
    </xf>
    <xf numFmtId="8" fontId="49" fillId="4" borderId="37" xfId="46" applyNumberFormat="1" applyFont="1" applyFill="1" applyBorder="1" applyAlignment="1">
      <alignment horizontal="center" vertical="center" wrapText="1"/>
    </xf>
    <xf numFmtId="0" fontId="49" fillId="4" borderId="51" xfId="46" applyFont="1" applyFill="1" applyBorder="1" applyAlignment="1">
      <alignment horizontal="center" vertical="center" wrapText="1"/>
    </xf>
    <xf numFmtId="8" fontId="64" fillId="4" borderId="51" xfId="46" applyNumberFormat="1" applyFont="1" applyFill="1" applyBorder="1" applyAlignment="1">
      <alignment horizontal="center" vertical="center" wrapText="1"/>
    </xf>
    <xf numFmtId="0" fontId="64" fillId="4" borderId="37" xfId="46" applyFont="1" applyFill="1" applyBorder="1" applyAlignment="1">
      <alignment horizontal="center" vertical="center" wrapText="1"/>
    </xf>
    <xf numFmtId="8" fontId="64" fillId="4" borderId="37" xfId="46" applyNumberFormat="1" applyFont="1" applyFill="1" applyBorder="1" applyAlignment="1">
      <alignment horizontal="center" vertical="center" wrapText="1"/>
    </xf>
    <xf numFmtId="6" fontId="64" fillId="4" borderId="51" xfId="46" applyNumberFormat="1" applyFont="1" applyFill="1" applyBorder="1" applyAlignment="1">
      <alignment horizontal="center" vertical="center" wrapText="1"/>
    </xf>
    <xf numFmtId="6" fontId="58" fillId="0" borderId="37" xfId="46" applyNumberFormat="1" applyFont="1" applyBorder="1"/>
    <xf numFmtId="0" fontId="49" fillId="5" borderId="37" xfId="46" applyFont="1" applyFill="1" applyBorder="1" applyAlignment="1">
      <alignment horizontal="center" vertical="center" wrapText="1"/>
    </xf>
    <xf numFmtId="0" fontId="49" fillId="5" borderId="51" xfId="46" applyFont="1" applyFill="1" applyBorder="1" applyAlignment="1">
      <alignment horizontal="center" vertical="center" wrapText="1"/>
    </xf>
    <xf numFmtId="0" fontId="9" fillId="5" borderId="51" xfId="46" applyFill="1" applyBorder="1" applyAlignment="1">
      <alignment horizontal="center"/>
    </xf>
    <xf numFmtId="0" fontId="9" fillId="5" borderId="37" xfId="46" applyFill="1" applyBorder="1" applyAlignment="1">
      <alignment horizontal="center"/>
    </xf>
    <xf numFmtId="0" fontId="64" fillId="5" borderId="51" xfId="46" applyFont="1" applyFill="1" applyBorder="1" applyAlignment="1">
      <alignment horizontal="center" vertical="center" wrapText="1"/>
    </xf>
    <xf numFmtId="0" fontId="64" fillId="5" borderId="37" xfId="46" applyFont="1" applyFill="1" applyBorder="1" applyAlignment="1">
      <alignment horizontal="center" vertical="center" wrapText="1"/>
    </xf>
    <xf numFmtId="0" fontId="58" fillId="5" borderId="37" xfId="46" applyFont="1" applyFill="1" applyBorder="1" applyAlignment="1">
      <alignment horizontal="center"/>
    </xf>
    <xf numFmtId="17" fontId="51" fillId="0" borderId="37" xfId="46" applyNumberFormat="1" applyFont="1" applyBorder="1" applyAlignment="1">
      <alignment horizontal="center" vertical="center" wrapText="1"/>
    </xf>
    <xf numFmtId="17" fontId="49" fillId="0" borderId="51" xfId="46" applyNumberFormat="1" applyFont="1" applyBorder="1" applyAlignment="1">
      <alignment horizontal="center" vertical="center" wrapText="1"/>
    </xf>
    <xf numFmtId="17" fontId="9" fillId="0" borderId="51" xfId="46" applyNumberFormat="1" applyBorder="1" applyAlignment="1">
      <alignment horizontal="center"/>
    </xf>
    <xf numFmtId="17" fontId="9" fillId="0" borderId="37" xfId="46" applyNumberFormat="1" applyBorder="1" applyAlignment="1">
      <alignment horizontal="center"/>
    </xf>
    <xf numFmtId="17" fontId="64" fillId="0" borderId="51" xfId="46" applyNumberFormat="1" applyFont="1" applyBorder="1" applyAlignment="1">
      <alignment horizontal="center" vertical="center" wrapText="1"/>
    </xf>
    <xf numFmtId="17" fontId="67" fillId="0" borderId="37" xfId="46" applyNumberFormat="1" applyFont="1" applyBorder="1" applyAlignment="1">
      <alignment horizontal="center" vertical="center" wrapText="1"/>
    </xf>
    <xf numFmtId="17" fontId="58" fillId="0" borderId="37" xfId="46" applyNumberFormat="1" applyFont="1" applyBorder="1" applyAlignment="1">
      <alignment horizontal="center"/>
    </xf>
    <xf numFmtId="17" fontId="51" fillId="0" borderId="51" xfId="46" applyNumberFormat="1" applyFont="1" applyBorder="1" applyAlignment="1">
      <alignment horizontal="center" vertical="center" wrapText="1"/>
    </xf>
    <xf numFmtId="17" fontId="68" fillId="0" borderId="37" xfId="46" applyNumberFormat="1" applyFont="1" applyBorder="1" applyAlignment="1">
      <alignment horizontal="center" vertical="center" wrapText="1"/>
    </xf>
    <xf numFmtId="17" fontId="67" fillId="0" borderId="51" xfId="46" applyNumberFormat="1" applyFont="1" applyBorder="1" applyAlignment="1">
      <alignment horizontal="center" vertical="center" wrapText="1"/>
    </xf>
    <xf numFmtId="0" fontId="9" fillId="0" borderId="45" xfId="46" applyBorder="1"/>
    <xf numFmtId="17" fontId="49" fillId="0" borderId="46" xfId="46" applyNumberFormat="1" applyFont="1" applyBorder="1" applyAlignment="1">
      <alignment horizontal="center" vertical="center" wrapText="1"/>
    </xf>
    <xf numFmtId="17" fontId="64" fillId="0" borderId="46" xfId="46" applyNumberFormat="1" applyFont="1" applyBorder="1" applyAlignment="1">
      <alignment horizontal="center" vertical="center" wrapText="1"/>
    </xf>
    <xf numFmtId="0" fontId="9" fillId="0" borderId="38" xfId="46" applyBorder="1"/>
    <xf numFmtId="0" fontId="9" fillId="0" borderId="37" xfId="46" applyBorder="1" applyAlignment="1">
      <alignment wrapText="1"/>
    </xf>
    <xf numFmtId="0" fontId="44" fillId="0" borderId="40" xfId="46" applyFont="1" applyBorder="1"/>
    <xf numFmtId="14" fontId="49" fillId="0" borderId="37" xfId="46" applyNumberFormat="1" applyFont="1" applyBorder="1" applyAlignment="1">
      <alignment horizontal="center" vertical="center" wrapText="1"/>
    </xf>
    <xf numFmtId="14" fontId="49" fillId="0" borderId="68" xfId="46" applyNumberFormat="1" applyFont="1" applyBorder="1" applyAlignment="1">
      <alignment horizontal="center" vertical="center" wrapText="1"/>
    </xf>
    <xf numFmtId="14" fontId="49" fillId="0" borderId="51" xfId="46" applyNumberFormat="1" applyFont="1" applyBorder="1" applyAlignment="1">
      <alignment horizontal="center" vertical="center" wrapText="1"/>
    </xf>
    <xf numFmtId="14" fontId="9" fillId="0" borderId="51" xfId="46" applyNumberFormat="1" applyBorder="1" applyAlignment="1">
      <alignment horizontal="center"/>
    </xf>
    <xf numFmtId="14" fontId="9" fillId="0" borderId="37" xfId="46" applyNumberFormat="1" applyBorder="1" applyAlignment="1">
      <alignment horizontal="center"/>
    </xf>
    <xf numFmtId="14" fontId="64" fillId="0" borderId="51" xfId="46" applyNumberFormat="1" applyFont="1" applyBorder="1" applyAlignment="1">
      <alignment horizontal="center" vertical="center" wrapText="1"/>
    </xf>
    <xf numFmtId="14" fontId="64" fillId="0" borderId="37" xfId="46" applyNumberFormat="1" applyFont="1" applyBorder="1" applyAlignment="1">
      <alignment horizontal="center" vertical="center" wrapText="1"/>
    </xf>
    <xf numFmtId="14" fontId="64" fillId="0" borderId="68" xfId="46" applyNumberFormat="1" applyFont="1" applyBorder="1" applyAlignment="1">
      <alignment horizontal="center" vertical="center" wrapText="1"/>
    </xf>
    <xf numFmtId="14" fontId="58" fillId="0" borderId="37" xfId="46" applyNumberFormat="1" applyFont="1" applyBorder="1" applyAlignment="1">
      <alignment horizontal="center"/>
    </xf>
    <xf numFmtId="0" fontId="49" fillId="0" borderId="46" xfId="46" applyFont="1" applyBorder="1" applyAlignment="1">
      <alignment horizontal="center" vertical="center" wrapText="1"/>
    </xf>
    <xf numFmtId="0" fontId="49" fillId="0" borderId="69" xfId="46" applyFont="1" applyBorder="1" applyAlignment="1">
      <alignment horizontal="center" vertical="center" wrapText="1"/>
    </xf>
    <xf numFmtId="0" fontId="49" fillId="0" borderId="70" xfId="46" applyFont="1" applyBorder="1" applyAlignment="1">
      <alignment horizontal="center" vertical="center" wrapText="1"/>
    </xf>
    <xf numFmtId="0" fontId="9" fillId="0" borderId="70" xfId="46" applyBorder="1"/>
    <xf numFmtId="0" fontId="9" fillId="0" borderId="46" xfId="46" applyBorder="1"/>
    <xf numFmtId="0" fontId="64" fillId="0" borderId="70" xfId="46" applyFont="1" applyBorder="1" applyAlignment="1">
      <alignment horizontal="center" vertical="center" wrapText="1"/>
    </xf>
    <xf numFmtId="0" fontId="64" fillId="0" borderId="46" xfId="46" applyFont="1" applyBorder="1" applyAlignment="1">
      <alignment horizontal="center" vertical="center" wrapText="1"/>
    </xf>
    <xf numFmtId="0" fontId="64" fillId="0" borderId="69" xfId="46" applyFont="1" applyBorder="1" applyAlignment="1">
      <alignment horizontal="center" vertical="center" wrapText="1"/>
    </xf>
    <xf numFmtId="0" fontId="58" fillId="0" borderId="46" xfId="46" applyFont="1" applyBorder="1"/>
    <xf numFmtId="0" fontId="9" fillId="0" borderId="56" xfId="46" applyBorder="1"/>
    <xf numFmtId="169" fontId="30" fillId="0" borderId="57" xfId="16" applyNumberFormat="1" applyFont="1" applyFill="1" applyBorder="1" applyProtection="1"/>
    <xf numFmtId="173" fontId="30" fillId="0" borderId="0" xfId="22" applyNumberFormat="1" applyFont="1" applyFill="1" applyAlignment="1">
      <alignment horizontal="right"/>
    </xf>
    <xf numFmtId="169" fontId="38" fillId="2" borderId="19" xfId="16" applyNumberFormat="1" applyFont="1" applyFill="1" applyBorder="1" applyAlignment="1" applyProtection="1">
      <alignment horizontal="center"/>
    </xf>
    <xf numFmtId="0" fontId="71" fillId="0" borderId="0" xfId="20" applyFont="1" applyAlignment="1">
      <alignment vertical="center"/>
    </xf>
    <xf numFmtId="172" fontId="30" fillId="0" borderId="0" xfId="16" applyNumberFormat="1" applyFont="1" applyFill="1" applyBorder="1"/>
    <xf numFmtId="172" fontId="32" fillId="0" borderId="9" xfId="16" applyNumberFormat="1" applyFont="1" applyFill="1" applyBorder="1"/>
    <xf numFmtId="172" fontId="32" fillId="0" borderId="12" xfId="16" applyNumberFormat="1" applyFont="1" applyFill="1" applyBorder="1"/>
    <xf numFmtId="168" fontId="38" fillId="2" borderId="34" xfId="16" applyNumberFormat="1" applyFont="1" applyFill="1" applyBorder="1" applyAlignment="1">
      <alignment horizontal="center" vertical="center"/>
    </xf>
    <xf numFmtId="168" fontId="0" fillId="0" borderId="0" xfId="0" applyNumberFormat="1"/>
    <xf numFmtId="170" fontId="30" fillId="0" borderId="39" xfId="16" applyNumberFormat="1" applyFont="1" applyFill="1" applyBorder="1" applyProtection="1"/>
    <xf numFmtId="43" fontId="0" fillId="0" borderId="0" xfId="0" applyNumberFormat="1"/>
    <xf numFmtId="4" fontId="10" fillId="0" borderId="0" xfId="43" applyNumberFormat="1"/>
    <xf numFmtId="9" fontId="32" fillId="0" borderId="0" xfId="22" applyFont="1" applyFill="1" applyBorder="1" applyAlignment="1" applyProtection="1">
      <alignment horizontal="center"/>
    </xf>
    <xf numFmtId="10" fontId="19" fillId="0" borderId="46" xfId="22" applyNumberFormat="1" applyFont="1" applyFill="1" applyBorder="1" applyProtection="1"/>
    <xf numFmtId="4" fontId="19" fillId="0" borderId="46" xfId="0" applyNumberFormat="1" applyFont="1" applyFill="1" applyBorder="1"/>
    <xf numFmtId="0" fontId="19" fillId="0" borderId="0" xfId="0" applyFont="1" applyFill="1"/>
    <xf numFmtId="0" fontId="9" fillId="7" borderId="40" xfId="46" applyFont="1" applyFill="1" applyBorder="1"/>
    <xf numFmtId="9" fontId="49" fillId="7" borderId="37" xfId="46" applyNumberFormat="1" applyFont="1" applyFill="1" applyBorder="1" applyAlignment="1">
      <alignment horizontal="center" vertical="center" wrapText="1"/>
    </xf>
    <xf numFmtId="9" fontId="49" fillId="7" borderId="51" xfId="46" applyNumberFormat="1" applyFont="1" applyFill="1" applyBorder="1" applyAlignment="1">
      <alignment horizontal="center" vertical="center" wrapText="1"/>
    </xf>
    <xf numFmtId="0" fontId="9" fillId="7" borderId="51" xfId="46" applyFill="1" applyBorder="1" applyAlignment="1">
      <alignment horizontal="center"/>
    </xf>
    <xf numFmtId="0" fontId="9" fillId="7" borderId="37" xfId="46" applyFill="1" applyBorder="1" applyAlignment="1">
      <alignment horizontal="center"/>
    </xf>
    <xf numFmtId="9" fontId="64" fillId="7" borderId="51" xfId="46" applyNumberFormat="1" applyFont="1" applyFill="1" applyBorder="1" applyAlignment="1">
      <alignment horizontal="center" vertical="center" wrapText="1"/>
    </xf>
    <xf numFmtId="9" fontId="64" fillId="7" borderId="37" xfId="46" applyNumberFormat="1" applyFont="1" applyFill="1" applyBorder="1" applyAlignment="1">
      <alignment horizontal="center" vertical="center" wrapText="1"/>
    </xf>
    <xf numFmtId="0" fontId="58" fillId="7" borderId="37" xfId="46" applyFont="1" applyFill="1" applyBorder="1" applyAlignment="1">
      <alignment horizontal="center"/>
    </xf>
    <xf numFmtId="0" fontId="9" fillId="7" borderId="0" xfId="46" applyFill="1"/>
    <xf numFmtId="0" fontId="8" fillId="7" borderId="40" xfId="46" applyFont="1" applyFill="1" applyBorder="1"/>
    <xf numFmtId="0" fontId="0" fillId="0" borderId="0" xfId="0" applyFill="1"/>
    <xf numFmtId="167" fontId="30" fillId="0" borderId="0" xfId="16" applyFont="1" applyFill="1" applyAlignment="1">
      <alignment horizontal="right"/>
    </xf>
    <xf numFmtId="169" fontId="15" fillId="0" borderId="45" xfId="16" applyNumberFormat="1" applyFont="1" applyFill="1" applyBorder="1" applyProtection="1"/>
    <xf numFmtId="10" fontId="32" fillId="0" borderId="0" xfId="22" applyNumberFormat="1" applyFont="1" applyFill="1" applyBorder="1" applyProtection="1"/>
    <xf numFmtId="169" fontId="30" fillId="0" borderId="40" xfId="16" applyNumberFormat="1" applyFont="1" applyFill="1" applyBorder="1" applyAlignment="1" applyProtection="1">
      <alignment horizontal="left" indent="1"/>
    </xf>
    <xf numFmtId="169" fontId="30" fillId="0" borderId="37" xfId="16" applyNumberFormat="1" applyFont="1" applyFill="1" applyBorder="1" applyAlignment="1" applyProtection="1">
      <alignment horizontal="left" indent="1"/>
    </xf>
    <xf numFmtId="169" fontId="30" fillId="0" borderId="45" xfId="16" applyNumberFormat="1" applyFont="1" applyFill="1" applyBorder="1" applyAlignment="1">
      <alignment horizontal="left" indent="1"/>
    </xf>
    <xf numFmtId="169" fontId="30" fillId="0" borderId="46" xfId="16" applyNumberFormat="1" applyFont="1" applyFill="1" applyBorder="1" applyAlignment="1">
      <alignment horizontal="left" indent="1"/>
    </xf>
    <xf numFmtId="43" fontId="30" fillId="0" borderId="39" xfId="16" applyNumberFormat="1" applyFont="1" applyFill="1" applyBorder="1" applyAlignment="1" applyProtection="1">
      <alignment horizontal="right"/>
    </xf>
    <xf numFmtId="43" fontId="30" fillId="0" borderId="37" xfId="16" applyNumberFormat="1" applyFont="1" applyFill="1" applyBorder="1" applyAlignment="1" applyProtection="1">
      <alignment horizontal="right"/>
    </xf>
    <xf numFmtId="168" fontId="28" fillId="0" borderId="0" xfId="0" applyNumberFormat="1" applyFont="1"/>
    <xf numFmtId="4" fontId="10" fillId="0" borderId="0" xfId="43" applyNumberFormat="1" applyFill="1" applyBorder="1"/>
    <xf numFmtId="179" fontId="10" fillId="0" borderId="0" xfId="43" applyNumberFormat="1" applyBorder="1"/>
    <xf numFmtId="169" fontId="0" fillId="0" borderId="45" xfId="16" applyNumberFormat="1" applyFont="1" applyFill="1" applyBorder="1" applyProtection="1"/>
    <xf numFmtId="0" fontId="7" fillId="0" borderId="0" xfId="43" applyFont="1"/>
    <xf numFmtId="0" fontId="44" fillId="0" borderId="71" xfId="43" applyFont="1" applyBorder="1"/>
    <xf numFmtId="10" fontId="7" fillId="0" borderId="0" xfId="22" applyNumberFormat="1" applyFont="1"/>
    <xf numFmtId="178" fontId="7" fillId="0" borderId="0" xfId="22" applyNumberFormat="1" applyFont="1"/>
    <xf numFmtId="0" fontId="55" fillId="6" borderId="5" xfId="43" applyFont="1" applyFill="1" applyBorder="1" applyAlignment="1">
      <alignment horizontal="center"/>
    </xf>
    <xf numFmtId="0" fontId="44" fillId="0" borderId="2" xfId="43" applyFont="1" applyBorder="1"/>
    <xf numFmtId="0" fontId="44" fillId="0" borderId="4" xfId="43" applyFont="1" applyBorder="1"/>
    <xf numFmtId="0" fontId="55" fillId="6" borderId="4" xfId="43" applyFont="1" applyFill="1" applyBorder="1"/>
    <xf numFmtId="170" fontId="30" fillId="0" borderId="39" xfId="16" applyNumberFormat="1" applyFont="1" applyFill="1" applyBorder="1"/>
    <xf numFmtId="180" fontId="30" fillId="0" borderId="37" xfId="16" applyNumberFormat="1" applyFont="1" applyFill="1" applyBorder="1" applyProtection="1"/>
    <xf numFmtId="10" fontId="30" fillId="0" borderId="23" xfId="16" applyNumberFormat="1" applyFont="1" applyFill="1" applyBorder="1"/>
    <xf numFmtId="169" fontId="19" fillId="0" borderId="57" xfId="16" applyNumberFormat="1" applyFont="1" applyFill="1" applyBorder="1" applyProtection="1"/>
    <xf numFmtId="169" fontId="38" fillId="2" borderId="47" xfId="16" applyNumberFormat="1" applyFont="1" applyFill="1" applyBorder="1" applyProtection="1"/>
    <xf numFmtId="169" fontId="38" fillId="2" borderId="30" xfId="16" applyNumberFormat="1" applyFont="1" applyFill="1" applyBorder="1" applyAlignment="1" applyProtection="1">
      <alignment horizontal="center"/>
    </xf>
    <xf numFmtId="169" fontId="0" fillId="0" borderId="57" xfId="16" applyNumberFormat="1" applyFont="1" applyFill="1" applyBorder="1" applyAlignment="1" applyProtection="1">
      <alignment horizontal="right"/>
    </xf>
    <xf numFmtId="39" fontId="0" fillId="0" borderId="37" xfId="0" applyNumberFormat="1" applyFont="1" applyFill="1" applyBorder="1" applyProtection="1"/>
    <xf numFmtId="169" fontId="32" fillId="0" borderId="30" xfId="16" applyNumberFormat="1" applyFont="1" applyFill="1" applyBorder="1" applyAlignment="1" applyProtection="1">
      <alignment horizontal="right"/>
    </xf>
    <xf numFmtId="4" fontId="28" fillId="0" borderId="5" xfId="0" applyNumberFormat="1" applyFont="1" applyBorder="1"/>
    <xf numFmtId="172" fontId="30" fillId="0" borderId="16" xfId="16" applyNumberFormat="1" applyFont="1" applyFill="1" applyBorder="1" applyAlignment="1">
      <alignment vertical="center"/>
    </xf>
    <xf numFmtId="0" fontId="55" fillId="6" borderId="4" xfId="43" applyFont="1" applyFill="1" applyBorder="1" applyAlignment="1">
      <alignment horizontal="center"/>
    </xf>
    <xf numFmtId="0" fontId="55" fillId="6" borderId="9" xfId="43" applyFont="1" applyFill="1" applyBorder="1" applyAlignment="1">
      <alignment horizontal="center"/>
    </xf>
    <xf numFmtId="0" fontId="6" fillId="0" borderId="20" xfId="43" applyFont="1" applyBorder="1"/>
    <xf numFmtId="0" fontId="6" fillId="0" borderId="16" xfId="43" applyFont="1" applyBorder="1"/>
    <xf numFmtId="0" fontId="6" fillId="0" borderId="2" xfId="43" applyFont="1" applyBorder="1"/>
    <xf numFmtId="0" fontId="54" fillId="0" borderId="0" xfId="43" applyFont="1" applyAlignment="1">
      <alignment horizontal="center"/>
    </xf>
    <xf numFmtId="0" fontId="45" fillId="0" borderId="0" xfId="43" applyFont="1" applyAlignment="1">
      <alignment horizontal="center"/>
    </xf>
    <xf numFmtId="0" fontId="10" fillId="0" borderId="0" xfId="43" applyAlignment="1">
      <alignment horizontal="center"/>
    </xf>
    <xf numFmtId="0" fontId="10" fillId="0" borderId="2" xfId="43" applyBorder="1" applyAlignment="1">
      <alignment horizontal="center"/>
    </xf>
    <xf numFmtId="0" fontId="6" fillId="0" borderId="2" xfId="43" applyFont="1" applyBorder="1" applyAlignment="1">
      <alignment horizontal="center"/>
    </xf>
    <xf numFmtId="0" fontId="44" fillId="0" borderId="2" xfId="43" applyFont="1" applyBorder="1" applyAlignment="1">
      <alignment horizontal="center"/>
    </xf>
    <xf numFmtId="0" fontId="7" fillId="0" borderId="2" xfId="43" applyFont="1" applyBorder="1" applyAlignment="1">
      <alignment horizontal="center"/>
    </xf>
    <xf numFmtId="0" fontId="44" fillId="0" borderId="4" xfId="43" applyFont="1" applyBorder="1" applyAlignment="1">
      <alignment horizontal="center"/>
    </xf>
    <xf numFmtId="4" fontId="44" fillId="0" borderId="0" xfId="43" applyNumberFormat="1" applyFont="1" applyFill="1" applyBorder="1"/>
    <xf numFmtId="0" fontId="55" fillId="6" borderId="71" xfId="43" applyFont="1" applyFill="1" applyBorder="1" applyAlignment="1">
      <alignment horizontal="center"/>
    </xf>
    <xf numFmtId="0" fontId="10" fillId="0" borderId="20" xfId="43" applyBorder="1"/>
    <xf numFmtId="4" fontId="10" fillId="0" borderId="16" xfId="43" applyNumberFormat="1" applyBorder="1"/>
    <xf numFmtId="4" fontId="44" fillId="0" borderId="16" xfId="43" applyNumberFormat="1" applyFont="1" applyBorder="1"/>
    <xf numFmtId="4" fontId="10" fillId="0" borderId="72" xfId="43" applyNumberFormat="1" applyBorder="1"/>
    <xf numFmtId="4" fontId="10" fillId="0" borderId="2" xfId="43" applyNumberFormat="1" applyBorder="1" applyAlignment="1">
      <alignment horizontal="center"/>
    </xf>
    <xf numFmtId="9" fontId="7" fillId="0" borderId="2" xfId="43" applyNumberFormat="1" applyFont="1" applyBorder="1" applyAlignment="1">
      <alignment horizontal="center"/>
    </xf>
    <xf numFmtId="2" fontId="44" fillId="0" borderId="2" xfId="43" applyNumberFormat="1" applyFont="1" applyBorder="1" applyAlignment="1">
      <alignment horizontal="center"/>
    </xf>
    <xf numFmtId="4" fontId="10" fillId="0" borderId="2" xfId="43" applyNumberFormat="1" applyFill="1" applyBorder="1" applyAlignment="1">
      <alignment horizontal="center"/>
    </xf>
    <xf numFmtId="0" fontId="6" fillId="0" borderId="0" xfId="43" applyFont="1" applyBorder="1" applyAlignment="1">
      <alignment horizontal="center"/>
    </xf>
    <xf numFmtId="0" fontId="44" fillId="0" borderId="0" xfId="43" applyFont="1" applyBorder="1" applyAlignment="1">
      <alignment horizontal="center"/>
    </xf>
    <xf numFmtId="0" fontId="10" fillId="0" borderId="0" xfId="43" applyBorder="1" applyAlignment="1">
      <alignment horizontal="center"/>
    </xf>
    <xf numFmtId="0" fontId="6" fillId="0" borderId="73" xfId="43" applyFont="1" applyBorder="1"/>
    <xf numFmtId="0" fontId="10" fillId="0" borderId="74" xfId="43" applyBorder="1" applyAlignment="1">
      <alignment horizontal="center"/>
    </xf>
    <xf numFmtId="4" fontId="10" fillId="0" borderId="74" xfId="43" applyNumberFormat="1" applyBorder="1"/>
    <xf numFmtId="179" fontId="10" fillId="0" borderId="74" xfId="43" applyNumberFormat="1" applyBorder="1"/>
    <xf numFmtId="4" fontId="44" fillId="0" borderId="75" xfId="43" applyNumberFormat="1" applyFont="1" applyBorder="1" applyAlignment="1">
      <alignment horizontal="center"/>
    </xf>
    <xf numFmtId="4" fontId="44" fillId="0" borderId="0" xfId="43" applyNumberFormat="1" applyFont="1" applyBorder="1" applyAlignment="1">
      <alignment horizontal="center"/>
    </xf>
    <xf numFmtId="0" fontId="44" fillId="0" borderId="9" xfId="43" applyFont="1" applyBorder="1" applyAlignment="1">
      <alignment horizontal="center"/>
    </xf>
    <xf numFmtId="2" fontId="44" fillId="0" borderId="9" xfId="43" applyNumberFormat="1" applyFont="1" applyBorder="1" applyAlignment="1">
      <alignment horizontal="center"/>
    </xf>
    <xf numFmtId="4" fontId="10" fillId="0" borderId="20" xfId="43" applyNumberFormat="1" applyBorder="1"/>
    <xf numFmtId="10" fontId="7" fillId="0" borderId="72" xfId="22" applyNumberFormat="1" applyFont="1" applyBorder="1"/>
    <xf numFmtId="2" fontId="10" fillId="0" borderId="2" xfId="43" applyNumberFormat="1" applyBorder="1" applyAlignment="1">
      <alignment horizontal="center"/>
    </xf>
    <xf numFmtId="43" fontId="30" fillId="0" borderId="37" xfId="16" applyNumberFormat="1" applyFont="1" applyFill="1" applyBorder="1" applyProtection="1"/>
    <xf numFmtId="43" fontId="32" fillId="0" borderId="19" xfId="16" applyNumberFormat="1" applyFont="1" applyFill="1" applyBorder="1" applyAlignment="1" applyProtection="1">
      <alignment horizontal="right"/>
    </xf>
    <xf numFmtId="43" fontId="30" fillId="0" borderId="57" xfId="16" applyNumberFormat="1" applyFont="1" applyFill="1" applyBorder="1" applyProtection="1"/>
    <xf numFmtId="43" fontId="30" fillId="0" borderId="46" xfId="16" applyNumberFormat="1" applyFont="1" applyFill="1" applyBorder="1" applyProtection="1"/>
    <xf numFmtId="169" fontId="15" fillId="0" borderId="67" xfId="16" applyNumberFormat="1" applyFont="1" applyFill="1" applyBorder="1" applyProtection="1"/>
    <xf numFmtId="169" fontId="15" fillId="0" borderId="40" xfId="16" applyNumberFormat="1" applyFont="1" applyFill="1" applyBorder="1" applyProtection="1"/>
    <xf numFmtId="169" fontId="15" fillId="0" borderId="46" xfId="16" applyNumberFormat="1" applyFont="1" applyFill="1" applyBorder="1" applyProtection="1"/>
    <xf numFmtId="169" fontId="15" fillId="0" borderId="57" xfId="16" applyNumberFormat="1" applyFont="1" applyFill="1" applyBorder="1" applyProtection="1"/>
    <xf numFmtId="43" fontId="19" fillId="0" borderId="57" xfId="16" applyNumberFormat="1" applyFont="1" applyFill="1" applyBorder="1" applyProtection="1"/>
    <xf numFmtId="43" fontId="19" fillId="0" borderId="37" xfId="0" applyNumberFormat="1" applyFont="1" applyFill="1" applyBorder="1" applyProtection="1"/>
    <xf numFmtId="43" fontId="19" fillId="0" borderId="37" xfId="16" applyNumberFormat="1" applyFont="1" applyFill="1" applyBorder="1" applyProtection="1"/>
    <xf numFmtId="43" fontId="19" fillId="0" borderId="46" xfId="16" applyNumberFormat="1" applyFont="1" applyFill="1" applyBorder="1" applyProtection="1"/>
    <xf numFmtId="43" fontId="30" fillId="0" borderId="37" xfId="16" applyNumberFormat="1" applyFont="1" applyFill="1" applyBorder="1" applyAlignment="1" applyProtection="1">
      <alignment horizontal="left" indent="1"/>
    </xf>
    <xf numFmtId="43" fontId="30" fillId="0" borderId="46" xfId="16" applyNumberFormat="1" applyFont="1" applyFill="1" applyBorder="1" applyAlignment="1">
      <alignment horizontal="left" indent="1"/>
    </xf>
    <xf numFmtId="43" fontId="30" fillId="0" borderId="46" xfId="16" applyNumberFormat="1" applyFont="1" applyFill="1" applyBorder="1" applyAlignment="1" applyProtection="1">
      <alignment horizontal="right"/>
    </xf>
    <xf numFmtId="43" fontId="19" fillId="0" borderId="37" xfId="16" applyNumberFormat="1" applyFont="1" applyFill="1" applyBorder="1" applyAlignment="1" applyProtection="1">
      <alignment horizontal="right"/>
    </xf>
    <xf numFmtId="43" fontId="19" fillId="0" borderId="46" xfId="16" applyNumberFormat="1" applyFont="1" applyFill="1" applyBorder="1" applyAlignment="1" applyProtection="1">
      <alignment horizontal="right"/>
    </xf>
    <xf numFmtId="43" fontId="19" fillId="0" borderId="57" xfId="16" applyNumberFormat="1" applyFont="1" applyFill="1" applyBorder="1" applyAlignment="1" applyProtection="1">
      <alignment horizontal="right"/>
    </xf>
    <xf numFmtId="43" fontId="32" fillId="0" borderId="30" xfId="16" applyNumberFormat="1" applyFont="1" applyFill="1" applyBorder="1" applyAlignment="1" applyProtection="1">
      <alignment horizontal="right"/>
    </xf>
    <xf numFmtId="39" fontId="30" fillId="0" borderId="73" xfId="0" applyNumberFormat="1" applyFont="1" applyFill="1" applyBorder="1" applyProtection="1"/>
    <xf numFmtId="4" fontId="19" fillId="0" borderId="16" xfId="0" applyNumberFormat="1" applyFont="1" applyFill="1" applyBorder="1" applyAlignment="1">
      <alignment horizontal="right"/>
    </xf>
    <xf numFmtId="0" fontId="30" fillId="8" borderId="0" xfId="0" applyFont="1" applyFill="1" applyBorder="1"/>
    <xf numFmtId="0" fontId="30" fillId="8" borderId="17" xfId="0" applyFont="1" applyFill="1" applyBorder="1"/>
    <xf numFmtId="0" fontId="30" fillId="0" borderId="17" xfId="0" applyFont="1" applyFill="1" applyBorder="1"/>
    <xf numFmtId="17" fontId="30" fillId="8" borderId="13" xfId="0" applyNumberFormat="1" applyFont="1" applyFill="1" applyBorder="1"/>
    <xf numFmtId="17" fontId="30" fillId="0" borderId="2" xfId="0" applyNumberFormat="1" applyFont="1" applyFill="1" applyBorder="1"/>
    <xf numFmtId="17" fontId="30" fillId="0" borderId="13" xfId="0" applyNumberFormat="1" applyFont="1" applyFill="1" applyBorder="1"/>
    <xf numFmtId="17" fontId="30" fillId="8" borderId="2" xfId="0" applyNumberFormat="1" applyFont="1" applyFill="1" applyBorder="1"/>
    <xf numFmtId="0" fontId="30" fillId="9" borderId="17" xfId="0" applyFont="1" applyFill="1" applyBorder="1"/>
    <xf numFmtId="0" fontId="34" fillId="0" borderId="77" xfId="0" applyFont="1" applyFill="1" applyBorder="1"/>
    <xf numFmtId="39" fontId="30" fillId="0" borderId="0" xfId="0" applyNumberFormat="1" applyFont="1" applyFill="1" applyBorder="1" applyProtection="1"/>
    <xf numFmtId="181" fontId="19" fillId="0" borderId="0" xfId="0" applyNumberFormat="1" applyFont="1"/>
    <xf numFmtId="170" fontId="32" fillId="0" borderId="4" xfId="16" applyNumberFormat="1" applyFont="1" applyFill="1" applyBorder="1"/>
    <xf numFmtId="168" fontId="15" fillId="0" borderId="13" xfId="16" applyNumberFormat="1" applyFont="1" applyFill="1" applyBorder="1" applyAlignment="1">
      <alignment vertical="center"/>
    </xf>
    <xf numFmtId="168" fontId="15" fillId="0" borderId="3" xfId="16" applyNumberFormat="1" applyFont="1" applyFill="1" applyBorder="1" applyAlignment="1">
      <alignment vertical="center"/>
    </xf>
    <xf numFmtId="167" fontId="30" fillId="0" borderId="20" xfId="16" applyNumberFormat="1" applyFont="1" applyFill="1" applyBorder="1" applyAlignment="1">
      <alignment vertical="center"/>
    </xf>
    <xf numFmtId="167" fontId="30" fillId="0" borderId="8" xfId="16" applyNumberFormat="1" applyFont="1" applyFill="1" applyBorder="1" applyAlignment="1">
      <alignment vertical="center"/>
    </xf>
    <xf numFmtId="0" fontId="43" fillId="6" borderId="40" xfId="0" applyFont="1" applyFill="1" applyBorder="1" applyAlignment="1">
      <alignment horizontal="left" indent="1"/>
    </xf>
    <xf numFmtId="0" fontId="43" fillId="6" borderId="42" xfId="0" applyFont="1" applyFill="1" applyBorder="1" applyAlignment="1">
      <alignment horizontal="left" indent="1"/>
    </xf>
    <xf numFmtId="0" fontId="15" fillId="0" borderId="13" xfId="0" applyFont="1" applyFill="1" applyBorder="1" applyAlignment="1">
      <alignment vertical="center"/>
    </xf>
    <xf numFmtId="165" fontId="19" fillId="0" borderId="0" xfId="0" applyNumberFormat="1" applyFont="1"/>
    <xf numFmtId="170" fontId="30" fillId="0" borderId="17" xfId="16" applyNumberFormat="1" applyFont="1" applyFill="1" applyBorder="1"/>
    <xf numFmtId="0" fontId="55" fillId="6" borderId="70" xfId="43" applyFont="1" applyFill="1" applyBorder="1"/>
    <xf numFmtId="0" fontId="55" fillId="6" borderId="76" xfId="43" applyFont="1" applyFill="1" applyBorder="1"/>
    <xf numFmtId="4" fontId="55" fillId="6" borderId="76" xfId="43" applyNumberFormat="1" applyFont="1" applyFill="1" applyBorder="1"/>
    <xf numFmtId="4" fontId="55" fillId="6" borderId="69" xfId="43" applyNumberFormat="1" applyFont="1" applyFill="1" applyBorder="1"/>
    <xf numFmtId="0" fontId="4" fillId="0" borderId="2" xfId="43" applyFont="1" applyBorder="1"/>
    <xf numFmtId="0" fontId="4" fillId="0" borderId="2" xfId="43" applyFont="1" applyBorder="1" applyAlignment="1">
      <alignment horizontal="center"/>
    </xf>
    <xf numFmtId="4" fontId="44" fillId="0" borderId="2" xfId="43" applyNumberFormat="1" applyFont="1" applyFill="1" applyBorder="1" applyAlignment="1">
      <alignment horizontal="center"/>
    </xf>
    <xf numFmtId="0" fontId="10" fillId="0" borderId="13" xfId="43" applyBorder="1"/>
    <xf numFmtId="0" fontId="10" fillId="0" borderId="18" xfId="43" applyBorder="1"/>
    <xf numFmtId="4" fontId="10" fillId="0" borderId="16" xfId="43" applyNumberFormat="1" applyFill="1" applyBorder="1" applyAlignment="1">
      <alignment horizontal="center"/>
    </xf>
    <xf numFmtId="4" fontId="44" fillId="0" borderId="16" xfId="43" applyNumberFormat="1" applyFont="1" applyFill="1" applyBorder="1" applyAlignment="1">
      <alignment horizontal="center"/>
    </xf>
    <xf numFmtId="0" fontId="10" fillId="0" borderId="78" xfId="43" applyBorder="1"/>
    <xf numFmtId="0" fontId="10" fillId="0" borderId="80" xfId="43" applyBorder="1"/>
    <xf numFmtId="4" fontId="44" fillId="0" borderId="4" xfId="43" applyNumberFormat="1" applyFont="1" applyFill="1" applyBorder="1" applyAlignment="1">
      <alignment horizontal="center"/>
    </xf>
    <xf numFmtId="4" fontId="44" fillId="0" borderId="77" xfId="43" applyNumberFormat="1" applyFont="1" applyFill="1" applyBorder="1" applyAlignment="1">
      <alignment horizontal="center"/>
    </xf>
    <xf numFmtId="4" fontId="10" fillId="0" borderId="10" xfId="43" applyNumberFormat="1" applyFill="1" applyBorder="1" applyAlignment="1">
      <alignment horizontal="center"/>
    </xf>
    <xf numFmtId="4" fontId="44" fillId="0" borderId="10" xfId="43" applyNumberFormat="1" applyFont="1" applyFill="1" applyBorder="1" applyAlignment="1">
      <alignment horizontal="center"/>
    </xf>
    <xf numFmtId="0" fontId="10" fillId="0" borderId="81" xfId="43" applyBorder="1"/>
    <xf numFmtId="0" fontId="10" fillId="0" borderId="10" xfId="43" applyBorder="1"/>
    <xf numFmtId="4" fontId="10" fillId="0" borderId="78" xfId="43" applyNumberFormat="1" applyFill="1" applyBorder="1" applyAlignment="1">
      <alignment horizontal="center"/>
    </xf>
    <xf numFmtId="4" fontId="19" fillId="0" borderId="60" xfId="0" applyNumberFormat="1" applyFont="1" applyBorder="1"/>
    <xf numFmtId="4" fontId="19" fillId="0" borderId="51" xfId="0" applyNumberFormat="1" applyFont="1" applyBorder="1"/>
    <xf numFmtId="4" fontId="19" fillId="0" borderId="70" xfId="0" applyNumberFormat="1" applyFont="1" applyBorder="1"/>
    <xf numFmtId="17" fontId="38" fillId="2" borderId="77" xfId="0" applyNumberFormat="1" applyFont="1" applyFill="1" applyBorder="1" applyAlignment="1">
      <alignment horizontal="center"/>
    </xf>
    <xf numFmtId="4" fontId="28" fillId="0" borderId="77" xfId="0" applyNumberFormat="1" applyFont="1" applyBorder="1"/>
    <xf numFmtId="0" fontId="15" fillId="0" borderId="0" xfId="0" applyFont="1"/>
    <xf numFmtId="0" fontId="4" fillId="0" borderId="0" xfId="60"/>
    <xf numFmtId="0" fontId="4" fillId="0" borderId="0" xfId="60" applyBorder="1"/>
    <xf numFmtId="0" fontId="4" fillId="0" borderId="0" xfId="60" applyFont="1" applyBorder="1"/>
    <xf numFmtId="0" fontId="31" fillId="0" borderId="0" xfId="60" applyFont="1" applyAlignment="1">
      <alignment horizontal="left"/>
    </xf>
    <xf numFmtId="0" fontId="76" fillId="0" borderId="0" xfId="60" applyFont="1"/>
    <xf numFmtId="0" fontId="53" fillId="0" borderId="2" xfId="60" applyFont="1" applyFill="1" applyBorder="1" applyAlignment="1">
      <alignment horizontal="left"/>
    </xf>
    <xf numFmtId="167" fontId="77" fillId="0" borderId="66" xfId="61" applyNumberFormat="1" applyFont="1" applyBorder="1" applyAlignment="1">
      <alignment horizontal="center"/>
    </xf>
    <xf numFmtId="4" fontId="53" fillId="0" borderId="46" xfId="60" applyNumberFormat="1" applyFont="1" applyFill="1" applyBorder="1" applyAlignment="1">
      <alignment horizontal="center"/>
    </xf>
    <xf numFmtId="0" fontId="4" fillId="0" borderId="0" xfId="60" applyFill="1" applyBorder="1"/>
    <xf numFmtId="0" fontId="76" fillId="0" borderId="64" xfId="60" applyFont="1" applyBorder="1"/>
    <xf numFmtId="167" fontId="76" fillId="0" borderId="66" xfId="61" applyNumberFormat="1" applyFont="1" applyBorder="1" applyAlignment="1">
      <alignment horizontal="center"/>
    </xf>
    <xf numFmtId="167" fontId="76" fillId="0" borderId="37" xfId="61" applyNumberFormat="1" applyFont="1" applyBorder="1" applyAlignment="1">
      <alignment horizontal="center"/>
    </xf>
    <xf numFmtId="0" fontId="77" fillId="0" borderId="16" xfId="60" applyFont="1" applyBorder="1" applyAlignment="1"/>
    <xf numFmtId="167" fontId="77" fillId="0" borderId="2" xfId="60" applyNumberFormat="1" applyFont="1" applyBorder="1" applyAlignment="1">
      <alignment horizontal="center"/>
    </xf>
    <xf numFmtId="167" fontId="77" fillId="0" borderId="37" xfId="60" applyNumberFormat="1" applyFont="1" applyBorder="1" applyAlignment="1">
      <alignment horizontal="center"/>
    </xf>
    <xf numFmtId="0" fontId="76" fillId="0" borderId="20" xfId="60" applyFont="1" applyBorder="1" applyAlignment="1">
      <alignment horizontal="right"/>
    </xf>
    <xf numFmtId="167" fontId="76" fillId="0" borderId="58" xfId="60" applyNumberFormat="1" applyFont="1" applyBorder="1"/>
    <xf numFmtId="167" fontId="76" fillId="0" borderId="39" xfId="60" applyNumberFormat="1" applyFont="1" applyBorder="1"/>
    <xf numFmtId="167" fontId="76" fillId="0" borderId="2" xfId="60" applyNumberFormat="1" applyFont="1" applyFill="1" applyBorder="1"/>
    <xf numFmtId="167" fontId="76" fillId="0" borderId="37" xfId="60" applyNumberFormat="1" applyFont="1" applyFill="1" applyBorder="1"/>
    <xf numFmtId="0" fontId="76" fillId="0" borderId="16" xfId="60" applyFont="1" applyBorder="1" applyAlignment="1">
      <alignment horizontal="right"/>
    </xf>
    <xf numFmtId="167" fontId="76" fillId="0" borderId="66" xfId="60" applyNumberFormat="1" applyFont="1" applyBorder="1"/>
    <xf numFmtId="167" fontId="76" fillId="0" borderId="37" xfId="60" applyNumberFormat="1" applyFont="1" applyBorder="1"/>
    <xf numFmtId="167" fontId="76" fillId="0" borderId="59" xfId="60" applyNumberFormat="1" applyFont="1" applyBorder="1"/>
    <xf numFmtId="167" fontId="76" fillId="0" borderId="83" xfId="60" applyNumberFormat="1" applyFont="1" applyBorder="1"/>
    <xf numFmtId="0" fontId="77" fillId="0" borderId="77" xfId="60" applyFont="1" applyFill="1" applyBorder="1" applyAlignment="1">
      <alignment horizontal="right"/>
    </xf>
    <xf numFmtId="167" fontId="77" fillId="0" borderId="4" xfId="60" applyNumberFormat="1" applyFont="1" applyFill="1" applyBorder="1"/>
    <xf numFmtId="0" fontId="74" fillId="0" borderId="0" xfId="60" applyFont="1" applyBorder="1" applyAlignment="1">
      <alignment horizontal="right"/>
    </xf>
    <xf numFmtId="0" fontId="74" fillId="0" borderId="0" xfId="60" applyFont="1" applyBorder="1"/>
    <xf numFmtId="167" fontId="74" fillId="0" borderId="0" xfId="16" applyFont="1" applyBorder="1"/>
    <xf numFmtId="43" fontId="4" fillId="0" borderId="0" xfId="60" applyNumberFormat="1" applyBorder="1"/>
    <xf numFmtId="167" fontId="77" fillId="0" borderId="46" xfId="60" applyNumberFormat="1" applyFont="1" applyBorder="1" applyAlignment="1">
      <alignment horizontal="center"/>
    </xf>
    <xf numFmtId="167" fontId="77" fillId="0" borderId="37" xfId="61" applyNumberFormat="1" applyFont="1" applyBorder="1" applyAlignment="1">
      <alignment horizontal="center"/>
    </xf>
    <xf numFmtId="0" fontId="16" fillId="0" borderId="0" xfId="63" applyFont="1"/>
    <xf numFmtId="0" fontId="15" fillId="0" borderId="0" xfId="63"/>
    <xf numFmtId="0" fontId="31" fillId="0" borderId="0" xfId="63" applyFont="1"/>
    <xf numFmtId="0" fontId="53" fillId="0" borderId="0" xfId="63" applyNumberFormat="1" applyFont="1" applyFill="1" applyBorder="1" applyAlignment="1">
      <alignment horizontal="center" vertical="center"/>
    </xf>
    <xf numFmtId="0" fontId="53" fillId="0" borderId="0" xfId="63" applyFont="1" applyFill="1" applyBorder="1" applyAlignment="1">
      <alignment horizontal="center"/>
    </xf>
    <xf numFmtId="0" fontId="31" fillId="0" borderId="0" xfId="63" applyFont="1" applyAlignment="1">
      <alignment horizontal="center"/>
    </xf>
    <xf numFmtId="0" fontId="53" fillId="0" borderId="0" xfId="63" applyFont="1" applyFill="1" applyBorder="1" applyAlignment="1">
      <alignment horizontal="left" vertical="center"/>
    </xf>
    <xf numFmtId="0" fontId="53" fillId="0" borderId="0" xfId="63" applyFont="1" applyFill="1" applyBorder="1" applyAlignment="1">
      <alignment horizontal="center" vertical="center" wrapText="1"/>
    </xf>
    <xf numFmtId="0" fontId="15" fillId="0" borderId="0" xfId="63" applyFont="1"/>
    <xf numFmtId="0" fontId="28" fillId="0" borderId="0" xfId="63" applyFont="1" applyFill="1" applyBorder="1" applyAlignment="1">
      <alignment horizontal="left" vertical="center"/>
    </xf>
    <xf numFmtId="0" fontId="28" fillId="0" borderId="0" xfId="63" applyFont="1" applyFill="1" applyBorder="1" applyAlignment="1">
      <alignment horizontal="center" vertical="center" wrapText="1"/>
    </xf>
    <xf numFmtId="3" fontId="28" fillId="0" borderId="0" xfId="63" applyNumberFormat="1" applyFont="1" applyFill="1" applyBorder="1" applyAlignment="1">
      <alignment horizontal="center" vertical="center" wrapText="1"/>
    </xf>
    <xf numFmtId="0" fontId="16" fillId="0" borderId="0" xfId="63" applyFont="1" applyAlignment="1">
      <alignment horizontal="center"/>
    </xf>
    <xf numFmtId="0" fontId="15" fillId="0" borderId="0" xfId="63" applyAlignment="1">
      <alignment horizontal="center"/>
    </xf>
    <xf numFmtId="0" fontId="0" fillId="0" borderId="17" xfId="0" applyBorder="1"/>
    <xf numFmtId="0" fontId="15" fillId="0" borderId="2" xfId="0" applyFont="1" applyFill="1" applyBorder="1" applyAlignment="1">
      <alignment vertical="center"/>
    </xf>
    <xf numFmtId="173" fontId="27" fillId="0" borderId="79" xfId="22" applyNumberFormat="1" applyFont="1" applyFill="1" applyBorder="1" applyAlignment="1">
      <alignment vertical="center"/>
    </xf>
    <xf numFmtId="172" fontId="30" fillId="0" borderId="79" xfId="16" applyNumberFormat="1" applyFont="1" applyFill="1" applyBorder="1" applyAlignment="1">
      <alignment vertical="center"/>
    </xf>
    <xf numFmtId="172" fontId="39" fillId="0" borderId="79" xfId="16" applyNumberFormat="1" applyFont="1" applyFill="1" applyBorder="1" applyAlignment="1">
      <alignment vertical="center"/>
    </xf>
    <xf numFmtId="0" fontId="28" fillId="0" borderId="4" xfId="0" applyFont="1" applyFill="1" applyBorder="1" applyAlignment="1">
      <alignment vertical="center"/>
    </xf>
    <xf numFmtId="172" fontId="32" fillId="0" borderId="9" xfId="16" applyNumberFormat="1" applyFont="1" applyFill="1" applyBorder="1" applyAlignment="1">
      <alignment vertical="center"/>
    </xf>
    <xf numFmtId="10" fontId="19" fillId="0" borderId="0" xfId="0" applyNumberFormat="1" applyFont="1" applyFill="1" applyBorder="1"/>
    <xf numFmtId="0" fontId="0" fillId="0" borderId="0" xfId="0" applyFill="1" applyBorder="1"/>
    <xf numFmtId="10" fontId="15" fillId="0" borderId="0" xfId="22" applyNumberFormat="1" applyFont="1" applyFill="1" applyBorder="1" applyAlignment="1">
      <alignment vertical="center"/>
    </xf>
    <xf numFmtId="167" fontId="76" fillId="0" borderId="46" xfId="61" applyNumberFormat="1" applyFont="1" applyBorder="1" applyAlignment="1">
      <alignment horizontal="center"/>
    </xf>
    <xf numFmtId="167" fontId="77" fillId="0" borderId="86" xfId="60" applyNumberFormat="1" applyFont="1" applyFill="1" applyBorder="1"/>
    <xf numFmtId="167" fontId="76" fillId="0" borderId="43" xfId="60" applyNumberFormat="1" applyFont="1" applyBorder="1"/>
    <xf numFmtId="4" fontId="53" fillId="0" borderId="87" xfId="60" applyNumberFormat="1" applyFont="1" applyFill="1" applyBorder="1" applyAlignment="1">
      <alignment horizontal="center"/>
    </xf>
    <xf numFmtId="4" fontId="31" fillId="0" borderId="87" xfId="60" applyNumberFormat="1" applyFont="1" applyFill="1" applyBorder="1" applyAlignment="1">
      <alignment horizontal="center"/>
    </xf>
    <xf numFmtId="167" fontId="76" fillId="0" borderId="82" xfId="60" applyNumberFormat="1" applyFont="1" applyBorder="1"/>
    <xf numFmtId="167" fontId="76" fillId="0" borderId="64" xfId="60" applyNumberFormat="1" applyFont="1" applyFill="1" applyBorder="1"/>
    <xf numFmtId="167" fontId="76" fillId="0" borderId="64" xfId="60" applyNumberFormat="1" applyFont="1" applyBorder="1"/>
    <xf numFmtId="167" fontId="76" fillId="0" borderId="65" xfId="60" applyNumberFormat="1" applyFont="1" applyBorder="1"/>
    <xf numFmtId="167" fontId="77" fillId="0" borderId="84" xfId="60" applyNumberFormat="1" applyFont="1" applyFill="1" applyBorder="1"/>
    <xf numFmtId="170" fontId="30" fillId="0" borderId="46" xfId="16" applyNumberFormat="1" applyFont="1" applyFill="1" applyBorder="1"/>
    <xf numFmtId="170" fontId="30" fillId="0" borderId="20" xfId="16" applyNumberFormat="1" applyFont="1" applyFill="1" applyBorder="1"/>
    <xf numFmtId="172" fontId="32" fillId="0" borderId="16" xfId="16" applyNumberFormat="1" applyFont="1" applyFill="1" applyBorder="1"/>
    <xf numFmtId="182" fontId="30" fillId="0" borderId="0" xfId="0" applyNumberFormat="1" applyFont="1" applyFill="1" applyBorder="1"/>
    <xf numFmtId="43" fontId="26" fillId="0" borderId="0" xfId="0" applyNumberFormat="1" applyFont="1"/>
    <xf numFmtId="0" fontId="0" fillId="0" borderId="88" xfId="0" applyBorder="1"/>
    <xf numFmtId="17" fontId="38" fillId="2" borderId="20" xfId="0" applyNumberFormat="1" applyFont="1" applyFill="1" applyBorder="1" applyAlignment="1">
      <alignment horizontal="center"/>
    </xf>
    <xf numFmtId="167" fontId="0" fillId="0" borderId="0" xfId="16" applyFont="1"/>
    <xf numFmtId="43" fontId="19" fillId="0" borderId="39" xfId="16" applyNumberFormat="1" applyFont="1" applyFill="1" applyBorder="1" applyAlignment="1" applyProtection="1">
      <alignment horizontal="right"/>
    </xf>
    <xf numFmtId="172" fontId="30" fillId="0" borderId="88" xfId="16" applyNumberFormat="1" applyFont="1" applyFill="1" applyBorder="1" applyAlignment="1">
      <alignment vertical="center"/>
    </xf>
    <xf numFmtId="168" fontId="15" fillId="0" borderId="2" xfId="16" applyNumberFormat="1" applyFont="1" applyFill="1" applyBorder="1" applyAlignment="1">
      <alignment vertical="center"/>
    </xf>
    <xf numFmtId="167" fontId="30" fillId="0" borderId="16" xfId="16" applyNumberFormat="1" applyFont="1" applyFill="1" applyBorder="1" applyAlignment="1">
      <alignment vertical="center"/>
    </xf>
    <xf numFmtId="168" fontId="15" fillId="0" borderId="90" xfId="16" applyNumberFormat="1" applyFont="1" applyFill="1" applyBorder="1" applyAlignment="1">
      <alignment vertical="center"/>
    </xf>
    <xf numFmtId="170" fontId="30" fillId="0" borderId="88" xfId="16" applyNumberFormat="1" applyFont="1" applyFill="1" applyBorder="1" applyAlignment="1">
      <alignment vertical="center"/>
    </xf>
    <xf numFmtId="167" fontId="30" fillId="0" borderId="85" xfId="16" applyNumberFormat="1" applyFont="1" applyFill="1" applyBorder="1" applyAlignment="1">
      <alignment vertical="center"/>
    </xf>
    <xf numFmtId="170" fontId="19" fillId="0" borderId="0" xfId="0" applyNumberFormat="1" applyFont="1"/>
    <xf numFmtId="172" fontId="0" fillId="0" borderId="0" xfId="0" applyNumberFormat="1"/>
    <xf numFmtId="3" fontId="53" fillId="0" borderId="0" xfId="63" applyNumberFormat="1" applyFont="1" applyFill="1" applyBorder="1" applyAlignment="1">
      <alignment horizontal="center" vertical="center" wrapText="1"/>
    </xf>
    <xf numFmtId="0" fontId="79" fillId="0" borderId="13" xfId="0" applyFont="1" applyBorder="1" applyAlignment="1">
      <alignment horizontal="left" indent="1"/>
    </xf>
    <xf numFmtId="0" fontId="79" fillId="0" borderId="2" xfId="0" applyFont="1" applyBorder="1" applyAlignment="1">
      <alignment horizontal="left" indent="1"/>
    </xf>
    <xf numFmtId="0" fontId="0" fillId="0" borderId="0" xfId="0" applyBorder="1"/>
    <xf numFmtId="0" fontId="80" fillId="0" borderId="2" xfId="0" applyFont="1" applyBorder="1" applyAlignment="1">
      <alignment horizontal="left" indent="1"/>
    </xf>
    <xf numFmtId="0" fontId="80" fillId="0" borderId="90" xfId="0" applyFont="1" applyBorder="1" applyAlignment="1">
      <alignment horizontal="left" indent="1"/>
    </xf>
    <xf numFmtId="0" fontId="15" fillId="0" borderId="0" xfId="0" applyFont="1" applyFill="1" applyBorder="1" applyAlignment="1">
      <alignment vertical="center"/>
    </xf>
    <xf numFmtId="170" fontId="30" fillId="0" borderId="16" xfId="16" applyNumberFormat="1" applyFont="1" applyFill="1" applyBorder="1" applyAlignment="1">
      <alignment horizontal="right"/>
    </xf>
    <xf numFmtId="0" fontId="15" fillId="0" borderId="90" xfId="0" applyFont="1" applyFill="1" applyBorder="1" applyAlignment="1">
      <alignment vertical="center"/>
    </xf>
    <xf numFmtId="10" fontId="15" fillId="0" borderId="88" xfId="22" applyNumberFormat="1" applyFont="1" applyFill="1" applyBorder="1" applyAlignment="1">
      <alignment vertical="center"/>
    </xf>
    <xf numFmtId="172" fontId="32" fillId="0" borderId="17" xfId="16" applyNumberFormat="1" applyFont="1" applyFill="1" applyBorder="1" applyAlignment="1">
      <alignment vertical="center"/>
    </xf>
    <xf numFmtId="167" fontId="32" fillId="0" borderId="20" xfId="16" applyNumberFormat="1" applyFont="1" applyFill="1" applyBorder="1" applyAlignment="1">
      <alignment vertical="center"/>
    </xf>
    <xf numFmtId="172" fontId="28" fillId="0" borderId="0" xfId="16" applyNumberFormat="1" applyFont="1"/>
    <xf numFmtId="172" fontId="32" fillId="0" borderId="11" xfId="16" applyNumberFormat="1" applyFont="1" applyFill="1" applyBorder="1" applyAlignment="1">
      <alignment vertical="center"/>
    </xf>
    <xf numFmtId="172" fontId="32" fillId="0" borderId="8" xfId="16" applyNumberFormat="1" applyFont="1" applyFill="1" applyBorder="1" applyAlignment="1">
      <alignment vertical="center"/>
    </xf>
    <xf numFmtId="0" fontId="28" fillId="0" borderId="0" xfId="0" applyFont="1" applyFill="1" applyBorder="1" applyAlignment="1">
      <alignment vertical="center"/>
    </xf>
    <xf numFmtId="170" fontId="32" fillId="0" borderId="9" xfId="16" applyNumberFormat="1" applyFont="1" applyFill="1" applyBorder="1" applyAlignment="1">
      <alignment vertical="center"/>
    </xf>
    <xf numFmtId="172" fontId="32" fillId="0" borderId="84" xfId="16" applyNumberFormat="1" applyFont="1" applyFill="1" applyBorder="1" applyAlignment="1">
      <alignment vertical="center"/>
    </xf>
    <xf numFmtId="172" fontId="30" fillId="0" borderId="18" xfId="16" applyNumberFormat="1" applyFont="1" applyFill="1" applyBorder="1" applyAlignment="1">
      <alignment vertical="center"/>
    </xf>
    <xf numFmtId="172" fontId="30" fillId="0" borderId="89" xfId="16" applyNumberFormat="1" applyFont="1" applyFill="1" applyBorder="1" applyAlignment="1">
      <alignment vertical="center"/>
    </xf>
    <xf numFmtId="0" fontId="28" fillId="5" borderId="4" xfId="0" applyFont="1" applyFill="1" applyBorder="1" applyAlignment="1">
      <alignment vertical="center"/>
    </xf>
    <xf numFmtId="170" fontId="32" fillId="5" borderId="9" xfId="16" applyNumberFormat="1" applyFont="1" applyFill="1" applyBorder="1" applyAlignment="1">
      <alignment vertical="center"/>
    </xf>
    <xf numFmtId="172" fontId="32" fillId="5" borderId="9" xfId="16" applyNumberFormat="1" applyFont="1" applyFill="1" applyBorder="1" applyAlignment="1">
      <alignment vertical="center"/>
    </xf>
    <xf numFmtId="0" fontId="43" fillId="6" borderId="40" xfId="0" applyFont="1" applyFill="1" applyBorder="1" applyAlignment="1">
      <alignment horizontal="center"/>
    </xf>
    <xf numFmtId="0" fontId="43" fillId="0" borderId="0" xfId="0" applyFont="1" applyFill="1" applyBorder="1" applyAlignment="1"/>
    <xf numFmtId="0" fontId="0" fillId="10" borderId="0" xfId="0" applyFill="1"/>
    <xf numFmtId="174" fontId="28" fillId="10" borderId="0" xfId="0" applyNumberFormat="1" applyFont="1" applyFill="1" applyBorder="1" applyAlignment="1">
      <alignment horizontal="center"/>
    </xf>
    <xf numFmtId="172" fontId="19" fillId="10" borderId="0" xfId="0" applyNumberFormat="1" applyFont="1" applyFill="1"/>
    <xf numFmtId="10" fontId="28" fillId="10" borderId="0" xfId="0" applyNumberFormat="1" applyFont="1" applyFill="1" applyBorder="1" applyAlignment="1">
      <alignment horizontal="right"/>
    </xf>
    <xf numFmtId="0" fontId="28" fillId="10" borderId="0" xfId="0" applyFont="1" applyFill="1"/>
    <xf numFmtId="0" fontId="0" fillId="0" borderId="37" xfId="0" applyBorder="1"/>
    <xf numFmtId="174" fontId="28" fillId="0" borderId="37" xfId="0" applyNumberFormat="1" applyFont="1" applyBorder="1"/>
    <xf numFmtId="0" fontId="15" fillId="0" borderId="0" xfId="0" applyFont="1" applyAlignment="1">
      <alignment horizontal="right"/>
    </xf>
    <xf numFmtId="172" fontId="0" fillId="0" borderId="37" xfId="16" applyNumberFormat="1" applyFont="1" applyBorder="1"/>
    <xf numFmtId="172" fontId="15" fillId="0" borderId="37" xfId="16" applyNumberFormat="1" applyFont="1" applyBorder="1"/>
    <xf numFmtId="0" fontId="0" fillId="0" borderId="46" xfId="0" applyBorder="1"/>
    <xf numFmtId="172" fontId="0" fillId="0" borderId="46" xfId="16" applyNumberFormat="1" applyFont="1" applyBorder="1"/>
    <xf numFmtId="0" fontId="0" fillId="0" borderId="57" xfId="0" applyBorder="1"/>
    <xf numFmtId="172" fontId="0" fillId="0" borderId="57" xfId="16" applyNumberFormat="1" applyFont="1" applyBorder="1"/>
    <xf numFmtId="0" fontId="0" fillId="0" borderId="47" xfId="0" applyBorder="1"/>
    <xf numFmtId="172" fontId="0" fillId="0" borderId="19" xfId="16" applyNumberFormat="1" applyFont="1" applyBorder="1"/>
    <xf numFmtId="172" fontId="15" fillId="0" borderId="19" xfId="16" applyNumberFormat="1" applyFont="1" applyBorder="1"/>
    <xf numFmtId="172" fontId="0" fillId="0" borderId="30" xfId="16" applyNumberFormat="1" applyFont="1" applyBorder="1"/>
    <xf numFmtId="4" fontId="19" fillId="0" borderId="39" xfId="0" applyNumberFormat="1" applyFont="1" applyFill="1" applyBorder="1"/>
    <xf numFmtId="4" fontId="19" fillId="0" borderId="37" xfId="0" applyNumberFormat="1" applyFont="1" applyFill="1" applyBorder="1"/>
    <xf numFmtId="17" fontId="30" fillId="0" borderId="91" xfId="0" applyNumberFormat="1" applyFont="1" applyFill="1" applyBorder="1"/>
    <xf numFmtId="0" fontId="30" fillId="0" borderId="92" xfId="0" applyFont="1" applyFill="1" applyBorder="1"/>
    <xf numFmtId="0" fontId="30" fillId="9" borderId="92" xfId="0" applyFont="1" applyFill="1" applyBorder="1"/>
    <xf numFmtId="170" fontId="32" fillId="0" borderId="0" xfId="16" applyNumberFormat="1" applyFont="1" applyFill="1" applyBorder="1"/>
    <xf numFmtId="170" fontId="0" fillId="0" borderId="0" xfId="0" applyNumberFormat="1"/>
    <xf numFmtId="167" fontId="0" fillId="0" borderId="88" xfId="16" applyFont="1" applyBorder="1"/>
    <xf numFmtId="167" fontId="0" fillId="0" borderId="17" xfId="16" applyFont="1" applyBorder="1"/>
    <xf numFmtId="167" fontId="0" fillId="0" borderId="0" xfId="16" applyFont="1" applyBorder="1"/>
    <xf numFmtId="170" fontId="82" fillId="0" borderId="0" xfId="16" applyNumberFormat="1" applyFont="1" applyFill="1"/>
    <xf numFmtId="0" fontId="81" fillId="0" borderId="0" xfId="0" applyFont="1"/>
    <xf numFmtId="3" fontId="15" fillId="0" borderId="2" xfId="16" applyNumberFormat="1" applyFont="1" applyFill="1" applyBorder="1"/>
    <xf numFmtId="3" fontId="15" fillId="0" borderId="0" xfId="16" applyNumberFormat="1" applyFont="1" applyFill="1" applyBorder="1"/>
    <xf numFmtId="167" fontId="81" fillId="0" borderId="88" xfId="16" applyFont="1" applyBorder="1"/>
    <xf numFmtId="172" fontId="15" fillId="0" borderId="0" xfId="16" applyNumberFormat="1" applyFont="1" applyFill="1" applyBorder="1" applyAlignment="1">
      <alignment vertical="center"/>
    </xf>
    <xf numFmtId="168" fontId="28" fillId="11" borderId="13" xfId="16" applyNumberFormat="1" applyFont="1" applyFill="1" applyBorder="1" applyAlignment="1">
      <alignment vertical="center"/>
    </xf>
    <xf numFmtId="170" fontId="32" fillId="11" borderId="17" xfId="16" applyNumberFormat="1" applyFont="1" applyFill="1" applyBorder="1" applyAlignment="1">
      <alignment vertical="center"/>
    </xf>
    <xf numFmtId="168" fontId="28" fillId="11" borderId="3" xfId="16" applyNumberFormat="1" applyFont="1" applyFill="1" applyBorder="1" applyAlignment="1">
      <alignment vertical="center"/>
    </xf>
    <xf numFmtId="170" fontId="32" fillId="11" borderId="11" xfId="16" applyNumberFormat="1" applyFont="1" applyFill="1" applyBorder="1" applyAlignment="1">
      <alignment vertical="center"/>
    </xf>
    <xf numFmtId="0" fontId="15" fillId="0" borderId="78" xfId="0" applyFont="1" applyFill="1" applyBorder="1" applyAlignment="1">
      <alignment vertical="center"/>
    </xf>
    <xf numFmtId="170" fontId="30" fillId="11" borderId="17" xfId="16" applyNumberFormat="1" applyFont="1" applyFill="1" applyBorder="1" applyAlignment="1">
      <alignment vertical="center"/>
    </xf>
    <xf numFmtId="168" fontId="28" fillId="11" borderId="90" xfId="16" applyNumberFormat="1" applyFont="1" applyFill="1" applyBorder="1" applyAlignment="1">
      <alignment vertical="center"/>
    </xf>
    <xf numFmtId="170" fontId="30" fillId="11" borderId="88" xfId="16" applyNumberFormat="1" applyFont="1" applyFill="1" applyBorder="1" applyAlignment="1">
      <alignment vertical="center"/>
    </xf>
    <xf numFmtId="0" fontId="28" fillId="11" borderId="4" xfId="0" applyFont="1" applyFill="1" applyBorder="1" applyAlignment="1">
      <alignment vertical="center"/>
    </xf>
    <xf numFmtId="170" fontId="32" fillId="11" borderId="9" xfId="16" applyNumberFormat="1" applyFont="1" applyFill="1" applyBorder="1" applyAlignment="1">
      <alignment vertical="center"/>
    </xf>
    <xf numFmtId="17" fontId="72" fillId="2" borderId="19" xfId="0" applyNumberFormat="1" applyFont="1" applyFill="1" applyBorder="1" applyAlignment="1">
      <alignment horizontal="center"/>
    </xf>
    <xf numFmtId="3" fontId="0" fillId="0" borderId="0" xfId="0" applyNumberFormat="1"/>
    <xf numFmtId="0" fontId="55" fillId="6" borderId="9" xfId="43" applyFont="1" applyFill="1" applyBorder="1" applyAlignment="1">
      <alignment horizontal="center"/>
    </xf>
    <xf numFmtId="0" fontId="55" fillId="6" borderId="4" xfId="43" applyFont="1" applyFill="1" applyBorder="1" applyAlignment="1">
      <alignment horizontal="center"/>
    </xf>
    <xf numFmtId="4" fontId="19" fillId="0" borderId="20" xfId="0" applyNumberFormat="1" applyFont="1" applyFill="1" applyBorder="1" applyAlignment="1">
      <alignment horizontal="right"/>
    </xf>
    <xf numFmtId="167" fontId="19" fillId="0" borderId="17" xfId="16" applyFont="1" applyBorder="1"/>
    <xf numFmtId="167" fontId="19" fillId="0" borderId="18" xfId="16" applyFont="1" applyBorder="1"/>
    <xf numFmtId="167" fontId="19" fillId="0" borderId="0" xfId="16" applyFont="1" applyBorder="1"/>
    <xf numFmtId="167" fontId="19" fillId="0" borderId="10" xfId="16" applyFont="1" applyBorder="1"/>
    <xf numFmtId="4" fontId="19" fillId="0" borderId="94" xfId="0" applyNumberFormat="1" applyFont="1" applyFill="1" applyBorder="1" applyAlignment="1">
      <alignment horizontal="right"/>
    </xf>
    <xf numFmtId="39" fontId="30" fillId="0" borderId="97" xfId="0" applyNumberFormat="1" applyFont="1" applyFill="1" applyBorder="1" applyProtection="1"/>
    <xf numFmtId="167" fontId="19" fillId="0" borderId="92" xfId="16" applyFont="1" applyBorder="1"/>
    <xf numFmtId="167" fontId="19" fillId="0" borderId="95" xfId="16" applyFont="1" applyBorder="1"/>
    <xf numFmtId="39" fontId="30" fillId="0" borderId="58" xfId="0" applyNumberFormat="1" applyFont="1" applyFill="1" applyBorder="1" applyProtection="1"/>
    <xf numFmtId="4" fontId="19" fillId="0" borderId="82" xfId="0" applyNumberFormat="1" applyFont="1" applyFill="1" applyBorder="1" applyAlignment="1">
      <alignment horizontal="right"/>
    </xf>
    <xf numFmtId="4" fontId="19" fillId="0" borderId="98" xfId="0" applyNumberFormat="1" applyFont="1" applyFill="1" applyBorder="1" applyAlignment="1">
      <alignment horizontal="right"/>
    </xf>
    <xf numFmtId="167" fontId="19" fillId="0" borderId="0" xfId="0" applyNumberFormat="1" applyFont="1"/>
    <xf numFmtId="10" fontId="19" fillId="0" borderId="0" xfId="22" applyNumberFormat="1" applyFont="1"/>
    <xf numFmtId="167" fontId="19" fillId="0" borderId="10" xfId="16" applyNumberFormat="1" applyFont="1" applyBorder="1"/>
    <xf numFmtId="9" fontId="19" fillId="0" borderId="0" xfId="22" applyFont="1" applyFill="1" applyBorder="1" applyAlignment="1">
      <alignment horizontal="right"/>
    </xf>
    <xf numFmtId="9" fontId="19" fillId="0" borderId="0" xfId="22" applyFont="1" applyBorder="1"/>
    <xf numFmtId="0" fontId="76" fillId="0" borderId="64" xfId="60" applyFont="1" applyFill="1" applyBorder="1"/>
    <xf numFmtId="167" fontId="76" fillId="0" borderId="66" xfId="61" applyNumberFormat="1" applyFont="1" applyFill="1" applyBorder="1" applyAlignment="1">
      <alignment horizontal="center"/>
    </xf>
    <xf numFmtId="4" fontId="10" fillId="14" borderId="16" xfId="43" applyNumberFormat="1" applyFill="1" applyBorder="1"/>
    <xf numFmtId="0" fontId="6" fillId="0" borderId="2" xfId="43" applyFont="1" applyFill="1" applyBorder="1"/>
    <xf numFmtId="0" fontId="6" fillId="0" borderId="2" xfId="43" applyFont="1" applyFill="1" applyBorder="1" applyAlignment="1">
      <alignment horizontal="center"/>
    </xf>
    <xf numFmtId="4" fontId="10" fillId="0" borderId="2" xfId="43" applyNumberFormat="1" applyFill="1" applyBorder="1"/>
    <xf numFmtId="4" fontId="10" fillId="0" borderId="16" xfId="43" applyNumberFormat="1" applyFill="1" applyBorder="1"/>
    <xf numFmtId="0" fontId="10" fillId="0" borderId="0" xfId="43" applyFill="1"/>
    <xf numFmtId="0" fontId="2" fillId="0" borderId="2" xfId="43" applyFont="1" applyBorder="1"/>
    <xf numFmtId="0" fontId="6" fillId="0" borderId="2" xfId="43" applyFont="1" applyFill="1" applyBorder="1" applyAlignment="1">
      <alignment horizontal="right"/>
    </xf>
    <xf numFmtId="4" fontId="52" fillId="0" borderId="0" xfId="20" applyNumberFormat="1" applyFont="1" applyAlignment="1">
      <alignment horizontal="center" vertical="center"/>
    </xf>
    <xf numFmtId="171" fontId="31" fillId="0" borderId="0" xfId="63" applyNumberFormat="1" applyFont="1" applyFill="1" applyBorder="1" applyAlignment="1" applyProtection="1">
      <alignment horizontal="center"/>
      <protection locked="0"/>
    </xf>
    <xf numFmtId="4" fontId="31" fillId="0" borderId="0" xfId="63" applyNumberFormat="1" applyFont="1" applyAlignment="1">
      <alignment horizontal="center"/>
    </xf>
    <xf numFmtId="4" fontId="16" fillId="0" borderId="0" xfId="63" applyNumberFormat="1" applyFont="1" applyAlignment="1">
      <alignment horizontal="center"/>
    </xf>
    <xf numFmtId="4" fontId="15" fillId="0" borderId="0" xfId="63" applyNumberFormat="1" applyAlignment="1">
      <alignment horizontal="center"/>
    </xf>
    <xf numFmtId="0" fontId="15" fillId="0" borderId="0" xfId="63" applyFont="1" applyAlignment="1">
      <alignment horizontal="center"/>
    </xf>
    <xf numFmtId="39" fontId="85" fillId="0" borderId="0" xfId="0" applyNumberFormat="1" applyFont="1" applyBorder="1" applyAlignment="1" applyProtection="1">
      <alignment horizontal="left" indent="1"/>
    </xf>
    <xf numFmtId="170" fontId="85" fillId="0" borderId="0" xfId="16" applyNumberFormat="1" applyFont="1" applyBorder="1" applyProtection="1"/>
    <xf numFmtId="39" fontId="33" fillId="0" borderId="0" xfId="20" applyNumberFormat="1" applyFont="1" applyAlignment="1">
      <alignment horizontal="left" vertical="center"/>
    </xf>
    <xf numFmtId="0" fontId="87" fillId="6" borderId="19" xfId="63" applyFont="1" applyFill="1" applyBorder="1" applyAlignment="1">
      <alignment horizontal="center" vertical="center" wrapText="1"/>
    </xf>
    <xf numFmtId="0" fontId="87" fillId="6" borderId="37" xfId="63" applyFont="1" applyFill="1" applyBorder="1" applyAlignment="1">
      <alignment horizontal="center" vertical="center" wrapText="1"/>
    </xf>
    <xf numFmtId="0" fontId="87" fillId="6" borderId="51" xfId="63" applyFont="1" applyFill="1" applyBorder="1" applyAlignment="1">
      <alignment horizontal="center" vertical="center" wrapText="1"/>
    </xf>
    <xf numFmtId="0" fontId="87" fillId="6" borderId="30" xfId="63" applyFont="1" applyFill="1" applyBorder="1" applyAlignment="1">
      <alignment horizontal="center" vertical="center" wrapText="1"/>
    </xf>
    <xf numFmtId="49" fontId="86" fillId="4" borderId="0" xfId="20" applyNumberFormat="1" applyFont="1" applyFill="1" applyBorder="1" applyAlignment="1">
      <alignment horizontal="center" vertical="center"/>
    </xf>
    <xf numFmtId="170" fontId="86" fillId="4" borderId="0" xfId="16" applyNumberFormat="1" applyFont="1" applyFill="1" applyBorder="1" applyAlignment="1">
      <alignment horizontal="center" vertical="center"/>
    </xf>
    <xf numFmtId="0" fontId="86" fillId="4" borderId="70" xfId="20" applyFont="1" applyFill="1" applyBorder="1" applyAlignment="1">
      <alignment vertical="center"/>
    </xf>
    <xf numFmtId="170" fontId="86" fillId="4" borderId="76" xfId="16" applyNumberFormat="1" applyFont="1" applyFill="1" applyBorder="1" applyAlignment="1">
      <alignment horizontal="center" vertical="center"/>
    </xf>
    <xf numFmtId="0" fontId="86" fillId="4" borderId="101" xfId="20" applyFont="1" applyFill="1" applyBorder="1" applyAlignment="1">
      <alignment vertical="center"/>
    </xf>
    <xf numFmtId="0" fontId="86" fillId="4" borderId="46" xfId="20" applyFont="1" applyFill="1" applyBorder="1" applyAlignment="1">
      <alignment horizontal="center" vertical="center"/>
    </xf>
    <xf numFmtId="0" fontId="86" fillId="4" borderId="7" xfId="20" applyFont="1" applyFill="1" applyBorder="1" applyAlignment="1">
      <alignment horizontal="center" vertical="center"/>
    </xf>
    <xf numFmtId="170" fontId="86" fillId="4" borderId="46" xfId="16" applyNumberFormat="1" applyFont="1" applyFill="1" applyBorder="1" applyAlignment="1">
      <alignment horizontal="center" vertical="center"/>
    </xf>
    <xf numFmtId="170" fontId="86" fillId="4" borderId="7" xfId="16" applyNumberFormat="1" applyFont="1" applyFill="1" applyBorder="1" applyAlignment="1">
      <alignment horizontal="center" vertical="center"/>
    </xf>
    <xf numFmtId="0" fontId="15" fillId="0" borderId="7" xfId="63" applyBorder="1" applyAlignment="1">
      <alignment horizontal="center"/>
    </xf>
    <xf numFmtId="0" fontId="15" fillId="0" borderId="7" xfId="63" applyFill="1" applyBorder="1" applyAlignment="1">
      <alignment horizontal="center"/>
    </xf>
    <xf numFmtId="0" fontId="15" fillId="0" borderId="57" xfId="63" applyBorder="1" applyAlignment="1">
      <alignment horizontal="center"/>
    </xf>
    <xf numFmtId="170" fontId="88" fillId="12" borderId="93" xfId="67" applyNumberFormat="1" applyFont="1" applyAlignment="1">
      <alignment vertical="center"/>
    </xf>
    <xf numFmtId="0" fontId="89" fillId="0" borderId="0" xfId="20" applyFont="1" applyAlignment="1">
      <alignment horizontal="center" vertical="center"/>
    </xf>
    <xf numFmtId="4" fontId="90" fillId="0" borderId="0" xfId="63" applyNumberFormat="1" applyFont="1" applyAlignment="1">
      <alignment horizontal="center"/>
    </xf>
    <xf numFmtId="0" fontId="68" fillId="0" borderId="0" xfId="63" applyFont="1" applyAlignment="1">
      <alignment horizontal="center"/>
    </xf>
    <xf numFmtId="0" fontId="91" fillId="0" borderId="0" xfId="20" applyFont="1" applyAlignment="1">
      <alignment horizontal="left" vertical="center"/>
    </xf>
    <xf numFmtId="4" fontId="89" fillId="0" borderId="0" xfId="20" applyNumberFormat="1" applyFont="1" applyAlignment="1">
      <alignment horizontal="center" vertical="center"/>
    </xf>
    <xf numFmtId="0" fontId="89" fillId="0" borderId="0" xfId="20" applyFont="1" applyAlignment="1">
      <alignment horizontal="left" vertical="center"/>
    </xf>
    <xf numFmtId="14" fontId="89" fillId="0" borderId="0" xfId="20" applyNumberFormat="1" applyFont="1" applyAlignment="1">
      <alignment horizontal="left" vertical="center"/>
    </xf>
    <xf numFmtId="0" fontId="15" fillId="0" borderId="46" xfId="63" applyBorder="1" applyAlignment="1">
      <alignment horizontal="center"/>
    </xf>
    <xf numFmtId="170" fontId="88" fillId="12" borderId="106" xfId="67" applyNumberFormat="1" applyFont="1" applyBorder="1" applyAlignment="1">
      <alignment vertical="center"/>
    </xf>
    <xf numFmtId="0" fontId="15" fillId="0" borderId="70" xfId="63" applyBorder="1" applyAlignment="1">
      <alignment horizontal="center"/>
    </xf>
    <xf numFmtId="0" fontId="15" fillId="0" borderId="101" xfId="63" applyBorder="1" applyAlignment="1">
      <alignment horizontal="center"/>
    </xf>
    <xf numFmtId="0" fontId="87" fillId="6" borderId="46" xfId="63" applyFont="1" applyFill="1" applyBorder="1" applyAlignment="1">
      <alignment horizontal="center" vertical="center" wrapText="1"/>
    </xf>
    <xf numFmtId="0" fontId="86" fillId="4" borderId="101" xfId="20" applyFont="1" applyFill="1" applyBorder="1" applyAlignment="1">
      <alignment horizontal="center" vertical="center"/>
    </xf>
    <xf numFmtId="49" fontId="86" fillId="4" borderId="46" xfId="20" applyNumberFormat="1" applyFont="1" applyFill="1" applyBorder="1" applyAlignment="1">
      <alignment horizontal="center" vertical="center"/>
    </xf>
    <xf numFmtId="49" fontId="86" fillId="4" borderId="57" xfId="20" applyNumberFormat="1" applyFont="1" applyFill="1" applyBorder="1" applyAlignment="1">
      <alignment horizontal="center" vertical="center"/>
    </xf>
    <xf numFmtId="0" fontId="87" fillId="6" borderId="56" xfId="63" applyFont="1" applyFill="1" applyBorder="1" applyAlignment="1">
      <alignment horizontal="center" vertical="center" wrapText="1"/>
    </xf>
    <xf numFmtId="172" fontId="88" fillId="12" borderId="106" xfId="67" applyNumberFormat="1" applyFont="1" applyBorder="1" applyAlignment="1">
      <alignment horizontal="center" vertical="center"/>
    </xf>
    <xf numFmtId="0" fontId="86" fillId="4" borderId="101" xfId="20" applyFont="1" applyFill="1" applyBorder="1" applyAlignment="1">
      <alignment horizontal="left" vertical="center"/>
    </xf>
    <xf numFmtId="0" fontId="64" fillId="0" borderId="0" xfId="0" applyFont="1" applyBorder="1" applyAlignment="1">
      <alignment vertical="center"/>
    </xf>
    <xf numFmtId="0" fontId="92" fillId="0" borderId="0" xfId="0" applyFont="1" applyAlignment="1">
      <alignment vertical="center"/>
    </xf>
    <xf numFmtId="0" fontId="93" fillId="0" borderId="0" xfId="0" applyFont="1" applyBorder="1" applyAlignment="1">
      <alignment vertical="center"/>
    </xf>
    <xf numFmtId="39" fontId="94" fillId="0" borderId="0" xfId="0" applyNumberFormat="1" applyFont="1" applyFill="1" applyBorder="1" applyAlignment="1" applyProtection="1">
      <alignment vertical="center"/>
    </xf>
    <xf numFmtId="39" fontId="85" fillId="0" borderId="0" xfId="0" applyNumberFormat="1" applyFont="1" applyFill="1" applyBorder="1" applyAlignment="1" applyProtection="1">
      <alignment vertical="center"/>
    </xf>
    <xf numFmtId="0" fontId="64" fillId="0" borderId="0" xfId="0" applyFont="1" applyFill="1" applyBorder="1" applyAlignment="1">
      <alignment vertical="center"/>
    </xf>
    <xf numFmtId="0" fontId="93" fillId="0" borderId="0" xfId="0" applyFont="1" applyFill="1" applyBorder="1" applyAlignment="1">
      <alignment vertical="center"/>
    </xf>
    <xf numFmtId="39" fontId="95" fillId="0" borderId="0" xfId="0" applyNumberFormat="1" applyFont="1" applyFill="1" applyBorder="1" applyAlignment="1" applyProtection="1">
      <alignment vertical="center"/>
    </xf>
    <xf numFmtId="167" fontId="85" fillId="0" borderId="0" xfId="16" applyFont="1" applyFill="1" applyBorder="1" applyAlignment="1">
      <alignment vertical="center"/>
    </xf>
    <xf numFmtId="170" fontId="85" fillId="0" borderId="0" xfId="16" applyNumberFormat="1" applyFont="1" applyBorder="1" applyAlignment="1">
      <alignment vertical="center"/>
    </xf>
    <xf numFmtId="170" fontId="85" fillId="0" borderId="0" xfId="16" applyNumberFormat="1" applyFont="1" applyBorder="1" applyAlignment="1" applyProtection="1">
      <alignment vertical="center"/>
    </xf>
    <xf numFmtId="167" fontId="85" fillId="0" borderId="0" xfId="16" applyFont="1" applyFill="1" applyBorder="1" applyAlignment="1" applyProtection="1">
      <alignment vertical="center"/>
    </xf>
    <xf numFmtId="170" fontId="85" fillId="0" borderId="0" xfId="16" applyNumberFormat="1" applyFont="1" applyFill="1" applyBorder="1" applyAlignment="1" applyProtection="1">
      <alignment vertical="center"/>
    </xf>
    <xf numFmtId="0" fontId="64" fillId="0" borderId="0" xfId="0" applyFont="1" applyFill="1" applyBorder="1" applyAlignment="1">
      <alignment horizontal="left" vertical="center"/>
    </xf>
    <xf numFmtId="0" fontId="92" fillId="0" borderId="0" xfId="0" applyFont="1" applyFill="1" applyBorder="1" applyAlignment="1">
      <alignment vertical="center"/>
    </xf>
    <xf numFmtId="0" fontId="64" fillId="0" borderId="0" xfId="0" applyFont="1" applyFill="1" applyBorder="1" applyAlignment="1" applyProtection="1">
      <alignment vertical="center"/>
    </xf>
    <xf numFmtId="39" fontId="85" fillId="0" borderId="0" xfId="0" applyNumberFormat="1" applyFont="1" applyBorder="1" applyAlignment="1" applyProtection="1">
      <alignment horizontal="left" vertical="center"/>
    </xf>
    <xf numFmtId="39" fontId="94" fillId="0" borderId="0" xfId="0" applyNumberFormat="1" applyFont="1" applyBorder="1" applyAlignment="1" applyProtection="1">
      <alignment horizontal="left" vertical="center"/>
    </xf>
    <xf numFmtId="0" fontId="93" fillId="0" borderId="17" xfId="0" applyFont="1" applyFill="1" applyBorder="1" applyAlignment="1">
      <alignment vertical="center"/>
    </xf>
    <xf numFmtId="0" fontId="64" fillId="0" borderId="0" xfId="0" applyFont="1" applyAlignment="1">
      <alignment vertical="center"/>
    </xf>
    <xf numFmtId="175" fontId="64" fillId="0" borderId="0" xfId="16" applyNumberFormat="1" applyFont="1" applyBorder="1" applyAlignment="1">
      <alignment horizontal="center" vertical="center"/>
    </xf>
    <xf numFmtId="43" fontId="64" fillId="0" borderId="0" xfId="0" applyNumberFormat="1" applyFont="1" applyBorder="1" applyAlignment="1">
      <alignment horizontal="center" vertical="center"/>
    </xf>
    <xf numFmtId="0" fontId="96" fillId="0" borderId="0" xfId="0" applyFont="1" applyBorder="1" applyAlignment="1">
      <alignment horizontal="center" vertical="center"/>
    </xf>
    <xf numFmtId="168" fontId="93" fillId="0" borderId="12" xfId="16" applyNumberFormat="1" applyFont="1" applyFill="1" applyBorder="1" applyAlignment="1">
      <alignment vertical="center"/>
    </xf>
    <xf numFmtId="43" fontId="96" fillId="0" borderId="0" xfId="0" applyNumberFormat="1" applyFont="1" applyBorder="1" applyAlignment="1">
      <alignment vertical="center"/>
    </xf>
    <xf numFmtId="173" fontId="64" fillId="0" borderId="0" xfId="22" applyNumberFormat="1" applyFont="1" applyBorder="1" applyAlignment="1">
      <alignment vertical="center"/>
    </xf>
    <xf numFmtId="0" fontId="64" fillId="0" borderId="53" xfId="0" applyFont="1" applyBorder="1" applyAlignment="1">
      <alignment vertical="center"/>
    </xf>
    <xf numFmtId="0" fontId="93" fillId="0" borderId="53" xfId="0" applyFont="1" applyBorder="1" applyAlignment="1">
      <alignment vertical="center"/>
    </xf>
    <xf numFmtId="0" fontId="64" fillId="0" borderId="53" xfId="0" applyFont="1" applyFill="1" applyBorder="1" applyAlignment="1">
      <alignment vertical="center"/>
    </xf>
    <xf numFmtId="173" fontId="64" fillId="0" borderId="53" xfId="22" applyNumberFormat="1" applyFont="1" applyFill="1" applyBorder="1" applyAlignment="1">
      <alignment vertical="center"/>
    </xf>
    <xf numFmtId="167" fontId="64" fillId="0" borderId="0" xfId="0" applyNumberFormat="1" applyFont="1" applyFill="1" applyBorder="1" applyAlignment="1">
      <alignment vertical="center"/>
    </xf>
    <xf numFmtId="167" fontId="64" fillId="0" borderId="54" xfId="16" applyFont="1" applyFill="1" applyBorder="1" applyAlignment="1">
      <alignment vertical="center"/>
    </xf>
    <xf numFmtId="43" fontId="93" fillId="0" borderId="0" xfId="16" applyNumberFormat="1" applyFont="1" applyFill="1" applyBorder="1" applyAlignment="1">
      <alignment vertical="center"/>
    </xf>
    <xf numFmtId="173" fontId="64" fillId="0" borderId="0" xfId="22" applyNumberFormat="1" applyFont="1" applyFill="1" applyBorder="1" applyAlignment="1">
      <alignment horizontal="center" vertical="center"/>
    </xf>
    <xf numFmtId="167" fontId="64" fillId="0" borderId="55" xfId="16" applyFont="1" applyFill="1" applyBorder="1" applyAlignment="1">
      <alignment vertical="center"/>
    </xf>
    <xf numFmtId="168" fontId="92" fillId="0" borderId="0" xfId="0" applyNumberFormat="1" applyFont="1" applyAlignment="1">
      <alignment vertical="center"/>
    </xf>
    <xf numFmtId="0" fontId="93" fillId="0" borderId="0" xfId="0" applyFont="1" applyFill="1" applyBorder="1" applyAlignment="1">
      <alignment horizontal="center" vertical="center"/>
    </xf>
    <xf numFmtId="173" fontId="64" fillId="0" borderId="0" xfId="22" applyNumberFormat="1" applyFont="1" applyFill="1" applyBorder="1" applyAlignment="1">
      <alignment vertical="center"/>
    </xf>
    <xf numFmtId="0" fontId="93" fillId="0" borderId="53" xfId="0" applyFont="1" applyFill="1" applyBorder="1" applyAlignment="1">
      <alignment vertical="center"/>
    </xf>
    <xf numFmtId="168" fontId="64" fillId="0" borderId="0" xfId="16" applyNumberFormat="1" applyFont="1" applyFill="1" applyBorder="1" applyAlignment="1">
      <alignment vertical="center"/>
    </xf>
    <xf numFmtId="2" fontId="64" fillId="0" borderId="0" xfId="0" applyNumberFormat="1" applyFont="1" applyFill="1" applyBorder="1" applyAlignment="1">
      <alignment vertical="center"/>
    </xf>
    <xf numFmtId="10" fontId="64" fillId="0" borderId="0" xfId="22" applyNumberFormat="1" applyFont="1" applyFill="1" applyBorder="1" applyAlignment="1">
      <alignment horizontal="center" vertical="center"/>
    </xf>
    <xf numFmtId="10" fontId="64" fillId="0" borderId="0" xfId="22" applyNumberFormat="1" applyFont="1" applyFill="1" applyBorder="1" applyAlignment="1">
      <alignment vertical="center"/>
    </xf>
    <xf numFmtId="0" fontId="97" fillId="0" borderId="0" xfId="0" applyFont="1" applyAlignment="1">
      <alignment vertical="center"/>
    </xf>
    <xf numFmtId="0" fontId="64" fillId="0" borderId="17" xfId="0" applyFont="1" applyBorder="1" applyAlignment="1">
      <alignment vertical="center"/>
    </xf>
    <xf numFmtId="0" fontId="64" fillId="0" borderId="17" xfId="0" applyFont="1" applyFill="1" applyBorder="1" applyAlignment="1">
      <alignment vertical="center"/>
    </xf>
    <xf numFmtId="43" fontId="64" fillId="0" borderId="0" xfId="0" applyNumberFormat="1" applyFont="1" applyFill="1" applyBorder="1" applyAlignment="1">
      <alignment vertical="center"/>
    </xf>
    <xf numFmtId="167" fontId="93" fillId="0" borderId="71" xfId="16" applyNumberFormat="1" applyFont="1" applyFill="1" applyBorder="1" applyAlignment="1">
      <alignment vertical="center"/>
    </xf>
    <xf numFmtId="0" fontId="64" fillId="0" borderId="11" xfId="0" applyFont="1" applyBorder="1" applyAlignment="1">
      <alignment vertical="center"/>
    </xf>
    <xf numFmtId="0" fontId="64" fillId="0" borderId="11" xfId="0" applyFont="1" applyFill="1" applyBorder="1" applyAlignment="1">
      <alignment vertical="center"/>
    </xf>
    <xf numFmtId="168" fontId="64" fillId="0" borderId="0" xfId="0" applyNumberFormat="1" applyFont="1" applyBorder="1" applyAlignment="1">
      <alignment vertical="center"/>
    </xf>
    <xf numFmtId="9" fontId="64" fillId="0" borderId="0" xfId="0" applyNumberFormat="1" applyFont="1" applyFill="1" applyBorder="1" applyAlignment="1">
      <alignment vertical="center"/>
    </xf>
    <xf numFmtId="173" fontId="64" fillId="0" borderId="0" xfId="22" applyNumberFormat="1" applyFont="1" applyFill="1" applyBorder="1" applyAlignment="1">
      <alignment horizontal="right" vertical="center"/>
    </xf>
    <xf numFmtId="168" fontId="93" fillId="0" borderId="71" xfId="16" applyNumberFormat="1" applyFont="1" applyFill="1" applyBorder="1" applyAlignment="1">
      <alignment vertical="center"/>
    </xf>
    <xf numFmtId="0" fontId="92" fillId="0" borderId="0" xfId="0" applyFont="1" applyFill="1" applyAlignment="1">
      <alignment vertical="center"/>
    </xf>
    <xf numFmtId="167" fontId="85" fillId="13" borderId="0" xfId="16" applyFont="1" applyFill="1" applyBorder="1" applyAlignment="1">
      <alignment vertical="center"/>
    </xf>
    <xf numFmtId="167" fontId="85" fillId="13" borderId="0" xfId="16" applyFont="1" applyFill="1" applyBorder="1" applyAlignment="1" applyProtection="1">
      <alignment vertical="center"/>
    </xf>
    <xf numFmtId="167" fontId="85" fillId="13" borderId="11" xfId="16" applyFont="1" applyFill="1" applyBorder="1" applyAlignment="1">
      <alignment vertical="center"/>
    </xf>
    <xf numFmtId="167" fontId="85" fillId="13" borderId="12" xfId="16" applyFont="1" applyFill="1" applyBorder="1" applyAlignment="1">
      <alignment vertical="center"/>
    </xf>
    <xf numFmtId="0" fontId="93" fillId="13" borderId="0" xfId="0" applyFont="1" applyFill="1" applyBorder="1" applyAlignment="1">
      <alignment vertical="center"/>
    </xf>
    <xf numFmtId="0" fontId="64" fillId="13" borderId="50" xfId="0" applyFont="1" applyFill="1" applyBorder="1" applyAlignment="1">
      <alignment vertical="center"/>
    </xf>
    <xf numFmtId="0" fontId="64" fillId="13" borderId="0" xfId="0" applyFont="1" applyFill="1" applyBorder="1" applyAlignment="1">
      <alignment vertical="center"/>
    </xf>
    <xf numFmtId="0" fontId="92" fillId="13" borderId="0" xfId="0" applyFont="1" applyFill="1" applyAlignment="1">
      <alignment vertical="center"/>
    </xf>
    <xf numFmtId="0" fontId="93" fillId="13" borderId="50" xfId="0" applyFont="1" applyFill="1" applyBorder="1" applyAlignment="1">
      <alignment vertical="center"/>
    </xf>
    <xf numFmtId="0" fontId="93" fillId="13" borderId="0" xfId="0" applyFont="1" applyFill="1" applyBorder="1" applyAlignment="1">
      <alignment horizontal="left" vertical="center"/>
    </xf>
    <xf numFmtId="0" fontId="64" fillId="13" borderId="50" xfId="0" applyFont="1" applyFill="1" applyBorder="1" applyAlignment="1">
      <alignment horizontal="center" vertical="center"/>
    </xf>
    <xf numFmtId="167" fontId="85" fillId="13" borderId="0" xfId="16" applyFont="1" applyFill="1" applyBorder="1" applyProtection="1"/>
    <xf numFmtId="167" fontId="85" fillId="13" borderId="92" xfId="16" applyFont="1" applyFill="1" applyBorder="1" applyProtection="1"/>
    <xf numFmtId="167" fontId="85" fillId="13" borderId="12" xfId="16" applyFont="1" applyFill="1" applyBorder="1" applyAlignment="1" applyProtection="1">
      <alignment vertical="center"/>
    </xf>
    <xf numFmtId="0" fontId="64" fillId="0" borderId="0" xfId="0" applyFont="1" applyBorder="1" applyAlignment="1">
      <alignment horizontal="left" indent="1"/>
    </xf>
    <xf numFmtId="0" fontId="64" fillId="0" borderId="0" xfId="0" applyFont="1" applyBorder="1"/>
    <xf numFmtId="0" fontId="93" fillId="6" borderId="9" xfId="0" applyFont="1" applyFill="1" applyBorder="1" applyAlignment="1">
      <alignment vertical="center"/>
    </xf>
    <xf numFmtId="170" fontId="85" fillId="6" borderId="9" xfId="16" applyNumberFormat="1" applyFont="1" applyFill="1" applyBorder="1" applyAlignment="1" applyProtection="1">
      <alignment vertical="center"/>
    </xf>
    <xf numFmtId="0" fontId="98" fillId="6" borderId="9" xfId="0" applyFont="1" applyFill="1" applyBorder="1" applyAlignment="1">
      <alignment vertical="center"/>
    </xf>
    <xf numFmtId="170" fontId="99" fillId="6" borderId="9" xfId="16" applyNumberFormat="1" applyFont="1" applyFill="1" applyBorder="1" applyAlignment="1" applyProtection="1">
      <alignment vertical="center"/>
    </xf>
    <xf numFmtId="0" fontId="64" fillId="0" borderId="0" xfId="0" applyFont="1" applyBorder="1" applyAlignment="1">
      <alignment horizontal="left" indent="2"/>
    </xf>
    <xf numFmtId="0" fontId="93" fillId="11" borderId="52" xfId="0" applyFont="1" applyFill="1" applyBorder="1" applyAlignment="1">
      <alignment horizontal="center" vertical="center"/>
    </xf>
    <xf numFmtId="167" fontId="64" fillId="13" borderId="0" xfId="16" applyFont="1" applyFill="1" applyBorder="1" applyAlignment="1"/>
    <xf numFmtId="167" fontId="64" fillId="0" borderId="0" xfId="16" applyFont="1" applyFill="1" applyBorder="1" applyAlignment="1">
      <alignment vertical="center"/>
    </xf>
    <xf numFmtId="0" fontId="96" fillId="0" borderId="0" xfId="0" applyFont="1" applyBorder="1" applyAlignment="1">
      <alignment vertical="center"/>
    </xf>
    <xf numFmtId="173" fontId="96" fillId="0" borderId="2" xfId="22" applyNumberFormat="1" applyFont="1" applyBorder="1" applyAlignment="1">
      <alignment vertical="center"/>
    </xf>
    <xf numFmtId="173" fontId="96" fillId="0" borderId="0" xfId="22" applyNumberFormat="1" applyFont="1" applyBorder="1" applyAlignment="1">
      <alignment vertical="center"/>
    </xf>
    <xf numFmtId="167" fontId="64" fillId="13" borderId="100" xfId="16" applyFont="1" applyFill="1" applyBorder="1" applyAlignment="1">
      <alignment vertical="center"/>
    </xf>
    <xf numFmtId="167" fontId="64" fillId="11" borderId="100" xfId="0" applyNumberFormat="1" applyFont="1" applyFill="1" applyBorder="1" applyAlignment="1">
      <alignment vertical="center"/>
    </xf>
    <xf numFmtId="175" fontId="64" fillId="0" borderId="0" xfId="16" applyNumberFormat="1" applyFont="1" applyBorder="1" applyAlignment="1">
      <alignment horizontal="center"/>
    </xf>
    <xf numFmtId="0" fontId="64" fillId="0" borderId="0" xfId="0" applyFont="1" applyBorder="1" applyAlignment="1">
      <alignment horizontal="center"/>
    </xf>
    <xf numFmtId="0" fontId="64" fillId="13" borderId="52" xfId="0" applyFont="1" applyFill="1" applyBorder="1"/>
    <xf numFmtId="0" fontId="64" fillId="13" borderId="52" xfId="0" applyFont="1" applyFill="1" applyBorder="1" applyAlignment="1">
      <alignment vertical="center"/>
    </xf>
    <xf numFmtId="175" fontId="64" fillId="13" borderId="52" xfId="16" applyNumberFormat="1" applyFont="1" applyFill="1" applyBorder="1" applyAlignment="1">
      <alignment horizontal="center" vertical="center"/>
    </xf>
    <xf numFmtId="43" fontId="64" fillId="13" borderId="52" xfId="0" applyNumberFormat="1" applyFont="1" applyFill="1" applyBorder="1" applyAlignment="1">
      <alignment vertical="center"/>
    </xf>
    <xf numFmtId="0" fontId="64" fillId="13" borderId="52" xfId="0" applyFont="1" applyFill="1" applyBorder="1" applyAlignment="1">
      <alignment horizontal="left"/>
    </xf>
    <xf numFmtId="175" fontId="93" fillId="11" borderId="52" xfId="0" applyNumberFormat="1" applyFont="1" applyFill="1" applyBorder="1" applyAlignment="1">
      <alignment horizontal="center" vertical="center"/>
    </xf>
    <xf numFmtId="0" fontId="86" fillId="4" borderId="21" xfId="20" applyFont="1" applyFill="1" applyBorder="1" applyAlignment="1">
      <alignment horizontal="right" vertical="center"/>
    </xf>
    <xf numFmtId="170" fontId="88" fillId="12" borderId="107" xfId="67" applyNumberFormat="1" applyFont="1" applyBorder="1" applyAlignment="1">
      <alignment vertical="center"/>
    </xf>
    <xf numFmtId="170" fontId="88" fillId="12" borderId="105" xfId="67" applyNumberFormat="1" applyFont="1" applyBorder="1" applyAlignment="1">
      <alignment vertical="center"/>
    </xf>
    <xf numFmtId="170" fontId="86" fillId="4" borderId="101" xfId="16" applyNumberFormat="1" applyFont="1" applyFill="1" applyBorder="1" applyAlignment="1">
      <alignment horizontal="center" vertical="center"/>
    </xf>
    <xf numFmtId="170" fontId="88" fillId="12" borderId="37" xfId="67" applyNumberFormat="1" applyFont="1" applyBorder="1" applyAlignment="1">
      <alignment vertical="center"/>
    </xf>
    <xf numFmtId="170" fontId="88" fillId="12" borderId="52" xfId="67" applyNumberFormat="1" applyFont="1" applyBorder="1" applyAlignment="1">
      <alignment vertical="center"/>
    </xf>
    <xf numFmtId="170" fontId="88" fillId="12" borderId="96" xfId="67" applyNumberFormat="1" applyFont="1" applyBorder="1" applyAlignment="1">
      <alignment horizontal="center" vertical="center"/>
    </xf>
    <xf numFmtId="170" fontId="88" fillId="12" borderId="102" xfId="67" applyNumberFormat="1" applyFont="1" applyBorder="1" applyAlignment="1">
      <alignment vertical="center"/>
    </xf>
    <xf numFmtId="170" fontId="88" fillId="12" borderId="103" xfId="67" applyNumberFormat="1" applyFont="1" applyBorder="1" applyAlignment="1">
      <alignment vertical="center"/>
    </xf>
    <xf numFmtId="49" fontId="86" fillId="4" borderId="7" xfId="20" applyNumberFormat="1" applyFont="1" applyFill="1" applyBorder="1" applyAlignment="1">
      <alignment horizontal="center" vertical="center"/>
    </xf>
    <xf numFmtId="167" fontId="88" fillId="12" borderId="106" xfId="67" applyNumberFormat="1" applyFont="1" applyBorder="1" applyAlignment="1">
      <alignment horizontal="center" vertical="center"/>
    </xf>
    <xf numFmtId="167" fontId="86" fillId="4" borderId="7" xfId="16" applyNumberFormat="1" applyFont="1" applyFill="1" applyBorder="1" applyAlignment="1">
      <alignment horizontal="center" vertical="center"/>
    </xf>
    <xf numFmtId="167" fontId="86" fillId="4" borderId="46" xfId="16" applyNumberFormat="1" applyFont="1" applyFill="1" applyBorder="1" applyAlignment="1">
      <alignment horizontal="center" vertical="center"/>
    </xf>
    <xf numFmtId="172" fontId="86" fillId="4" borderId="0" xfId="20" applyNumberFormat="1" applyFont="1" applyFill="1" applyBorder="1" applyAlignment="1">
      <alignment horizontal="center" vertical="center"/>
    </xf>
    <xf numFmtId="172" fontId="86" fillId="4" borderId="76" xfId="20" applyNumberFormat="1" applyFont="1" applyFill="1" applyBorder="1" applyAlignment="1">
      <alignment horizontal="center" vertical="center"/>
    </xf>
    <xf numFmtId="0" fontId="87" fillId="6" borderId="22" xfId="63" applyFont="1" applyFill="1" applyBorder="1" applyAlignment="1">
      <alignment horizontal="center" vertical="center" wrapText="1"/>
    </xf>
    <xf numFmtId="9" fontId="86" fillId="4" borderId="7" xfId="22" applyFont="1" applyFill="1" applyBorder="1" applyAlignment="1">
      <alignment horizontal="center" vertical="center"/>
    </xf>
    <xf numFmtId="9" fontId="86" fillId="4" borderId="46" xfId="22" applyFont="1" applyFill="1" applyBorder="1" applyAlignment="1">
      <alignment horizontal="center" vertical="center"/>
    </xf>
    <xf numFmtId="172" fontId="86" fillId="13" borderId="19" xfId="16" applyNumberFormat="1" applyFont="1" applyFill="1" applyBorder="1" applyAlignment="1">
      <alignment horizontal="center" vertical="center"/>
    </xf>
    <xf numFmtId="167" fontId="86" fillId="13" borderId="19" xfId="16" applyNumberFormat="1" applyFont="1" applyFill="1" applyBorder="1" applyAlignment="1">
      <alignment horizontal="center" vertical="center"/>
    </xf>
    <xf numFmtId="9" fontId="86" fillId="13" borderId="19" xfId="22" applyFont="1" applyFill="1" applyBorder="1" applyAlignment="1">
      <alignment horizontal="center" vertical="center"/>
    </xf>
    <xf numFmtId="170" fontId="86" fillId="13" borderId="19" xfId="16" applyNumberFormat="1" applyFont="1" applyFill="1" applyBorder="1" applyAlignment="1">
      <alignment horizontal="center" vertical="center"/>
    </xf>
    <xf numFmtId="172" fontId="88" fillId="11" borderId="109" xfId="67" applyNumberFormat="1" applyFont="1" applyFill="1" applyBorder="1" applyAlignment="1">
      <alignment horizontal="center" vertical="center"/>
    </xf>
    <xf numFmtId="167" fontId="88" fillId="11" borderId="109" xfId="67" applyNumberFormat="1" applyFont="1" applyFill="1" applyBorder="1" applyAlignment="1">
      <alignment horizontal="center" vertical="center"/>
    </xf>
    <xf numFmtId="9" fontId="88" fillId="11" borderId="109" xfId="22" applyFont="1" applyFill="1" applyBorder="1" applyAlignment="1">
      <alignment horizontal="center" vertical="center"/>
    </xf>
    <xf numFmtId="43" fontId="64" fillId="0" borderId="0" xfId="0" applyNumberFormat="1" applyFont="1" applyBorder="1" applyAlignment="1">
      <alignment vertical="center"/>
    </xf>
    <xf numFmtId="183" fontId="93" fillId="11" borderId="52" xfId="0" applyNumberFormat="1" applyFont="1" applyFill="1" applyBorder="1" applyAlignment="1">
      <alignment horizontal="right" vertical="center"/>
    </xf>
    <xf numFmtId="9" fontId="64" fillId="0" borderId="0" xfId="0" applyNumberFormat="1" applyFont="1" applyFill="1" applyBorder="1" applyAlignment="1">
      <alignment horizontal="left" vertical="center"/>
    </xf>
    <xf numFmtId="9" fontId="64" fillId="0" borderId="0" xfId="22" applyFont="1" applyBorder="1" applyAlignment="1">
      <alignment horizontal="left" vertical="center"/>
    </xf>
    <xf numFmtId="9" fontId="64" fillId="0" borderId="0" xfId="22" applyFont="1" applyFill="1" applyBorder="1" applyAlignment="1">
      <alignment horizontal="left" vertical="center"/>
    </xf>
    <xf numFmtId="4" fontId="44" fillId="11" borderId="16" xfId="43" applyNumberFormat="1" applyFont="1" applyFill="1" applyBorder="1"/>
    <xf numFmtId="0" fontId="10" fillId="0" borderId="2" xfId="43" applyFill="1" applyBorder="1" applyAlignment="1">
      <alignment horizontal="center"/>
    </xf>
    <xf numFmtId="0" fontId="6" fillId="0" borderId="13" xfId="43" applyFont="1" applyBorder="1"/>
    <xf numFmtId="0" fontId="6" fillId="0" borderId="13" xfId="43" applyFont="1" applyBorder="1" applyAlignment="1">
      <alignment horizontal="center"/>
    </xf>
    <xf numFmtId="2" fontId="10" fillId="0" borderId="13" xfId="43" applyNumberFormat="1" applyBorder="1" applyAlignment="1">
      <alignment horizontal="center"/>
    </xf>
    <xf numFmtId="4" fontId="10" fillId="0" borderId="13" xfId="43" applyNumberFormat="1" applyBorder="1" applyAlignment="1">
      <alignment horizontal="center"/>
    </xf>
    <xf numFmtId="4" fontId="10" fillId="0" borderId="13" xfId="43" applyNumberFormat="1" applyBorder="1"/>
    <xf numFmtId="4" fontId="10" fillId="0" borderId="18" xfId="43" applyNumberFormat="1" applyBorder="1"/>
    <xf numFmtId="168" fontId="93" fillId="0" borderId="71" xfId="0" applyNumberFormat="1" applyFont="1" applyFill="1" applyBorder="1" applyAlignment="1">
      <alignment vertical="center"/>
    </xf>
    <xf numFmtId="43" fontId="64" fillId="0" borderId="7" xfId="16" applyNumberFormat="1" applyFont="1" applyFill="1" applyBorder="1" applyAlignment="1">
      <alignment vertical="center"/>
    </xf>
    <xf numFmtId="43" fontId="64" fillId="0" borderId="57" xfId="16" applyNumberFormat="1" applyFont="1" applyFill="1" applyBorder="1" applyAlignment="1">
      <alignment vertical="center"/>
    </xf>
    <xf numFmtId="167" fontId="19" fillId="0" borderId="46" xfId="16" applyFont="1" applyFill="1" applyBorder="1" applyProtection="1"/>
    <xf numFmtId="167" fontId="19" fillId="0" borderId="46" xfId="16" applyNumberFormat="1" applyFont="1" applyFill="1" applyBorder="1" applyProtection="1"/>
    <xf numFmtId="169" fontId="19" fillId="14" borderId="57" xfId="16" applyNumberFormat="1" applyFont="1" applyFill="1" applyBorder="1" applyAlignment="1" applyProtection="1">
      <alignment horizontal="right"/>
    </xf>
    <xf numFmtId="169" fontId="19" fillId="14" borderId="37" xfId="16" applyNumberFormat="1" applyFont="1" applyFill="1" applyBorder="1" applyAlignment="1" applyProtection="1">
      <alignment horizontal="right"/>
    </xf>
    <xf numFmtId="169" fontId="19" fillId="14" borderId="46" xfId="16" applyNumberFormat="1" applyFont="1" applyFill="1" applyBorder="1" applyAlignment="1" applyProtection="1">
      <alignment horizontal="right"/>
    </xf>
    <xf numFmtId="169" fontId="15" fillId="0" borderId="38" xfId="16" applyNumberFormat="1" applyFont="1" applyFill="1" applyBorder="1" applyProtection="1"/>
    <xf numFmtId="169" fontId="15" fillId="0" borderId="45" xfId="16" applyNumberFormat="1" applyFont="1" applyFill="1" applyBorder="1" applyAlignment="1" applyProtection="1">
      <alignment horizontal="left"/>
    </xf>
    <xf numFmtId="169" fontId="15" fillId="0" borderId="0" xfId="16" applyNumberFormat="1" applyFont="1" applyFill="1" applyBorder="1" applyProtection="1"/>
    <xf numFmtId="169" fontId="43" fillId="2" borderId="33" xfId="16" applyNumberFormat="1" applyFont="1" applyFill="1" applyBorder="1" applyProtection="1"/>
    <xf numFmtId="43" fontId="93" fillId="0" borderId="37" xfId="16" applyNumberFormat="1" applyFont="1" applyFill="1" applyBorder="1" applyAlignment="1">
      <alignment vertical="center"/>
    </xf>
    <xf numFmtId="4" fontId="10" fillId="14" borderId="20" xfId="43" applyNumberFormat="1" applyFill="1" applyBorder="1"/>
    <xf numFmtId="4" fontId="44" fillId="14" borderId="71" xfId="43" applyNumberFormat="1" applyFont="1" applyFill="1" applyBorder="1"/>
    <xf numFmtId="0" fontId="84" fillId="0" borderId="0" xfId="60" applyFont="1" applyBorder="1" applyAlignment="1">
      <alignment horizontal="right"/>
    </xf>
    <xf numFmtId="167" fontId="100" fillId="0" borderId="0" xfId="60" applyNumberFormat="1" applyFont="1" applyBorder="1"/>
    <xf numFmtId="0" fontId="100" fillId="0" borderId="0" xfId="60" applyFont="1" applyBorder="1"/>
    <xf numFmtId="0" fontId="84" fillId="0" borderId="0" xfId="60" applyFont="1" applyBorder="1"/>
    <xf numFmtId="170" fontId="30" fillId="14" borderId="37" xfId="16" applyNumberFormat="1" applyFont="1" applyFill="1" applyBorder="1" applyProtection="1"/>
    <xf numFmtId="165" fontId="15" fillId="14" borderId="0" xfId="0" applyNumberFormat="1" applyFont="1" applyFill="1"/>
    <xf numFmtId="43" fontId="19" fillId="14" borderId="0" xfId="0" applyNumberFormat="1" applyFont="1" applyFill="1"/>
    <xf numFmtId="4" fontId="19" fillId="14" borderId="37" xfId="0" applyNumberFormat="1" applyFont="1" applyFill="1" applyBorder="1"/>
    <xf numFmtId="170" fontId="19" fillId="14" borderId="0" xfId="0" applyNumberFormat="1" applyFont="1" applyFill="1"/>
    <xf numFmtId="169" fontId="19" fillId="14" borderId="0" xfId="0" applyNumberFormat="1" applyFont="1" applyFill="1"/>
    <xf numFmtId="4" fontId="19" fillId="14" borderId="39" xfId="0" applyNumberFormat="1" applyFont="1" applyFill="1" applyBorder="1"/>
    <xf numFmtId="4" fontId="19" fillId="14" borderId="57" xfId="0" applyNumberFormat="1" applyFont="1" applyFill="1" applyBorder="1"/>
    <xf numFmtId="2" fontId="19" fillId="14" borderId="0" xfId="0" applyNumberFormat="1" applyFont="1" applyFill="1"/>
    <xf numFmtId="4" fontId="15" fillId="14" borderId="39" xfId="0" applyNumberFormat="1" applyFont="1" applyFill="1" applyBorder="1"/>
    <xf numFmtId="4" fontId="19" fillId="14" borderId="46" xfId="0" applyNumberFormat="1" applyFont="1" applyFill="1" applyBorder="1"/>
    <xf numFmtId="0" fontId="19" fillId="14" borderId="0" xfId="0" applyFont="1" applyFill="1"/>
    <xf numFmtId="39" fontId="38" fillId="3" borderId="4" xfId="0" applyNumberFormat="1" applyFont="1" applyFill="1" applyBorder="1" applyAlignment="1" applyProtection="1">
      <alignment horizontal="center" vertical="center" wrapText="1"/>
    </xf>
    <xf numFmtId="39" fontId="38" fillId="3" borderId="4" xfId="0" applyNumberFormat="1" applyFont="1" applyFill="1" applyBorder="1" applyAlignment="1" applyProtection="1">
      <alignment horizontal="center" vertical="center"/>
    </xf>
    <xf numFmtId="4" fontId="19" fillId="0" borderId="58" xfId="0" applyNumberFormat="1" applyFont="1" applyFill="1" applyBorder="1" applyAlignment="1">
      <alignment horizontal="right"/>
    </xf>
    <xf numFmtId="4" fontId="19" fillId="0" borderId="99" xfId="0" applyNumberFormat="1" applyFont="1" applyFill="1" applyBorder="1" applyAlignment="1">
      <alignment horizontal="right"/>
    </xf>
    <xf numFmtId="167" fontId="32" fillId="0" borderId="100" xfId="16" applyNumberFormat="1" applyFont="1" applyFill="1" applyBorder="1"/>
    <xf numFmtId="170" fontId="32" fillId="0" borderId="97" xfId="16" applyNumberFormat="1" applyFont="1" applyFill="1" applyBorder="1"/>
    <xf numFmtId="170" fontId="32" fillId="0" borderId="92" xfId="16" applyNumberFormat="1" applyFont="1" applyFill="1" applyBorder="1"/>
    <xf numFmtId="167" fontId="32" fillId="0" borderId="94" xfId="16" applyNumberFormat="1" applyFont="1" applyFill="1" applyBorder="1"/>
    <xf numFmtId="3" fontId="30" fillId="0" borderId="16" xfId="16" applyNumberFormat="1" applyFont="1" applyFill="1" applyBorder="1"/>
    <xf numFmtId="3" fontId="15" fillId="0" borderId="13" xfId="16" applyNumberFormat="1" applyFont="1" applyFill="1" applyBorder="1"/>
    <xf numFmtId="3" fontId="15" fillId="0" borderId="17" xfId="16" applyNumberFormat="1" applyFont="1" applyFill="1" applyBorder="1"/>
    <xf numFmtId="3" fontId="30" fillId="0" borderId="20" xfId="16" applyNumberFormat="1" applyFont="1" applyFill="1" applyBorder="1"/>
    <xf numFmtId="3" fontId="15" fillId="0" borderId="97" xfId="16" applyNumberFormat="1" applyFont="1" applyFill="1" applyBorder="1"/>
    <xf numFmtId="3" fontId="15" fillId="0" borderId="92" xfId="16" applyNumberFormat="1" applyFont="1" applyFill="1" applyBorder="1"/>
    <xf numFmtId="3" fontId="30" fillId="0" borderId="94" xfId="16" applyNumberFormat="1" applyFont="1" applyFill="1" applyBorder="1"/>
    <xf numFmtId="172" fontId="32" fillId="0" borderId="9" xfId="16" applyNumberFormat="1" applyFont="1" applyFill="1" applyBorder="1" applyProtection="1"/>
    <xf numFmtId="172" fontId="32" fillId="0" borderId="100" xfId="16" applyNumberFormat="1" applyFont="1" applyFill="1" applyBorder="1" applyProtection="1"/>
    <xf numFmtId="170" fontId="0" fillId="0" borderId="30" xfId="0" applyNumberFormat="1" applyBorder="1"/>
    <xf numFmtId="172" fontId="0" fillId="0" borderId="9" xfId="0" applyNumberFormat="1" applyBorder="1"/>
    <xf numFmtId="3" fontId="26" fillId="0" borderId="0" xfId="0" applyNumberFormat="1" applyFont="1" applyBorder="1"/>
    <xf numFmtId="39" fontId="38" fillId="3" borderId="4" xfId="0" applyNumberFormat="1" applyFont="1" applyFill="1" applyBorder="1" applyAlignment="1" applyProtection="1">
      <alignment horizontal="right"/>
    </xf>
    <xf numFmtId="39" fontId="30" fillId="0" borderId="13" xfId="0" applyNumberFormat="1" applyFont="1" applyFill="1" applyBorder="1" applyAlignment="1" applyProtection="1">
      <alignment horizontal="right"/>
    </xf>
    <xf numFmtId="39" fontId="30" fillId="0" borderId="97" xfId="0" applyNumberFormat="1" applyFont="1" applyFill="1" applyBorder="1" applyAlignment="1" applyProtection="1">
      <alignment horizontal="right"/>
    </xf>
    <xf numFmtId="39" fontId="30" fillId="0" borderId="0" xfId="0" applyNumberFormat="1" applyFont="1" applyFill="1" applyBorder="1" applyAlignment="1" applyProtection="1">
      <alignment horizontal="right"/>
    </xf>
    <xf numFmtId="0" fontId="0" fillId="0" borderId="0" xfId="0" applyAlignment="1">
      <alignment horizontal="right"/>
    </xf>
    <xf numFmtId="4" fontId="16" fillId="0" borderId="0" xfId="0" applyNumberFormat="1" applyFont="1"/>
    <xf numFmtId="0" fontId="15" fillId="0" borderId="13" xfId="0" applyFont="1" applyBorder="1" applyAlignment="1">
      <alignment horizontal="right"/>
    </xf>
    <xf numFmtId="170" fontId="30" fillId="0" borderId="20" xfId="16" applyNumberFormat="1" applyFont="1" applyFill="1" applyBorder="1" applyAlignment="1">
      <alignment horizontal="left"/>
    </xf>
    <xf numFmtId="172" fontId="30" fillId="0" borderId="17" xfId="16" applyNumberFormat="1" applyFont="1" applyFill="1" applyBorder="1"/>
    <xf numFmtId="170" fontId="30" fillId="0" borderId="94" xfId="16" applyNumberFormat="1" applyFont="1" applyFill="1" applyBorder="1" applyAlignment="1">
      <alignment horizontal="left"/>
    </xf>
    <xf numFmtId="0" fontId="15" fillId="0" borderId="4" xfId="0" applyFont="1" applyBorder="1" applyAlignment="1">
      <alignment horizontal="left"/>
    </xf>
    <xf numFmtId="172" fontId="32" fillId="0" borderId="100" xfId="16" applyNumberFormat="1" applyFont="1" applyFill="1" applyBorder="1"/>
    <xf numFmtId="170" fontId="0" fillId="0" borderId="34" xfId="0" applyNumberFormat="1" applyFill="1" applyBorder="1"/>
    <xf numFmtId="172" fontId="0" fillId="0" borderId="0" xfId="0" applyNumberFormat="1" applyFill="1"/>
    <xf numFmtId="43" fontId="19" fillId="0" borderId="0" xfId="0" applyNumberFormat="1" applyFont="1" applyFill="1"/>
    <xf numFmtId="172" fontId="0" fillId="0" borderId="92" xfId="0" applyNumberFormat="1" applyFill="1" applyBorder="1"/>
    <xf numFmtId="170" fontId="0" fillId="0" borderId="44" xfId="0" applyNumberFormat="1" applyFill="1" applyBorder="1"/>
    <xf numFmtId="167" fontId="93" fillId="0" borderId="0" xfId="16" applyNumberFormat="1" applyFont="1" applyFill="1" applyBorder="1" applyAlignment="1">
      <alignment vertical="center"/>
    </xf>
    <xf numFmtId="170" fontId="30" fillId="0" borderId="13" xfId="16" applyNumberFormat="1" applyFont="1" applyFill="1" applyBorder="1" applyAlignment="1">
      <alignment horizontal="left"/>
    </xf>
    <xf numFmtId="0" fontId="28" fillId="0" borderId="0" xfId="0" applyFont="1" applyFill="1"/>
    <xf numFmtId="0" fontId="19" fillId="0" borderId="17" xfId="0" applyFont="1" applyBorder="1"/>
    <xf numFmtId="0" fontId="19" fillId="0" borderId="92" xfId="0" applyFont="1" applyBorder="1"/>
    <xf numFmtId="4" fontId="81" fillId="0" borderId="94" xfId="0" applyNumberFormat="1" applyFont="1" applyFill="1" applyBorder="1" applyAlignment="1">
      <alignment horizontal="right"/>
    </xf>
    <xf numFmtId="0" fontId="18" fillId="0" borderId="0" xfId="0" applyFont="1" applyFill="1" applyBorder="1"/>
    <xf numFmtId="172" fontId="32" fillId="0" borderId="0" xfId="16" applyNumberFormat="1" applyFont="1" applyFill="1" applyBorder="1"/>
    <xf numFmtId="43" fontId="28" fillId="0" borderId="0" xfId="0" applyNumberFormat="1" applyFont="1"/>
    <xf numFmtId="167" fontId="88" fillId="11" borderId="4" xfId="67" applyNumberFormat="1" applyFont="1" applyFill="1" applyBorder="1" applyAlignment="1">
      <alignment vertical="center"/>
    </xf>
    <xf numFmtId="167" fontId="88" fillId="11" borderId="5" xfId="67" applyNumberFormat="1" applyFont="1" applyFill="1" applyBorder="1" applyAlignment="1">
      <alignment vertical="center"/>
    </xf>
    <xf numFmtId="49" fontId="86" fillId="0" borderId="76" xfId="20" applyNumberFormat="1" applyFont="1" applyFill="1" applyBorder="1" applyAlignment="1">
      <alignment horizontal="center" vertical="center"/>
    </xf>
    <xf numFmtId="49" fontId="86" fillId="0" borderId="0" xfId="20" applyNumberFormat="1" applyFont="1" applyFill="1" applyBorder="1" applyAlignment="1">
      <alignment horizontal="center" vertical="center"/>
    </xf>
    <xf numFmtId="0" fontId="2" fillId="0" borderId="16" xfId="43" applyFont="1" applyBorder="1"/>
    <xf numFmtId="17" fontId="4" fillId="0" borderId="0" xfId="60" applyNumberFormat="1"/>
    <xf numFmtId="173" fontId="10" fillId="0" borderId="13" xfId="22" applyNumberFormat="1" applyFont="1" applyBorder="1" applyAlignment="1">
      <alignment horizontal="center"/>
    </xf>
    <xf numFmtId="169" fontId="30" fillId="14" borderId="39" xfId="16" applyNumberFormat="1" applyFont="1" applyFill="1" applyBorder="1" applyAlignment="1" applyProtection="1">
      <alignment horizontal="right"/>
    </xf>
    <xf numFmtId="169" fontId="30" fillId="14" borderId="37" xfId="16" applyNumberFormat="1" applyFont="1" applyFill="1" applyBorder="1" applyAlignment="1" applyProtection="1">
      <alignment horizontal="right"/>
    </xf>
    <xf numFmtId="169" fontId="30" fillId="14" borderId="37" xfId="16" applyNumberFormat="1" applyFont="1" applyFill="1" applyBorder="1" applyProtection="1"/>
    <xf numFmtId="4" fontId="15" fillId="14" borderId="7" xfId="0" applyNumberFormat="1" applyFont="1" applyFill="1" applyBorder="1"/>
    <xf numFmtId="4" fontId="15" fillId="0" borderId="37" xfId="0" applyNumberFormat="1" applyFont="1" applyBorder="1"/>
    <xf numFmtId="4" fontId="15" fillId="0" borderId="46" xfId="0" applyNumberFormat="1" applyFont="1" applyBorder="1"/>
    <xf numFmtId="0" fontId="101" fillId="0" borderId="0" xfId="0" applyFont="1" applyFill="1" applyBorder="1"/>
    <xf numFmtId="168" fontId="101" fillId="0" borderId="0" xfId="16" applyNumberFormat="1" applyFont="1" applyFill="1" applyBorder="1"/>
    <xf numFmtId="17" fontId="30" fillId="0" borderId="97" xfId="0" applyNumberFormat="1" applyFont="1" applyFill="1" applyBorder="1"/>
    <xf numFmtId="0" fontId="15" fillId="14" borderId="0" xfId="0" applyFont="1" applyFill="1"/>
    <xf numFmtId="17" fontId="38" fillId="2" borderId="19" xfId="0" applyNumberFormat="1" applyFont="1" applyFill="1" applyBorder="1" applyAlignment="1">
      <alignment horizontal="center" vertical="center"/>
    </xf>
    <xf numFmtId="17" fontId="72" fillId="2" borderId="19" xfId="0" applyNumberFormat="1" applyFont="1" applyFill="1" applyBorder="1" applyAlignment="1">
      <alignment horizontal="center" vertical="center"/>
    </xf>
    <xf numFmtId="172" fontId="0" fillId="0" borderId="17" xfId="0" applyNumberFormat="1" applyFill="1" applyBorder="1"/>
    <xf numFmtId="0" fontId="28" fillId="0" borderId="97" xfId="0" applyFont="1" applyFill="1" applyBorder="1" applyAlignment="1">
      <alignment horizontal="left"/>
    </xf>
    <xf numFmtId="172" fontId="28" fillId="0" borderId="92" xfId="0" applyNumberFormat="1" applyFont="1" applyFill="1" applyBorder="1"/>
    <xf numFmtId="170" fontId="28" fillId="0" borderId="110" xfId="0" applyNumberFormat="1" applyFont="1" applyFill="1" applyBorder="1"/>
    <xf numFmtId="172" fontId="28" fillId="0" borderId="0" xfId="0" applyNumberFormat="1" applyFont="1" applyFill="1" applyBorder="1" applyAlignment="1"/>
    <xf numFmtId="167" fontId="86" fillId="5" borderId="46" xfId="16" applyNumberFormat="1" applyFont="1" applyFill="1" applyBorder="1" applyAlignment="1">
      <alignment horizontal="center" vertical="center"/>
    </xf>
    <xf numFmtId="167" fontId="86" fillId="5" borderId="19" xfId="16" applyNumberFormat="1" applyFont="1" applyFill="1" applyBorder="1" applyAlignment="1">
      <alignment horizontal="center" vertical="center"/>
    </xf>
    <xf numFmtId="167" fontId="86" fillId="5" borderId="7" xfId="16" applyNumberFormat="1" applyFont="1" applyFill="1" applyBorder="1" applyAlignment="1">
      <alignment horizontal="center" vertical="center"/>
    </xf>
    <xf numFmtId="0" fontId="81" fillId="0" borderId="2" xfId="0" applyFont="1" applyFill="1" applyBorder="1" applyAlignment="1">
      <alignment vertical="center"/>
    </xf>
    <xf numFmtId="173" fontId="81" fillId="0" borderId="0" xfId="22" applyNumberFormat="1" applyFont="1" applyFill="1" applyBorder="1" applyAlignment="1">
      <alignment vertical="center"/>
    </xf>
    <xf numFmtId="172" fontId="81" fillId="0" borderId="0" xfId="16" applyNumberFormat="1" applyFont="1" applyFill="1" applyBorder="1" applyAlignment="1">
      <alignment vertical="center"/>
    </xf>
    <xf numFmtId="172" fontId="81" fillId="0" borderId="16" xfId="16" applyNumberFormat="1" applyFont="1" applyFill="1" applyBorder="1" applyAlignment="1">
      <alignment vertical="center"/>
    </xf>
    <xf numFmtId="172" fontId="81" fillId="0" borderId="0" xfId="16" applyNumberFormat="1" applyFont="1"/>
    <xf numFmtId="0" fontId="102" fillId="0" borderId="0" xfId="20" applyFont="1" applyAlignment="1">
      <alignment horizontal="left" vertical="center"/>
    </xf>
    <xf numFmtId="0" fontId="103" fillId="0" borderId="0" xfId="20" applyFont="1" applyAlignment="1">
      <alignment horizontal="left" vertical="center"/>
    </xf>
    <xf numFmtId="0" fontId="104" fillId="0" borderId="0" xfId="20" applyFont="1" applyAlignment="1">
      <alignment horizontal="left" vertical="center"/>
    </xf>
    <xf numFmtId="0" fontId="33" fillId="0" borderId="0" xfId="20" applyFont="1" applyAlignment="1">
      <alignment vertical="center"/>
    </xf>
    <xf numFmtId="0" fontId="105" fillId="0" borderId="0" xfId="43" applyFont="1"/>
    <xf numFmtId="0" fontId="75" fillId="0" borderId="0" xfId="60" applyFont="1" applyAlignment="1"/>
    <xf numFmtId="0" fontId="106" fillId="0" borderId="0" xfId="43" applyFont="1"/>
    <xf numFmtId="0" fontId="107" fillId="0" borderId="0" xfId="60" applyFont="1"/>
    <xf numFmtId="0" fontId="32" fillId="0" borderId="0" xfId="20" applyFont="1" applyAlignment="1">
      <alignment vertical="center"/>
    </xf>
    <xf numFmtId="0" fontId="28" fillId="0" borderId="0" xfId="0" applyFont="1" applyAlignment="1">
      <alignment horizontal="left"/>
    </xf>
    <xf numFmtId="0" fontId="32" fillId="0" borderId="0" xfId="0" applyFont="1" applyFill="1" applyBorder="1"/>
    <xf numFmtId="0" fontId="32" fillId="0" borderId="0" xfId="0" applyFont="1" applyFill="1"/>
    <xf numFmtId="172" fontId="30" fillId="0" borderId="94" xfId="16" applyNumberFormat="1" applyFont="1" applyFill="1" applyBorder="1" applyAlignment="1">
      <alignment vertical="center"/>
    </xf>
    <xf numFmtId="39" fontId="30" fillId="0" borderId="20" xfId="0" applyNumberFormat="1" applyFont="1" applyFill="1" applyBorder="1" applyAlignment="1" applyProtection="1">
      <alignment horizontal="right"/>
    </xf>
    <xf numFmtId="39" fontId="30" fillId="0" borderId="16" xfId="0" applyNumberFormat="1" applyFont="1" applyFill="1" applyBorder="1" applyAlignment="1" applyProtection="1">
      <alignment horizontal="right"/>
    </xf>
    <xf numFmtId="39" fontId="30" fillId="0" borderId="94" xfId="0" applyNumberFormat="1" applyFont="1" applyFill="1" applyBorder="1" applyAlignment="1" applyProtection="1">
      <alignment horizontal="right"/>
    </xf>
    <xf numFmtId="39" fontId="30" fillId="0" borderId="82" xfId="0" applyNumberFormat="1" applyFont="1" applyFill="1" applyBorder="1" applyAlignment="1" applyProtection="1">
      <alignment horizontal="right"/>
    </xf>
    <xf numFmtId="167" fontId="15" fillId="0" borderId="0" xfId="16" applyFont="1" applyBorder="1"/>
    <xf numFmtId="167" fontId="15" fillId="0" borderId="10" xfId="16" applyFont="1" applyBorder="1"/>
    <xf numFmtId="0" fontId="26" fillId="0" borderId="16" xfId="0" applyFont="1" applyFill="1" applyBorder="1"/>
    <xf numFmtId="0" fontId="55" fillId="6" borderId="51" xfId="0" applyFont="1" applyFill="1" applyBorder="1" applyAlignment="1">
      <alignment horizontal="center" vertical="center"/>
    </xf>
    <xf numFmtId="0" fontId="55" fillId="6" borderId="52" xfId="0" applyFont="1" applyFill="1" applyBorder="1" applyAlignment="1">
      <alignment horizontal="center" vertical="center"/>
    </xf>
    <xf numFmtId="0" fontId="55" fillId="6" borderId="56" xfId="0" applyFont="1" applyFill="1" applyBorder="1" applyAlignment="1">
      <alignment horizontal="center" vertical="center"/>
    </xf>
    <xf numFmtId="0" fontId="59" fillId="0" borderId="0" xfId="46" applyFont="1" applyFill="1" applyBorder="1" applyAlignment="1">
      <alignment horizontal="left" vertical="center" wrapText="1"/>
    </xf>
    <xf numFmtId="0" fontId="46" fillId="0" borderId="0" xfId="46" applyFont="1" applyFill="1" applyBorder="1" applyAlignment="1">
      <alignment horizontal="left" vertical="center" wrapText="1"/>
    </xf>
    <xf numFmtId="0" fontId="60" fillId="0" borderId="20" xfId="46" applyFont="1" applyBorder="1" applyAlignment="1">
      <alignment horizontal="center" vertical="center"/>
    </xf>
    <xf numFmtId="0" fontId="60" fillId="0" borderId="16" xfId="46" applyFont="1" applyBorder="1" applyAlignment="1">
      <alignment horizontal="center" vertical="center"/>
    </xf>
    <xf numFmtId="0" fontId="60" fillId="0" borderId="8" xfId="46" applyFont="1" applyBorder="1" applyAlignment="1">
      <alignment horizontal="center" vertical="center"/>
    </xf>
    <xf numFmtId="170" fontId="88" fillId="12" borderId="102" xfId="67" applyNumberFormat="1" applyFont="1" applyBorder="1" applyAlignment="1">
      <alignment horizontal="center" vertical="center"/>
    </xf>
    <xf numFmtId="170" fontId="88" fillId="12" borderId="103" xfId="67" applyNumberFormat="1" applyFont="1" applyBorder="1" applyAlignment="1">
      <alignment horizontal="center" vertical="center"/>
    </xf>
    <xf numFmtId="170" fontId="88" fillId="12" borderId="104" xfId="67" applyNumberFormat="1" applyFont="1" applyBorder="1" applyAlignment="1">
      <alignment horizontal="center" vertical="center"/>
    </xf>
    <xf numFmtId="14" fontId="89" fillId="0" borderId="0" xfId="20" applyNumberFormat="1" applyFont="1" applyAlignment="1">
      <alignment horizontal="center" vertical="center"/>
    </xf>
    <xf numFmtId="170" fontId="88" fillId="12" borderId="51" xfId="67" applyNumberFormat="1" applyFont="1" applyBorder="1" applyAlignment="1">
      <alignment horizontal="center" vertical="center"/>
    </xf>
    <xf numFmtId="170" fontId="88" fillId="12" borderId="52" xfId="67" applyNumberFormat="1" applyFont="1" applyBorder="1" applyAlignment="1">
      <alignment horizontal="center" vertical="center"/>
    </xf>
    <xf numFmtId="170" fontId="88" fillId="12" borderId="105" xfId="67" applyNumberFormat="1" applyFont="1" applyBorder="1" applyAlignment="1">
      <alignment horizontal="center" vertical="center"/>
    </xf>
    <xf numFmtId="0" fontId="87" fillId="6" borderId="51" xfId="63" applyFont="1" applyFill="1" applyBorder="1" applyAlignment="1">
      <alignment horizontal="center" vertical="center" wrapText="1"/>
    </xf>
    <xf numFmtId="0" fontId="87" fillId="6" borderId="56" xfId="63" applyFont="1" applyFill="1" applyBorder="1" applyAlignment="1">
      <alignment horizontal="center" vertical="center" wrapText="1"/>
    </xf>
    <xf numFmtId="170" fontId="88" fillId="11" borderId="4" xfId="67" applyNumberFormat="1" applyFont="1" applyFill="1" applyBorder="1" applyAlignment="1">
      <alignment horizontal="center" vertical="center"/>
    </xf>
    <xf numFmtId="170" fontId="88" fillId="11" borderId="108" xfId="67" applyNumberFormat="1" applyFont="1" applyFill="1" applyBorder="1" applyAlignment="1">
      <alignment horizontal="center" vertical="center"/>
    </xf>
    <xf numFmtId="0" fontId="87" fillId="6" borderId="4" xfId="63" applyFont="1" applyFill="1" applyBorder="1" applyAlignment="1">
      <alignment horizontal="center" vertical="center" wrapText="1"/>
    </xf>
    <xf numFmtId="0" fontId="87" fillId="6" borderId="22" xfId="63" applyFont="1" applyFill="1" applyBorder="1" applyAlignment="1">
      <alignment horizontal="center" vertical="center" wrapText="1"/>
    </xf>
    <xf numFmtId="0" fontId="86" fillId="13" borderId="47" xfId="20" applyFont="1" applyFill="1" applyBorder="1" applyAlignment="1">
      <alignment horizontal="left" vertical="center"/>
    </xf>
    <xf numFmtId="0" fontId="86" fillId="13" borderId="19" xfId="20" applyFont="1" applyFill="1" applyBorder="1" applyAlignment="1">
      <alignment horizontal="left" vertical="center"/>
    </xf>
    <xf numFmtId="0" fontId="86" fillId="4" borderId="70" xfId="20" applyFont="1" applyFill="1" applyBorder="1" applyAlignment="1">
      <alignment horizontal="right" vertical="center"/>
    </xf>
    <xf numFmtId="0" fontId="86" fillId="4" borderId="69" xfId="20" applyFont="1" applyFill="1" applyBorder="1" applyAlignment="1">
      <alignment horizontal="right" vertical="center"/>
    </xf>
    <xf numFmtId="0" fontId="86" fillId="4" borderId="101" xfId="20" applyFont="1" applyFill="1" applyBorder="1" applyAlignment="1">
      <alignment horizontal="right" vertical="center"/>
    </xf>
    <xf numFmtId="0" fontId="86" fillId="4" borderId="21" xfId="20" applyFont="1" applyFill="1" applyBorder="1" applyAlignment="1">
      <alignment horizontal="right" vertical="center"/>
    </xf>
    <xf numFmtId="170" fontId="88" fillId="12" borderId="107" xfId="67" applyNumberFormat="1" applyFont="1" applyBorder="1" applyAlignment="1">
      <alignment horizontal="center" vertical="center"/>
    </xf>
    <xf numFmtId="0" fontId="55" fillId="6" borderId="9" xfId="43" applyFont="1" applyFill="1" applyBorder="1" applyAlignment="1">
      <alignment horizontal="center"/>
    </xf>
    <xf numFmtId="0" fontId="55" fillId="6" borderId="5" xfId="43" applyFont="1" applyFill="1" applyBorder="1" applyAlignment="1">
      <alignment horizontal="center"/>
    </xf>
    <xf numFmtId="0" fontId="43" fillId="0" borderId="0" xfId="0" applyFont="1" applyFill="1" applyBorder="1" applyAlignment="1">
      <alignment horizontal="left" indent="1"/>
    </xf>
    <xf numFmtId="0" fontId="15" fillId="0" borderId="37" xfId="0" applyFont="1" applyBorder="1" applyAlignment="1">
      <alignment horizontal="center"/>
    </xf>
  </cellXfs>
  <cellStyles count="68">
    <cellStyle name="Comma0 - Style1" xfId="1"/>
    <cellStyle name="Comma1 - Style1" xfId="2"/>
    <cellStyle name="Comma1 - Style2" xfId="3"/>
    <cellStyle name="Currency [0]_8 HORAS" xfId="27"/>
    <cellStyle name="Currency_8 HORAS" xfId="28"/>
    <cellStyle name="Date" xfId="4"/>
    <cellStyle name="Euro" xfId="5"/>
    <cellStyle name="F2" xfId="6"/>
    <cellStyle name="F3" xfId="7"/>
    <cellStyle name="F4" xfId="8"/>
    <cellStyle name="F5" xfId="9"/>
    <cellStyle name="F6" xfId="10"/>
    <cellStyle name="F7" xfId="11"/>
    <cellStyle name="F8" xfId="12"/>
    <cellStyle name="Fixed" xfId="13"/>
    <cellStyle name="HEADING1" xfId="14"/>
    <cellStyle name="HEADING2" xfId="15"/>
    <cellStyle name="Hipervínculo" xfId="41" builtinId="8"/>
    <cellStyle name="Hipervínculo visitado" xfId="48" builtinId="9" hidden="1"/>
    <cellStyle name="Hipervínculo visitado" xfId="49" builtinId="9" hidden="1"/>
    <cellStyle name="Hipervínculo visitado" xfId="50" builtinId="9" hidden="1"/>
    <cellStyle name="Hipervínculo visitado" xfId="51" builtinId="9" hidden="1"/>
    <cellStyle name="Hipervínculo visitado" xfId="52" builtinId="9" hidden="1"/>
    <cellStyle name="Hipervínculo visitado" xfId="53" builtinId="9" hidden="1"/>
    <cellStyle name="Hipervínculo visitado" xfId="54" builtinId="9" hidden="1"/>
    <cellStyle name="Hipervínculo visitado" xfId="55" builtinId="9" hidden="1"/>
    <cellStyle name="Hipervínculo visitado" xfId="56" builtinId="9" hidden="1"/>
    <cellStyle name="Hipervínculo visitado" xfId="57" builtinId="9" hidden="1"/>
    <cellStyle name="Millares" xfId="16" builtinId="3"/>
    <cellStyle name="Millares [0]" xfId="17" builtinId="6"/>
    <cellStyle name="Millares 2" xfId="18"/>
    <cellStyle name="Millares 2 2" xfId="36"/>
    <cellStyle name="Millares 3" xfId="32"/>
    <cellStyle name="Millares 4" xfId="37"/>
    <cellStyle name="Millares 5" xfId="44"/>
    <cellStyle name="Millares 5 2" xfId="61"/>
    <cellStyle name="Millares 6" xfId="65"/>
    <cellStyle name="Moneda 2" xfId="66"/>
    <cellStyle name="Normal" xfId="0" builtinId="0"/>
    <cellStyle name="Normal 2" xfId="19"/>
    <cellStyle name="Normal 2 2" xfId="26"/>
    <cellStyle name="Normal 2 3" xfId="30"/>
    <cellStyle name="Normal 2 4" xfId="35"/>
    <cellStyle name="Normal 3" xfId="31"/>
    <cellStyle name="Normal 3 2" xfId="38"/>
    <cellStyle name="Normal 4" xfId="40"/>
    <cellStyle name="Normal 5" xfId="43"/>
    <cellStyle name="Normal 5 2" xfId="60"/>
    <cellStyle name="Normal 6" xfId="46"/>
    <cellStyle name="Normal 7" xfId="58"/>
    <cellStyle name="Normal 7 2" xfId="59"/>
    <cellStyle name="Normal 7 3" xfId="64"/>
    <cellStyle name="Normal 8" xfId="62"/>
    <cellStyle name="Normal 9" xfId="63"/>
    <cellStyle name="Normal_AREAS ROMERO" xfId="20"/>
    <cellStyle name="Percen - Style2" xfId="21"/>
    <cellStyle name="Percent_8 HORAS" xfId="29"/>
    <cellStyle name="Porcentaje" xfId="22" builtinId="5"/>
    <cellStyle name="Porcentaje 2" xfId="33"/>
    <cellStyle name="Porcentaje 3" xfId="34"/>
    <cellStyle name="Porcentual 2" xfId="23"/>
    <cellStyle name="Porcentual 3" xfId="39"/>
    <cellStyle name="Porcentual 4" xfId="42"/>
    <cellStyle name="Porcentual 5" xfId="45"/>
    <cellStyle name="Porcentual 6" xfId="47"/>
    <cellStyle name="RM" xfId="24"/>
    <cellStyle name="Salida" xfId="67" builtinId="21"/>
    <cellStyle name="Total" xfId="25" builtinId="25" customBuiltin="1"/>
  </cellStyles>
  <dxfs count="4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colors>
    <mruColors>
      <color rgb="FF008080"/>
      <color rgb="FF2F8C0E"/>
      <color rgb="FF008000"/>
      <color rgb="FF78B832"/>
      <color rgb="FFCCFFFF"/>
      <color rgb="FF2EE703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61718637968102"/>
          <c:y val="7.780750665667871E-2"/>
          <c:w val="0.88097600908762386"/>
          <c:h val="0.79397690196790882"/>
        </c:manualLayout>
      </c:layout>
      <c:lineChart>
        <c:grouping val="stacked"/>
        <c:varyColors val="0"/>
        <c:ser>
          <c:idx val="0"/>
          <c:order val="0"/>
          <c:cat>
            <c:numRef>
              <c:f>'CRONOG VALORIZADO DE OBRA'!$D$7:$Z$7</c:f>
              <c:numCache>
                <c:formatCode>mmm\-yy</c:formatCode>
                <c:ptCount val="23"/>
                <c:pt idx="0">
                  <c:v>41821</c:v>
                </c:pt>
                <c:pt idx="1">
                  <c:v>41852</c:v>
                </c:pt>
                <c:pt idx="2">
                  <c:v>41883</c:v>
                </c:pt>
                <c:pt idx="3">
                  <c:v>41913</c:v>
                </c:pt>
                <c:pt idx="4">
                  <c:v>41944</c:v>
                </c:pt>
                <c:pt idx="5">
                  <c:v>41974</c:v>
                </c:pt>
                <c:pt idx="6">
                  <c:v>42005</c:v>
                </c:pt>
                <c:pt idx="7">
                  <c:v>42036</c:v>
                </c:pt>
                <c:pt idx="8">
                  <c:v>42064</c:v>
                </c:pt>
                <c:pt idx="9">
                  <c:v>42095</c:v>
                </c:pt>
                <c:pt idx="10">
                  <c:v>42125</c:v>
                </c:pt>
                <c:pt idx="11">
                  <c:v>42156</c:v>
                </c:pt>
                <c:pt idx="12">
                  <c:v>42186</c:v>
                </c:pt>
                <c:pt idx="13">
                  <c:v>42217</c:v>
                </c:pt>
                <c:pt idx="14">
                  <c:v>42248</c:v>
                </c:pt>
                <c:pt idx="15">
                  <c:v>42278</c:v>
                </c:pt>
                <c:pt idx="16">
                  <c:v>42309</c:v>
                </c:pt>
                <c:pt idx="17">
                  <c:v>42339</c:v>
                </c:pt>
                <c:pt idx="18">
                  <c:v>42370</c:v>
                </c:pt>
                <c:pt idx="19">
                  <c:v>42401</c:v>
                </c:pt>
                <c:pt idx="20">
                  <c:v>42430</c:v>
                </c:pt>
                <c:pt idx="21">
                  <c:v>42461</c:v>
                </c:pt>
                <c:pt idx="22">
                  <c:v>42491</c:v>
                </c:pt>
              </c:numCache>
            </c:numRef>
          </c:cat>
          <c:val>
            <c:numRef>
              <c:f>'CRONOG VALORIZADO DE OBRA'!$D$33:$Z$33</c:f>
              <c:numCache>
                <c:formatCode>_(* #,##0.00_);_(* \(#,##0.00\);_(* "-"??_);_(@_)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1982.4</c:v>
                </c:pt>
                <c:pt idx="4">
                  <c:v>1982.4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47304.099285333337</c:v>
                </c:pt>
                <c:pt idx="10">
                  <c:v>232144.29776533329</c:v>
                </c:pt>
                <c:pt idx="11">
                  <c:v>206769.57776533329</c:v>
                </c:pt>
                <c:pt idx="12">
                  <c:v>159465.47847999999</c:v>
                </c:pt>
                <c:pt idx="13">
                  <c:v>388454.38355733332</c:v>
                </c:pt>
                <c:pt idx="14">
                  <c:v>344440.84139733337</c:v>
                </c:pt>
                <c:pt idx="15">
                  <c:v>381718.48571733333</c:v>
                </c:pt>
                <c:pt idx="16">
                  <c:v>381718.48571733333</c:v>
                </c:pt>
                <c:pt idx="17">
                  <c:v>575953.44299733336</c:v>
                </c:pt>
                <c:pt idx="18">
                  <c:v>575953.44299733336</c:v>
                </c:pt>
                <c:pt idx="19">
                  <c:v>406156.34550399997</c:v>
                </c:pt>
                <c:pt idx="20">
                  <c:v>326199.54550399998</c:v>
                </c:pt>
                <c:pt idx="21">
                  <c:v>285485.47686399997</c:v>
                </c:pt>
                <c:pt idx="22">
                  <c:v>314692.83686400001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464480"/>
        <c:axId val="-10461760"/>
      </c:lineChart>
      <c:dateAx>
        <c:axId val="-10464480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crossAx val="-10461760"/>
        <c:crosses val="autoZero"/>
        <c:auto val="1"/>
        <c:lblOffset val="100"/>
        <c:baseTimeUnit val="months"/>
      </c:dateAx>
      <c:valAx>
        <c:axId val="-10461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s-PE"/>
                  <a:t>Desembolsos Acumulados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none"/>
        <c:minorTickMark val="none"/>
        <c:tickLblPos val="nextTo"/>
        <c:crossAx val="-10464480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Flujo de Ingresos Acumulado sin IGV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877580927384077"/>
          <c:y val="0.18737893209961798"/>
          <c:w val="0.79677974628171488"/>
          <c:h val="0.6624674260307116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'Flujo Ingresos'!$C$6:$AG$6</c:f>
              <c:numCache>
                <c:formatCode>mmm\-yy</c:formatCode>
                <c:ptCount val="31"/>
                <c:pt idx="0">
                  <c:v>41791</c:v>
                </c:pt>
                <c:pt idx="1">
                  <c:v>41821</c:v>
                </c:pt>
                <c:pt idx="2">
                  <c:v>41852</c:v>
                </c:pt>
                <c:pt idx="3">
                  <c:v>41883</c:v>
                </c:pt>
                <c:pt idx="4">
                  <c:v>41913</c:v>
                </c:pt>
                <c:pt idx="5">
                  <c:v>41944</c:v>
                </c:pt>
                <c:pt idx="6">
                  <c:v>41974</c:v>
                </c:pt>
                <c:pt idx="7">
                  <c:v>42005</c:v>
                </c:pt>
                <c:pt idx="8">
                  <c:v>42036</c:v>
                </c:pt>
                <c:pt idx="9">
                  <c:v>42064</c:v>
                </c:pt>
                <c:pt idx="10">
                  <c:v>42095</c:v>
                </c:pt>
                <c:pt idx="11">
                  <c:v>42125</c:v>
                </c:pt>
                <c:pt idx="12">
                  <c:v>42156</c:v>
                </c:pt>
                <c:pt idx="13">
                  <c:v>42186</c:v>
                </c:pt>
                <c:pt idx="14">
                  <c:v>42217</c:v>
                </c:pt>
                <c:pt idx="15">
                  <c:v>42248</c:v>
                </c:pt>
                <c:pt idx="16">
                  <c:v>42278</c:v>
                </c:pt>
                <c:pt idx="17">
                  <c:v>42309</c:v>
                </c:pt>
                <c:pt idx="18">
                  <c:v>42339</c:v>
                </c:pt>
                <c:pt idx="19">
                  <c:v>42370</c:v>
                </c:pt>
                <c:pt idx="20">
                  <c:v>42401</c:v>
                </c:pt>
                <c:pt idx="21">
                  <c:v>42430</c:v>
                </c:pt>
                <c:pt idx="22">
                  <c:v>42461</c:v>
                </c:pt>
                <c:pt idx="23">
                  <c:v>42491</c:v>
                </c:pt>
                <c:pt idx="24">
                  <c:v>42522</c:v>
                </c:pt>
                <c:pt idx="25">
                  <c:v>42552</c:v>
                </c:pt>
                <c:pt idx="26">
                  <c:v>42583</c:v>
                </c:pt>
                <c:pt idx="27">
                  <c:v>42614</c:v>
                </c:pt>
                <c:pt idx="28">
                  <c:v>42644</c:v>
                </c:pt>
                <c:pt idx="29">
                  <c:v>42675</c:v>
                </c:pt>
                <c:pt idx="30">
                  <c:v>42705</c:v>
                </c:pt>
              </c:numCache>
            </c:numRef>
          </c:cat>
          <c:val>
            <c:numRef>
              <c:f>'Flujo Ingresos'!$C$50:$AG$50</c:f>
              <c:numCache>
                <c:formatCode>_(* #,##0_);_(* \(#,##0\);_(* "-"??_);_(@_)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1000</c:v>
                </c:pt>
                <c:pt idx="5">
                  <c:v>31824.464831804253</c:v>
                </c:pt>
                <c:pt idx="6">
                  <c:v>31824.464831804253</c:v>
                </c:pt>
                <c:pt idx="7">
                  <c:v>34844.342507645233</c:v>
                </c:pt>
                <c:pt idx="8">
                  <c:v>34844.342507645233</c:v>
                </c:pt>
                <c:pt idx="9">
                  <c:v>34844.342507645233</c:v>
                </c:pt>
                <c:pt idx="10">
                  <c:v>34844.342507645233</c:v>
                </c:pt>
                <c:pt idx="11">
                  <c:v>34844.342507645233</c:v>
                </c:pt>
                <c:pt idx="12">
                  <c:v>34844.342507645233</c:v>
                </c:pt>
                <c:pt idx="13">
                  <c:v>34844.342507645233</c:v>
                </c:pt>
                <c:pt idx="14">
                  <c:v>210033.96922020806</c:v>
                </c:pt>
                <c:pt idx="15">
                  <c:v>344440.84139733337</c:v>
                </c:pt>
                <c:pt idx="16">
                  <c:v>381718.48571733339</c:v>
                </c:pt>
                <c:pt idx="17">
                  <c:v>381718.48571733339</c:v>
                </c:pt>
                <c:pt idx="18">
                  <c:v>575953.44299733336</c:v>
                </c:pt>
                <c:pt idx="19">
                  <c:v>575953.44299733336</c:v>
                </c:pt>
                <c:pt idx="20">
                  <c:v>406156.34550399997</c:v>
                </c:pt>
                <c:pt idx="21">
                  <c:v>326199.54550399992</c:v>
                </c:pt>
                <c:pt idx="22">
                  <c:v>35119.571865443402</c:v>
                </c:pt>
                <c:pt idx="23">
                  <c:v>35119.571865443402</c:v>
                </c:pt>
                <c:pt idx="24">
                  <c:v>35119.571865443402</c:v>
                </c:pt>
                <c:pt idx="25">
                  <c:v>4022200.9761133143</c:v>
                </c:pt>
                <c:pt idx="26">
                  <c:v>0</c:v>
                </c:pt>
                <c:pt idx="27">
                  <c:v>84000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0457408"/>
        <c:axId val="-10460128"/>
      </c:barChart>
      <c:dateAx>
        <c:axId val="-10457408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-10460128"/>
        <c:crosses val="autoZero"/>
        <c:auto val="1"/>
        <c:lblOffset val="100"/>
        <c:baseTimeUnit val="months"/>
      </c:dateAx>
      <c:valAx>
        <c:axId val="-10460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-10457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Flujo de Egresos Acumulado sin IGV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'Flujo Egresos'!$C$22:$AG$22</c:f>
              <c:numCache>
                <c:formatCode>mmm\-yy</c:formatCode>
                <c:ptCount val="31"/>
                <c:pt idx="0">
                  <c:v>41791</c:v>
                </c:pt>
                <c:pt idx="1">
                  <c:v>41821</c:v>
                </c:pt>
                <c:pt idx="2">
                  <c:v>41852</c:v>
                </c:pt>
                <c:pt idx="3">
                  <c:v>41883</c:v>
                </c:pt>
                <c:pt idx="4">
                  <c:v>41913</c:v>
                </c:pt>
                <c:pt idx="5">
                  <c:v>41944</c:v>
                </c:pt>
                <c:pt idx="6">
                  <c:v>41974</c:v>
                </c:pt>
                <c:pt idx="7">
                  <c:v>42005</c:v>
                </c:pt>
                <c:pt idx="8">
                  <c:v>42036</c:v>
                </c:pt>
                <c:pt idx="9">
                  <c:v>42064</c:v>
                </c:pt>
                <c:pt idx="10">
                  <c:v>42095</c:v>
                </c:pt>
                <c:pt idx="11">
                  <c:v>42125</c:v>
                </c:pt>
                <c:pt idx="12">
                  <c:v>42156</c:v>
                </c:pt>
                <c:pt idx="13">
                  <c:v>42186</c:v>
                </c:pt>
                <c:pt idx="14">
                  <c:v>42217</c:v>
                </c:pt>
                <c:pt idx="15">
                  <c:v>42248</c:v>
                </c:pt>
                <c:pt idx="16">
                  <c:v>42278</c:v>
                </c:pt>
                <c:pt idx="17">
                  <c:v>42309</c:v>
                </c:pt>
                <c:pt idx="18">
                  <c:v>42339</c:v>
                </c:pt>
                <c:pt idx="19">
                  <c:v>42370</c:v>
                </c:pt>
                <c:pt idx="20">
                  <c:v>42401</c:v>
                </c:pt>
                <c:pt idx="21">
                  <c:v>42430</c:v>
                </c:pt>
                <c:pt idx="22">
                  <c:v>42461</c:v>
                </c:pt>
                <c:pt idx="23">
                  <c:v>42491</c:v>
                </c:pt>
                <c:pt idx="24">
                  <c:v>42522</c:v>
                </c:pt>
                <c:pt idx="25">
                  <c:v>42552</c:v>
                </c:pt>
                <c:pt idx="26">
                  <c:v>42583</c:v>
                </c:pt>
                <c:pt idx="27">
                  <c:v>42614</c:v>
                </c:pt>
                <c:pt idx="28">
                  <c:v>42644</c:v>
                </c:pt>
                <c:pt idx="29">
                  <c:v>42675</c:v>
                </c:pt>
                <c:pt idx="30">
                  <c:v>42705</c:v>
                </c:pt>
              </c:numCache>
            </c:numRef>
          </c:cat>
          <c:val>
            <c:numRef>
              <c:f>'Flujo Egresos'!$C$41:$AG$41</c:f>
              <c:numCache>
                <c:formatCode>_(* #,##0.0_);_(* \(#,##0.0\);_(* "-"??_);_(@_)</c:formatCode>
                <c:ptCount val="31"/>
                <c:pt idx="0">
                  <c:v>24362.284</c:v>
                </c:pt>
                <c:pt idx="1">
                  <c:v>22555.71</c:v>
                </c:pt>
                <c:pt idx="2">
                  <c:v>14133.426000000001</c:v>
                </c:pt>
                <c:pt idx="3">
                  <c:v>204676.70933333336</c:v>
                </c:pt>
                <c:pt idx="4">
                  <c:v>18705.139000000003</c:v>
                </c:pt>
                <c:pt idx="5">
                  <c:v>1248127.7310289389</c:v>
                </c:pt>
                <c:pt idx="6">
                  <c:v>49778.339011299438</c:v>
                </c:pt>
                <c:pt idx="7">
                  <c:v>9300</c:v>
                </c:pt>
                <c:pt idx="8">
                  <c:v>159300</c:v>
                </c:pt>
                <c:pt idx="9">
                  <c:v>54807.296520000004</c:v>
                </c:pt>
                <c:pt idx="10">
                  <c:v>49788.219733333339</c:v>
                </c:pt>
                <c:pt idx="11">
                  <c:v>206432.45573333331</c:v>
                </c:pt>
                <c:pt idx="12">
                  <c:v>188761.78906666665</c:v>
                </c:pt>
                <c:pt idx="13">
                  <c:v>144840.236</c:v>
                </c:pt>
                <c:pt idx="14">
                  <c:v>338898.63013333338</c:v>
                </c:pt>
                <c:pt idx="15">
                  <c:v>301599.01813333336</c:v>
                </c:pt>
                <c:pt idx="16">
                  <c:v>333190.24213333341</c:v>
                </c:pt>
                <c:pt idx="17">
                  <c:v>336690.24213333341</c:v>
                </c:pt>
                <c:pt idx="18">
                  <c:v>499629.47146666673</c:v>
                </c:pt>
                <c:pt idx="19">
                  <c:v>498296.13813333341</c:v>
                </c:pt>
                <c:pt idx="20">
                  <c:v>353900.2928</c:v>
                </c:pt>
                <c:pt idx="21">
                  <c:v>287973.62613333331</c:v>
                </c:pt>
                <c:pt idx="22">
                  <c:v>262536.84479999996</c:v>
                </c:pt>
                <c:pt idx="23">
                  <c:v>284222.17813333333</c:v>
                </c:pt>
                <c:pt idx="24">
                  <c:v>29605</c:v>
                </c:pt>
                <c:pt idx="25">
                  <c:v>609184.32852287753</c:v>
                </c:pt>
                <c:pt idx="26">
                  <c:v>1000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0459584"/>
        <c:axId val="-10452512"/>
      </c:barChart>
      <c:dateAx>
        <c:axId val="-10459584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-10452512"/>
        <c:crosses val="autoZero"/>
        <c:auto val="1"/>
        <c:lblOffset val="100"/>
        <c:baseTimeUnit val="months"/>
      </c:dateAx>
      <c:valAx>
        <c:axId val="-1045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_);_(* \(#,##0.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-10459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FLUJO</a:t>
            </a:r>
            <a:r>
              <a:rPr lang="es-PE" baseline="0"/>
              <a:t> DE CAJA FINANCIERO ACUMULADO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018508152525354"/>
          <c:y val="0.11107764335236887"/>
          <c:w val="0.76926206331476954"/>
          <c:h val="0.753708213415984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'FC 1'!$D$7:$AH$7</c:f>
              <c:numCache>
                <c:formatCode>mmm\-yy</c:formatCode>
                <c:ptCount val="31"/>
                <c:pt idx="0">
                  <c:v>41791</c:v>
                </c:pt>
                <c:pt idx="1">
                  <c:v>41821</c:v>
                </c:pt>
                <c:pt idx="2">
                  <c:v>41852</c:v>
                </c:pt>
                <c:pt idx="3">
                  <c:v>41883</c:v>
                </c:pt>
                <c:pt idx="4">
                  <c:v>41913</c:v>
                </c:pt>
                <c:pt idx="5">
                  <c:v>41944</c:v>
                </c:pt>
                <c:pt idx="6">
                  <c:v>41974</c:v>
                </c:pt>
                <c:pt idx="7">
                  <c:v>42005</c:v>
                </c:pt>
                <c:pt idx="8">
                  <c:v>42036</c:v>
                </c:pt>
                <c:pt idx="9">
                  <c:v>42064</c:v>
                </c:pt>
                <c:pt idx="10">
                  <c:v>42095</c:v>
                </c:pt>
                <c:pt idx="11">
                  <c:v>42125</c:v>
                </c:pt>
                <c:pt idx="12">
                  <c:v>42156</c:v>
                </c:pt>
                <c:pt idx="13">
                  <c:v>42186</c:v>
                </c:pt>
                <c:pt idx="14">
                  <c:v>42217</c:v>
                </c:pt>
                <c:pt idx="15">
                  <c:v>42248</c:v>
                </c:pt>
                <c:pt idx="16">
                  <c:v>42278</c:v>
                </c:pt>
                <c:pt idx="17">
                  <c:v>42309</c:v>
                </c:pt>
                <c:pt idx="18">
                  <c:v>42339</c:v>
                </c:pt>
                <c:pt idx="19">
                  <c:v>42370</c:v>
                </c:pt>
                <c:pt idx="20">
                  <c:v>42401</c:v>
                </c:pt>
                <c:pt idx="21">
                  <c:v>42430</c:v>
                </c:pt>
                <c:pt idx="22">
                  <c:v>42461</c:v>
                </c:pt>
                <c:pt idx="23">
                  <c:v>42491</c:v>
                </c:pt>
                <c:pt idx="24">
                  <c:v>42522</c:v>
                </c:pt>
                <c:pt idx="25">
                  <c:v>42552</c:v>
                </c:pt>
                <c:pt idx="26">
                  <c:v>42583</c:v>
                </c:pt>
                <c:pt idx="27">
                  <c:v>42614</c:v>
                </c:pt>
                <c:pt idx="28">
                  <c:v>42644</c:v>
                </c:pt>
                <c:pt idx="29">
                  <c:v>42675</c:v>
                </c:pt>
                <c:pt idx="30">
                  <c:v>42705</c:v>
                </c:pt>
              </c:numCache>
            </c:numRef>
          </c:cat>
          <c:val>
            <c:numRef>
              <c:f>'FC 1'!$D$48:$AH$48</c:f>
              <c:numCache>
                <c:formatCode>_(* #,##0_);_(* \(#,##0\);_(* "-"??_);_(@_)</c:formatCode>
                <c:ptCount val="31"/>
                <c:pt idx="0">
                  <c:v>-25122.295119999999</c:v>
                </c:pt>
                <c:pt idx="1">
                  <c:v>-50208.032919999998</c:v>
                </c:pt>
                <c:pt idx="2">
                  <c:v>-65715.475600000005</c:v>
                </c:pt>
                <c:pt idx="3">
                  <c:v>-272177.20161333337</c:v>
                </c:pt>
                <c:pt idx="4">
                  <c:v>-291618.61563333339</c:v>
                </c:pt>
                <c:pt idx="5">
                  <c:v>-756616.39399560564</c:v>
                </c:pt>
                <c:pt idx="6">
                  <c:v>-779512.49736227235</c:v>
                </c:pt>
                <c:pt idx="7">
                  <c:v>-751401.86902893905</c:v>
                </c:pt>
                <c:pt idx="8">
                  <c:v>-873291.24069560575</c:v>
                </c:pt>
                <c:pt idx="9">
                  <c:v>-892579.22225587245</c:v>
                </c:pt>
                <c:pt idx="10">
                  <c:v>-912244.69320787245</c:v>
                </c:pt>
                <c:pt idx="11">
                  <c:v>-1116750.3626398724</c:v>
                </c:pt>
                <c:pt idx="12">
                  <c:v>-1300404.6454052057</c:v>
                </c:pt>
                <c:pt idx="13">
                  <c:v>-1432231.4955518723</c:v>
                </c:pt>
                <c:pt idx="14">
                  <c:v>-1604954.9080559292</c:v>
                </c:pt>
                <c:pt idx="15">
                  <c:v>-1589358.8400870156</c:v>
                </c:pt>
                <c:pt idx="16">
                  <c:v>-1571017.2736139342</c:v>
                </c:pt>
                <c:pt idx="17">
                  <c:v>-1556805.7071408527</c:v>
                </c:pt>
                <c:pt idx="18">
                  <c:v>-1526322.0693974325</c:v>
                </c:pt>
                <c:pt idx="19">
                  <c:v>-1494265.098320679</c:v>
                </c:pt>
                <c:pt idx="20">
                  <c:v>-1474123.6834743095</c:v>
                </c:pt>
                <c:pt idx="21">
                  <c:v>-1462034.4202812733</c:v>
                </c:pt>
                <c:pt idx="22">
                  <c:v>-1730485.76881194</c:v>
                </c:pt>
                <c:pt idx="23">
                  <c:v>-2025407.81067594</c:v>
                </c:pt>
                <c:pt idx="24">
                  <c:v>-2020241.5823426067</c:v>
                </c:pt>
                <c:pt idx="25">
                  <c:v>868593.15173335955</c:v>
                </c:pt>
                <c:pt idx="26">
                  <c:v>867593.15173335955</c:v>
                </c:pt>
                <c:pt idx="27">
                  <c:v>957779.75173335953</c:v>
                </c:pt>
                <c:pt idx="28">
                  <c:v>957779.75173335953</c:v>
                </c:pt>
                <c:pt idx="29">
                  <c:v>957779.75173335953</c:v>
                </c:pt>
                <c:pt idx="30">
                  <c:v>957779.75173335953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0457952"/>
        <c:axId val="-10467200"/>
      </c:barChart>
      <c:dateAx>
        <c:axId val="-10457952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-10467200"/>
        <c:crosses val="autoZero"/>
        <c:auto val="1"/>
        <c:lblOffset val="100"/>
        <c:baseTimeUnit val="months"/>
      </c:dateAx>
      <c:valAx>
        <c:axId val="-10467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-104579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FLUJO DE CAJA OPERATIVO ACUMULADO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6.6894081167288635E-2"/>
          <c:y val="5.9119274210519081E-2"/>
          <c:w val="0.81425837568259152"/>
          <c:h val="0.8171246062144872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'FC 1'!$D$7:$AH$7</c:f>
              <c:numCache>
                <c:formatCode>mmm\-yy</c:formatCode>
                <c:ptCount val="31"/>
                <c:pt idx="0">
                  <c:v>41791</c:v>
                </c:pt>
                <c:pt idx="1">
                  <c:v>41821</c:v>
                </c:pt>
                <c:pt idx="2">
                  <c:v>41852</c:v>
                </c:pt>
                <c:pt idx="3">
                  <c:v>41883</c:v>
                </c:pt>
                <c:pt idx="4">
                  <c:v>41913</c:v>
                </c:pt>
                <c:pt idx="5">
                  <c:v>41944</c:v>
                </c:pt>
                <c:pt idx="6">
                  <c:v>41974</c:v>
                </c:pt>
                <c:pt idx="7">
                  <c:v>42005</c:v>
                </c:pt>
                <c:pt idx="8">
                  <c:v>42036</c:v>
                </c:pt>
                <c:pt idx="9">
                  <c:v>42064</c:v>
                </c:pt>
                <c:pt idx="10">
                  <c:v>42095</c:v>
                </c:pt>
                <c:pt idx="11">
                  <c:v>42125</c:v>
                </c:pt>
                <c:pt idx="12">
                  <c:v>42156</c:v>
                </c:pt>
                <c:pt idx="13">
                  <c:v>42186</c:v>
                </c:pt>
                <c:pt idx="14">
                  <c:v>42217</c:v>
                </c:pt>
                <c:pt idx="15">
                  <c:v>42248</c:v>
                </c:pt>
                <c:pt idx="16">
                  <c:v>42278</c:v>
                </c:pt>
                <c:pt idx="17">
                  <c:v>42309</c:v>
                </c:pt>
                <c:pt idx="18">
                  <c:v>42339</c:v>
                </c:pt>
                <c:pt idx="19">
                  <c:v>42370</c:v>
                </c:pt>
                <c:pt idx="20">
                  <c:v>42401</c:v>
                </c:pt>
                <c:pt idx="21">
                  <c:v>42430</c:v>
                </c:pt>
                <c:pt idx="22">
                  <c:v>42461</c:v>
                </c:pt>
                <c:pt idx="23">
                  <c:v>42491</c:v>
                </c:pt>
                <c:pt idx="24">
                  <c:v>42522</c:v>
                </c:pt>
                <c:pt idx="25">
                  <c:v>42552</c:v>
                </c:pt>
                <c:pt idx="26">
                  <c:v>42583</c:v>
                </c:pt>
                <c:pt idx="27">
                  <c:v>42614</c:v>
                </c:pt>
                <c:pt idx="28">
                  <c:v>42644</c:v>
                </c:pt>
                <c:pt idx="29">
                  <c:v>42675</c:v>
                </c:pt>
                <c:pt idx="30">
                  <c:v>42705</c:v>
                </c:pt>
              </c:numCache>
            </c:numRef>
          </c:cat>
          <c:val>
            <c:numRef>
              <c:f>'FC 1'!$D$27:$AH$27</c:f>
              <c:numCache>
                <c:formatCode>_(* #,##0_);_(* \(#,##0\);_(* "-"??_);_(@_)</c:formatCode>
                <c:ptCount val="31"/>
                <c:pt idx="0">
                  <c:v>77.70488000000114</c:v>
                </c:pt>
                <c:pt idx="1">
                  <c:v>91.96708000000217</c:v>
                </c:pt>
                <c:pt idx="2">
                  <c:v>84.524400000000242</c:v>
                </c:pt>
                <c:pt idx="3">
                  <c:v>22.79838666663818</c:v>
                </c:pt>
                <c:pt idx="4">
                  <c:v>81.384366666638016</c:v>
                </c:pt>
                <c:pt idx="5">
                  <c:v>-759916.39399560564</c:v>
                </c:pt>
                <c:pt idx="6">
                  <c:v>-759912.49736227235</c:v>
                </c:pt>
                <c:pt idx="7">
                  <c:v>-731801.86902893905</c:v>
                </c:pt>
                <c:pt idx="8">
                  <c:v>-759991.24069560575</c:v>
                </c:pt>
                <c:pt idx="9">
                  <c:v>-759979.22225587245</c:v>
                </c:pt>
                <c:pt idx="10">
                  <c:v>-759944.69320787245</c:v>
                </c:pt>
                <c:pt idx="11">
                  <c:v>-759950.36263987236</c:v>
                </c:pt>
                <c:pt idx="12">
                  <c:v>-759904.64540520567</c:v>
                </c:pt>
                <c:pt idx="13">
                  <c:v>-759931.4955518723</c:v>
                </c:pt>
                <c:pt idx="14">
                  <c:v>-759954.90805592923</c:v>
                </c:pt>
                <c:pt idx="15">
                  <c:v>-744358.84008701565</c:v>
                </c:pt>
                <c:pt idx="16">
                  <c:v>-726017.27361393406</c:v>
                </c:pt>
                <c:pt idx="17">
                  <c:v>-711805.70714085246</c:v>
                </c:pt>
                <c:pt idx="18">
                  <c:v>-681322.06939743226</c:v>
                </c:pt>
                <c:pt idx="19">
                  <c:v>-649265.09832067869</c:v>
                </c:pt>
                <c:pt idx="20">
                  <c:v>-629123.68347430916</c:v>
                </c:pt>
                <c:pt idx="21">
                  <c:v>-617034.42028127296</c:v>
                </c:pt>
                <c:pt idx="22">
                  <c:v>-885485.76881193963</c:v>
                </c:pt>
                <c:pt idx="23">
                  <c:v>-1180407.8106759395</c:v>
                </c:pt>
                <c:pt idx="24">
                  <c:v>-1175241.5823426063</c:v>
                </c:pt>
                <c:pt idx="25">
                  <c:v>2524657.921917337</c:v>
                </c:pt>
                <c:pt idx="26">
                  <c:v>2523657.921917337</c:v>
                </c:pt>
                <c:pt idx="27">
                  <c:v>1018844.5219173371</c:v>
                </c:pt>
                <c:pt idx="28">
                  <c:v>1018844.5219173371</c:v>
                </c:pt>
                <c:pt idx="29">
                  <c:v>1018844.5219173371</c:v>
                </c:pt>
                <c:pt idx="30">
                  <c:v>1018844.5219173371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035827440"/>
        <c:axId val="-2035832880"/>
      </c:barChart>
      <c:dateAx>
        <c:axId val="-2035827440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-2035832880"/>
        <c:crosses val="autoZero"/>
        <c:auto val="1"/>
        <c:lblOffset val="100"/>
        <c:baseTimeUnit val="months"/>
      </c:dateAx>
      <c:valAx>
        <c:axId val="-2035832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-2035827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inversionesgdp.com/obra_lamar2.htm" TargetMode="External"/><Relationship Id="rId13" Type="http://schemas.openxmlformats.org/officeDocument/2006/relationships/image" Target="../media/image10.jpeg"/><Relationship Id="rId3" Type="http://schemas.openxmlformats.org/officeDocument/2006/relationships/image" Target="../media/image2.jpeg"/><Relationship Id="rId7" Type="http://schemas.openxmlformats.org/officeDocument/2006/relationships/image" Target="../media/image5.jpeg"/><Relationship Id="rId12" Type="http://schemas.openxmlformats.org/officeDocument/2006/relationships/image" Target="../media/image9.jpeg"/><Relationship Id="rId2" Type="http://schemas.openxmlformats.org/officeDocument/2006/relationships/image" Target="../media/image1.jpeg"/><Relationship Id="rId16" Type="http://schemas.openxmlformats.org/officeDocument/2006/relationships/image" Target="../media/image13.jpeg"/><Relationship Id="rId1" Type="http://schemas.openxmlformats.org/officeDocument/2006/relationships/hyperlink" Target="http://www.google.com.pe/imgres?imgurl=http://dominiigrupoinmobiliario.com/images/9.jpg&amp;imgrefurl=http://dominiigrupoinmobiliario.com/index-1.html&amp;usg=__0gHG1oNc1OaNAdlJo070mkMcQ_0=&amp;h=220&amp;w=300&amp;sz=37&amp;hl=es&amp;start=1&amp;zoom=1&amp;tbnid=AsE5orsS-JJ54M:&amp;tbnh=126&amp;tbnw=168&amp;ei=AbNPT4K4CoitgwfAg6T4DQ&amp;prev=/search?q=http://www.dominiigrupoinmobiliario.com/proyecto9.html&amp;tbnh=145&amp;tbnw=193&amp;um=1&amp;hl=es&amp;sa=N&amp;rlz=1R2ADFA_esPE467&amp;sig=114223250131647685483&amp;biw=1440&amp;bih=642&amp;tbs=simg:CAQSEgkCwTmiuxL4kiEwjEjfg_1KXFw&amp;tbm=isch&amp;um=1&amp;itbs=1&amp;iact=rc&amp;dur=0&amp;sig=114223250131647685483&amp;page=1&amp;ved=1t:429,r:0,s:0&amp;tx=126&amp;ty=87" TargetMode="External"/><Relationship Id="rId6" Type="http://schemas.openxmlformats.org/officeDocument/2006/relationships/image" Target="../media/image4.jpeg"/><Relationship Id="rId11" Type="http://schemas.openxmlformats.org/officeDocument/2006/relationships/image" Target="../media/image8.jpeg"/><Relationship Id="rId5" Type="http://schemas.openxmlformats.org/officeDocument/2006/relationships/image" Target="../media/image3.jpeg"/><Relationship Id="rId15" Type="http://schemas.openxmlformats.org/officeDocument/2006/relationships/image" Target="../media/image12.jpeg"/><Relationship Id="rId10" Type="http://schemas.openxmlformats.org/officeDocument/2006/relationships/image" Target="../media/image7.jpeg"/><Relationship Id="rId4" Type="http://schemas.openxmlformats.org/officeDocument/2006/relationships/hyperlink" Target="http://www.google.com.pe/imgres?q=CASA+IDEAL+-+ALTO+MIRADOR+2+-+LIMA+PERU&amp;um=1&amp;hl=es&amp;sa=N&amp;rlz=1W1ADSA_esPE453&amp;biw=1440&amp;bih=642&amp;tbm=isch&amp;tbnid=CVdBvXPKtsKM4M:&amp;imgrefurl=http://laencontre.terra.com.pe/inmueble/venta-departamento-jesus-maria-edificio-alto-mirador-2/C/3159&amp;docid=J7gwyi-91M_tAM&amp;imgurl=http://laencontre.terra.com.pe/RepositorioAPS/0/0/lae/pro/3159/Edificio%20Alto%20Mirador.jpg&amp;w=355&amp;h=494&amp;ei=xrRPT9PHHoSPgweVsfS4DQ&amp;zoom=1" TargetMode="External"/><Relationship Id="rId9" Type="http://schemas.openxmlformats.org/officeDocument/2006/relationships/image" Target="../media/image6.jpeg"/><Relationship Id="rId14" Type="http://schemas.openxmlformats.org/officeDocument/2006/relationships/image" Target="../media/image1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2425551</xdr:colOff>
      <xdr:row>0</xdr:row>
      <xdr:rowOff>0</xdr:rowOff>
    </xdr:from>
    <xdr:to>
      <xdr:col>4</xdr:col>
      <xdr:colOff>22150</xdr:colOff>
      <xdr:row>1</xdr:row>
      <xdr:rowOff>44303</xdr:rowOff>
    </xdr:to>
    <xdr:pic>
      <xdr:nvPicPr>
        <xdr:cNvPr id="2" name="rg_hi" descr="http://t1.gstatic.com/images?q=tbn:ANd9GcRS209KszW-frOSIQaTGCFbRWhOa3LQRrBWr1kb9T5k3zA7QQ3t">
          <a:hlinkClick xmlns:r="http://schemas.openxmlformats.org/officeDocument/2006/relationships" r:id="rId1"/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864201" y="0"/>
          <a:ext cx="3263974" cy="37685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2297585</xdr:colOff>
      <xdr:row>0</xdr:row>
      <xdr:rowOff>3667648</xdr:rowOff>
    </xdr:to>
    <xdr:pic>
      <xdr:nvPicPr>
        <xdr:cNvPr id="3" name="1 Imagen" descr="san felipe.bmp"/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438650" y="0"/>
          <a:ext cx="2297585" cy="366764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2170814</xdr:colOff>
      <xdr:row>1</xdr:row>
      <xdr:rowOff>11075</xdr:rowOff>
    </xdr:to>
    <xdr:pic>
      <xdr:nvPicPr>
        <xdr:cNvPr id="4" name="rg_hi" descr="http://t1.gstatic.com/images?q=tbn:ANd9GcQRiYstmzQY4aFx_bWgOVIVOvbxynbIkp6nY5g9n_JhLVSKL9834w">
          <a:hlinkClick xmlns:r="http://schemas.openxmlformats.org/officeDocument/2006/relationships" r:id="rId4"/>
        </xdr:cNvPr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106025" y="0"/>
          <a:ext cx="2170814" cy="373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2912876</xdr:colOff>
      <xdr:row>0</xdr:row>
      <xdr:rowOff>0</xdr:rowOff>
    </xdr:from>
    <xdr:to>
      <xdr:col>7</xdr:col>
      <xdr:colOff>564855</xdr:colOff>
      <xdr:row>1</xdr:row>
      <xdr:rowOff>11075</xdr:rowOff>
    </xdr:to>
    <xdr:pic>
      <xdr:nvPicPr>
        <xdr:cNvPr id="5" name="4 Imagen" descr="http://www.ciudaris.com/recursos/proyectos/arboleda/imgs/pic1-full.jpg"/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5209651" y="0"/>
          <a:ext cx="3662254" cy="373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2912878</xdr:colOff>
      <xdr:row>0</xdr:row>
      <xdr:rowOff>0</xdr:rowOff>
    </xdr:from>
    <xdr:to>
      <xdr:col>8</xdr:col>
      <xdr:colOff>143981</xdr:colOff>
      <xdr:row>0</xdr:row>
      <xdr:rowOff>3721394</xdr:rowOff>
    </xdr:to>
    <xdr:pic>
      <xdr:nvPicPr>
        <xdr:cNvPr id="6" name="ctl00_ContentPlaceHolder1_imgPrincipal" descr="http://www.edificacionesinmobiliarias.com/images/productos/Copia%20de%20Imagen5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8124303" y="0"/>
          <a:ext cx="3431878" cy="3721394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9</xdr:col>
      <xdr:colOff>0</xdr:colOff>
      <xdr:row>0</xdr:row>
      <xdr:rowOff>3699244</xdr:rowOff>
    </xdr:to>
    <xdr:pic>
      <xdr:nvPicPr>
        <xdr:cNvPr id="7" name="6 Imagen" descr="http://www.inversionesgdp.com/imagenes/vista%20fachada%20la%20mar%20IV%20chico.jpg">
          <a:hlinkClick xmlns:r="http://schemas.openxmlformats.org/officeDocument/2006/relationships" r:id="rId8"/>
        </xdr:cNvPr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1412200" y="0"/>
          <a:ext cx="3438525" cy="36992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2192964</xdr:colOff>
      <xdr:row>0</xdr:row>
      <xdr:rowOff>0</xdr:rowOff>
    </xdr:from>
    <xdr:to>
      <xdr:col>5</xdr:col>
      <xdr:colOff>2901802</xdr:colOff>
      <xdr:row>1</xdr:row>
      <xdr:rowOff>22152</xdr:rowOff>
    </xdr:to>
    <xdr:pic>
      <xdr:nvPicPr>
        <xdr:cNvPr id="8" name="il_fi" descr="http://t0.gstatic.com/images?q=tbn:ANd9GcTngIjlgUtQDDiDnTbxW-YgTkvgYB5G8gry6h6my_MUddYTnUCIQBXj-7V9"/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2298989" y="0"/>
          <a:ext cx="2899588" cy="37464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132907</xdr:colOff>
      <xdr:row>0</xdr:row>
      <xdr:rowOff>155058</xdr:rowOff>
    </xdr:from>
    <xdr:to>
      <xdr:col>9</xdr:col>
      <xdr:colOff>2813199</xdr:colOff>
      <xdr:row>0</xdr:row>
      <xdr:rowOff>3610640</xdr:rowOff>
    </xdr:to>
    <xdr:pic>
      <xdr:nvPicPr>
        <xdr:cNvPr id="9" name="8 Imagen" descr="P1020702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4983632" y="155058"/>
          <a:ext cx="2680292" cy="3455582"/>
        </a:xfrm>
        <a:prstGeom prst="rect">
          <a:avLst/>
        </a:prstGeom>
        <a:ln w="2286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</xdr:spPr>
    </xdr:pic>
    <xdr:clientData/>
  </xdr:twoCellAnchor>
  <xdr:twoCellAnchor editAs="oneCell">
    <xdr:from>
      <xdr:col>10</xdr:col>
      <xdr:colOff>2505073</xdr:colOff>
      <xdr:row>0</xdr:row>
      <xdr:rowOff>0</xdr:rowOff>
    </xdr:from>
    <xdr:to>
      <xdr:col>11</xdr:col>
      <xdr:colOff>2466975</xdr:colOff>
      <xdr:row>1</xdr:row>
      <xdr:rowOff>9525</xdr:rowOff>
    </xdr:to>
    <xdr:pic>
      <xdr:nvPicPr>
        <xdr:cNvPr id="10" name="9 Imagen" descr="http://www.parametros.com.pe/images/pueblo-libre/edificio-libertad.jpg"/>
        <xdr:cNvPicPr/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0270448" y="0"/>
          <a:ext cx="3009902" cy="3733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2667000</xdr:colOff>
      <xdr:row>1</xdr:row>
      <xdr:rowOff>9525</xdr:rowOff>
    </xdr:to>
    <xdr:pic>
      <xdr:nvPicPr>
        <xdr:cNvPr id="11" name="ctl00_ContentPlaceHolder1_imgPrincipal" descr="http://www.edificacionesinmobiliarias.com/images/productos/Perspectiva%20Del%20Parque%201%20-%20modificado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3880425" y="0"/>
          <a:ext cx="2667000" cy="373380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9523</xdr:colOff>
      <xdr:row>0</xdr:row>
      <xdr:rowOff>0</xdr:rowOff>
    </xdr:from>
    <xdr:to>
      <xdr:col>14</xdr:col>
      <xdr:colOff>2857499</xdr:colOff>
      <xdr:row>0</xdr:row>
      <xdr:rowOff>3621714</xdr:rowOff>
    </xdr:to>
    <xdr:pic>
      <xdr:nvPicPr>
        <xdr:cNvPr id="12" name="rg_hi" descr="http://t1.gstatic.com/images?q=tbn:ANd9GcSeflHnyJ2oVoaeRzvjx8kBDs1YZGdG2D4RZ6zvGhH5RqLZdSGT"/>
        <xdr:cNvPicPr/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7595173" y="0"/>
          <a:ext cx="2857501" cy="36217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10</xdr:col>
      <xdr:colOff>2495550</xdr:colOff>
      <xdr:row>1</xdr:row>
      <xdr:rowOff>9525</xdr:rowOff>
    </xdr:to>
    <xdr:pic>
      <xdr:nvPicPr>
        <xdr:cNvPr id="13" name="12 Imagen" descr="foto 2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7765375" y="0"/>
          <a:ext cx="2495550" cy="37338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4</xdr:col>
      <xdr:colOff>271130</xdr:colOff>
      <xdr:row>96</xdr:row>
      <xdr:rowOff>145533</xdr:rowOff>
    </xdr:to>
    <xdr:pic>
      <xdr:nvPicPr>
        <xdr:cNvPr id="1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00025" y="17392650"/>
          <a:ext cx="10177130" cy="5289033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489699</xdr:colOff>
      <xdr:row>8</xdr:row>
      <xdr:rowOff>115822</xdr:rowOff>
    </xdr:from>
    <xdr:to>
      <xdr:col>37</xdr:col>
      <xdr:colOff>285750</xdr:colOff>
      <xdr:row>31</xdr:row>
      <xdr:rowOff>127000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161925</xdr:colOff>
      <xdr:row>34</xdr:row>
      <xdr:rowOff>143555</xdr:rowOff>
    </xdr:from>
    <xdr:to>
      <xdr:col>43</xdr:col>
      <xdr:colOff>340178</xdr:colOff>
      <xdr:row>63</xdr:row>
      <xdr:rowOff>54429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470869</xdr:colOff>
      <xdr:row>8</xdr:row>
      <xdr:rowOff>88989</xdr:rowOff>
    </xdr:from>
    <xdr:to>
      <xdr:col>42</xdr:col>
      <xdr:colOff>734786</xdr:colOff>
      <xdr:row>34</xdr:row>
      <xdr:rowOff>81643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174076</xdr:colOff>
      <xdr:row>41</xdr:row>
      <xdr:rowOff>53649</xdr:rowOff>
    </xdr:from>
    <xdr:to>
      <xdr:col>43</xdr:col>
      <xdr:colOff>740229</xdr:colOff>
      <xdr:row>60</xdr:row>
      <xdr:rowOff>141514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35</xdr:col>
      <xdr:colOff>204862</xdr:colOff>
      <xdr:row>13</xdr:row>
      <xdr:rowOff>81777</xdr:rowOff>
    </xdr:from>
    <xdr:to>
      <xdr:col>43</xdr:col>
      <xdr:colOff>653143</xdr:colOff>
      <xdr:row>38</xdr:row>
      <xdr:rowOff>76200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Sdos%20Jun200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Eval. Ing."/>
      <sheetName val="Eval. Emp."/>
      <sheetName val="Eval. Téc."/>
      <sheetName val="Areas"/>
      <sheetName val="Eval_ Ing_"/>
      <sheetName val="Datos Panel"/>
      <sheetName val="Eval__Ing_"/>
      <sheetName val="Eval__Emp_"/>
      <sheetName val="Eval__Téc_"/>
      <sheetName val="TIPFIN10"/>
      <sheetName val="1. Perfil"/>
      <sheetName val="2. Terreno"/>
      <sheetName val="3. Areas"/>
      <sheetName val="4. Prizing"/>
      <sheetName val="5. Ppto Obra"/>
      <sheetName val="6. Flujo Obras"/>
      <sheetName val="7. HU y OC"/>
      <sheetName val="8. Gastos Ind."/>
      <sheetName val="9. Gcia y ventas"/>
      <sheetName val="10. Flujo Inver."/>
      <sheetName val="11. Flujo de Ventas"/>
      <sheetName val="12. GyP"/>
      <sheetName val="6. Flujo Vtas"/>
      <sheetName val="Hoja3"/>
    </sheetNames>
    <sheetDataSet>
      <sheetData sheetId="0" refreshError="1">
        <row r="2">
          <cell r="A2">
            <v>17</v>
          </cell>
          <cell r="B2" t="str">
            <v xml:space="preserve">AGUILAR CARRERA RODOLFO </v>
          </cell>
          <cell r="C2">
            <v>1938</v>
          </cell>
          <cell r="D2">
            <v>1979</v>
          </cell>
          <cell r="E2">
            <v>2333.13</v>
          </cell>
          <cell r="I2">
            <v>2333.13</v>
          </cell>
          <cell r="J2" t="str">
            <v>G</v>
          </cell>
          <cell r="K2" t="str">
            <v>MEC</v>
          </cell>
          <cell r="L2" t="str">
            <v>OXI99</v>
          </cell>
        </row>
        <row r="3">
          <cell r="A3">
            <v>21</v>
          </cell>
          <cell r="B3" t="str">
            <v xml:space="preserve">ALVA PERAMAS AUGUSTO  </v>
          </cell>
          <cell r="C3">
            <v>1946</v>
          </cell>
          <cell r="D3">
            <v>1980</v>
          </cell>
          <cell r="E3">
            <v>2060.69</v>
          </cell>
          <cell r="F3">
            <v>556.30999999999995</v>
          </cell>
          <cell r="I3">
            <v>2617</v>
          </cell>
          <cell r="J3" t="str">
            <v>F</v>
          </cell>
          <cell r="K3" t="str">
            <v>MEC</v>
          </cell>
          <cell r="L3" t="str">
            <v>BROC</v>
          </cell>
        </row>
        <row r="4">
          <cell r="A4">
            <v>24</v>
          </cell>
          <cell r="B4" t="str">
            <v>ARRIBASPLATA VELASQUEZ TITO DANIEL</v>
          </cell>
          <cell r="C4">
            <v>1950</v>
          </cell>
          <cell r="D4">
            <v>1981</v>
          </cell>
          <cell r="E4">
            <v>5566.53</v>
          </cell>
          <cell r="F4">
            <v>2552.4499999999998</v>
          </cell>
          <cell r="I4">
            <v>8118.98</v>
          </cell>
          <cell r="J4" t="str">
            <v>E</v>
          </cell>
          <cell r="K4" t="str">
            <v>TEC</v>
          </cell>
          <cell r="L4" t="str">
            <v>ANTM</v>
          </cell>
        </row>
        <row r="5">
          <cell r="A5">
            <v>28</v>
          </cell>
          <cell r="B5" t="str">
            <v>BIELICH THIESSEN CESAR ADRIANO</v>
          </cell>
          <cell r="C5">
            <v>1950</v>
          </cell>
          <cell r="D5">
            <v>1977</v>
          </cell>
          <cell r="E5">
            <v>12790.74</v>
          </cell>
          <cell r="F5">
            <v>1209.26</v>
          </cell>
          <cell r="I5">
            <v>14000</v>
          </cell>
          <cell r="J5" t="str">
            <v>B</v>
          </cell>
          <cell r="K5" t="str">
            <v>ICIV</v>
          </cell>
          <cell r="L5" t="str">
            <v>GLOR</v>
          </cell>
        </row>
        <row r="6">
          <cell r="A6">
            <v>35</v>
          </cell>
          <cell r="B6" t="str">
            <v xml:space="preserve">BRAVO GUEVARA PATRICIA  </v>
          </cell>
          <cell r="C6">
            <v>1956</v>
          </cell>
          <cell r="D6">
            <v>1981</v>
          </cell>
          <cell r="E6">
            <v>2130</v>
          </cell>
          <cell r="I6">
            <v>2130</v>
          </cell>
          <cell r="J6" t="str">
            <v>F</v>
          </cell>
          <cell r="K6" t="str">
            <v>SEC</v>
          </cell>
          <cell r="L6" t="str">
            <v>LOG</v>
          </cell>
        </row>
        <row r="7">
          <cell r="A7">
            <v>37</v>
          </cell>
          <cell r="B7" t="str">
            <v>CABRERA GARCIA OCTAVIO FRANCISCO</v>
          </cell>
          <cell r="C7">
            <v>1950</v>
          </cell>
          <cell r="D7">
            <v>1974</v>
          </cell>
          <cell r="E7">
            <v>18300.150000000001</v>
          </cell>
          <cell r="I7">
            <v>18300.150000000001</v>
          </cell>
          <cell r="J7" t="str">
            <v>A</v>
          </cell>
          <cell r="K7" t="str">
            <v>ICIV</v>
          </cell>
          <cell r="L7" t="str">
            <v>DIVIOC</v>
          </cell>
        </row>
        <row r="8">
          <cell r="A8">
            <v>45</v>
          </cell>
          <cell r="B8" t="str">
            <v>CORREA DIAZ MAGALI LUCERO</v>
          </cell>
          <cell r="C8">
            <v>1960</v>
          </cell>
          <cell r="D8">
            <v>1980</v>
          </cell>
          <cell r="E8">
            <v>3600</v>
          </cell>
          <cell r="I8">
            <v>3600</v>
          </cell>
          <cell r="J8" t="str">
            <v>E</v>
          </cell>
          <cell r="K8" t="str">
            <v>CTD</v>
          </cell>
          <cell r="L8" t="str">
            <v>CTB</v>
          </cell>
        </row>
        <row r="9">
          <cell r="A9">
            <v>53</v>
          </cell>
          <cell r="B9" t="str">
            <v xml:space="preserve">DIAZ IMIELA GENTIMUR LUIS  </v>
          </cell>
          <cell r="C9">
            <v>1939</v>
          </cell>
          <cell r="D9">
            <v>1962</v>
          </cell>
          <cell r="E9">
            <v>19320</v>
          </cell>
          <cell r="I9">
            <v>19320</v>
          </cell>
          <cell r="J9" t="str">
            <v>A</v>
          </cell>
          <cell r="K9" t="str">
            <v>ICIV</v>
          </cell>
          <cell r="L9" t="str">
            <v>DCGyM</v>
          </cell>
        </row>
        <row r="10">
          <cell r="A10">
            <v>58</v>
          </cell>
          <cell r="B10" t="str">
            <v>FILOMENO EDWARDS MARIA TERESA</v>
          </cell>
          <cell r="C10">
            <v>1938</v>
          </cell>
          <cell r="D10">
            <v>1977</v>
          </cell>
          <cell r="E10">
            <v>4294</v>
          </cell>
          <cell r="I10">
            <v>4294</v>
          </cell>
          <cell r="J10" t="str">
            <v>H</v>
          </cell>
          <cell r="K10" t="str">
            <v>SEC</v>
          </cell>
          <cell r="L10" t="str">
            <v>DCHOL</v>
          </cell>
        </row>
        <row r="11">
          <cell r="A11">
            <v>63</v>
          </cell>
          <cell r="B11" t="str">
            <v xml:space="preserve">GRAÑA MIRO QUESADA JOSE  </v>
          </cell>
          <cell r="C11">
            <v>1945</v>
          </cell>
          <cell r="D11">
            <v>1968</v>
          </cell>
          <cell r="E11">
            <v>24640</v>
          </cell>
          <cell r="I11">
            <v>24640</v>
          </cell>
          <cell r="J11" t="str">
            <v>H</v>
          </cell>
          <cell r="K11" t="str">
            <v>ARQ</v>
          </cell>
          <cell r="L11" t="str">
            <v>DCHOL</v>
          </cell>
        </row>
        <row r="12">
          <cell r="A12">
            <v>64</v>
          </cell>
          <cell r="B12" t="str">
            <v xml:space="preserve">GALVEZ RUBIO ALFONSO  </v>
          </cell>
          <cell r="C12">
            <v>1944</v>
          </cell>
          <cell r="D12">
            <v>1966</v>
          </cell>
          <cell r="E12">
            <v>18300.11</v>
          </cell>
          <cell r="I12">
            <v>18300.11</v>
          </cell>
          <cell r="J12" t="str">
            <v>A</v>
          </cell>
          <cell r="K12" t="str">
            <v>ICIV</v>
          </cell>
          <cell r="L12" t="str">
            <v>PE</v>
          </cell>
        </row>
        <row r="13">
          <cell r="A13">
            <v>66</v>
          </cell>
          <cell r="B13" t="str">
            <v>GRAÑA ACUÑA HERNANDO ALEJANDRO</v>
          </cell>
          <cell r="C13">
            <v>1951</v>
          </cell>
          <cell r="D13">
            <v>1977</v>
          </cell>
          <cell r="E13">
            <v>19320</v>
          </cell>
          <cell r="I13">
            <v>19320</v>
          </cell>
          <cell r="J13" t="str">
            <v>A</v>
          </cell>
          <cell r="K13" t="str">
            <v>IIND</v>
          </cell>
          <cell r="L13" t="str">
            <v>DCGyM</v>
          </cell>
        </row>
        <row r="14">
          <cell r="A14">
            <v>68</v>
          </cell>
          <cell r="B14" t="str">
            <v>GUTIERREZ MABAMA DAVID ORLANDO</v>
          </cell>
          <cell r="C14">
            <v>1949</v>
          </cell>
          <cell r="D14">
            <v>1977</v>
          </cell>
          <cell r="E14">
            <v>11724</v>
          </cell>
          <cell r="I14">
            <v>11724</v>
          </cell>
          <cell r="J14" t="str">
            <v>C</v>
          </cell>
          <cell r="K14" t="str">
            <v>ICIV</v>
          </cell>
          <cell r="L14" t="str">
            <v>PTOS</v>
          </cell>
        </row>
        <row r="15">
          <cell r="A15">
            <v>73</v>
          </cell>
          <cell r="B15" t="str">
            <v xml:space="preserve">GONZALES MARSANO M.PILAR  </v>
          </cell>
          <cell r="C15">
            <v>1955</v>
          </cell>
          <cell r="D15">
            <v>1980</v>
          </cell>
          <cell r="E15">
            <v>2348.7800000000002</v>
          </cell>
          <cell r="F15">
            <v>933.22</v>
          </cell>
          <cell r="I15">
            <v>3282</v>
          </cell>
          <cell r="J15" t="str">
            <v>E</v>
          </cell>
          <cell r="K15" t="str">
            <v>SEC</v>
          </cell>
          <cell r="L15" t="str">
            <v>LTMANT</v>
          </cell>
        </row>
        <row r="16">
          <cell r="A16">
            <v>77</v>
          </cell>
          <cell r="B16" t="str">
            <v xml:space="preserve">HARMSEN ANDRESS FERNANDO  </v>
          </cell>
          <cell r="C16">
            <v>1953</v>
          </cell>
          <cell r="D16">
            <v>1988</v>
          </cell>
          <cell r="E16">
            <v>10555.76</v>
          </cell>
          <cell r="I16">
            <v>10555.76</v>
          </cell>
          <cell r="J16" t="str">
            <v>A</v>
          </cell>
          <cell r="K16">
            <v>0</v>
          </cell>
          <cell r="L16" t="str">
            <v>PAT1</v>
          </cell>
        </row>
        <row r="17">
          <cell r="A17">
            <v>79</v>
          </cell>
          <cell r="B17" t="str">
            <v xml:space="preserve">IDIAQUEZ PALACIOS ARISTIDES A.  </v>
          </cell>
          <cell r="C17">
            <v>1951</v>
          </cell>
          <cell r="D17">
            <v>1977</v>
          </cell>
          <cell r="E17">
            <v>4150</v>
          </cell>
          <cell r="I17">
            <v>4150</v>
          </cell>
          <cell r="J17" t="str">
            <v>G</v>
          </cell>
          <cell r="K17" t="str">
            <v>CONS</v>
          </cell>
          <cell r="L17" t="str">
            <v>PTOS</v>
          </cell>
        </row>
        <row r="18">
          <cell r="A18">
            <v>84</v>
          </cell>
          <cell r="B18" t="str">
            <v xml:space="preserve">LINDER BRESLAUER ALFREDO </v>
          </cell>
          <cell r="C18">
            <v>1931</v>
          </cell>
          <cell r="D18">
            <v>1960</v>
          </cell>
          <cell r="E18">
            <v>413.24</v>
          </cell>
          <cell r="I18">
            <v>413.24</v>
          </cell>
          <cell r="J18" t="str">
            <v>s/c</v>
          </cell>
          <cell r="K18" t="str">
            <v>ARQ</v>
          </cell>
          <cell r="L18" t="str">
            <v>DCTER</v>
          </cell>
        </row>
        <row r="19">
          <cell r="A19">
            <v>90</v>
          </cell>
          <cell r="B19" t="str">
            <v>MONTERO GRAÑA JUAN CARLOS ANTONIO</v>
          </cell>
          <cell r="C19">
            <v>1942</v>
          </cell>
          <cell r="D19">
            <v>1966</v>
          </cell>
          <cell r="E19">
            <v>17476</v>
          </cell>
          <cell r="I19">
            <v>17476</v>
          </cell>
          <cell r="J19" t="str">
            <v>H</v>
          </cell>
          <cell r="K19" t="str">
            <v>ICIV</v>
          </cell>
          <cell r="L19" t="str">
            <v>DCHOL</v>
          </cell>
        </row>
        <row r="20">
          <cell r="A20">
            <v>98</v>
          </cell>
          <cell r="B20" t="str">
            <v xml:space="preserve">MIO RIVADENEYRA LUIS  </v>
          </cell>
          <cell r="C20">
            <v>1939</v>
          </cell>
          <cell r="D20">
            <v>1964</v>
          </cell>
          <cell r="E20">
            <v>3000</v>
          </cell>
          <cell r="I20">
            <v>3000</v>
          </cell>
          <cell r="J20" t="str">
            <v>E</v>
          </cell>
          <cell r="K20" t="str">
            <v>TADM</v>
          </cell>
          <cell r="L20" t="str">
            <v>CEQAL</v>
          </cell>
        </row>
        <row r="21">
          <cell r="A21">
            <v>112</v>
          </cell>
          <cell r="B21" t="str">
            <v>ORMENO BRICENO CARMEN ROSA</v>
          </cell>
          <cell r="C21">
            <v>1956</v>
          </cell>
          <cell r="D21">
            <v>1979</v>
          </cell>
          <cell r="E21">
            <v>1100</v>
          </cell>
          <cell r="I21">
            <v>1100</v>
          </cell>
          <cell r="J21" t="str">
            <v>G</v>
          </cell>
          <cell r="K21" t="str">
            <v>SEC</v>
          </cell>
          <cell r="L21" t="str">
            <v>EDIFGM</v>
          </cell>
        </row>
        <row r="22">
          <cell r="A22">
            <v>125</v>
          </cell>
          <cell r="B22" t="str">
            <v>RAFFO NEYRA ALICIA SOFIA</v>
          </cell>
          <cell r="C22">
            <v>1954</v>
          </cell>
          <cell r="D22">
            <v>1975</v>
          </cell>
          <cell r="E22">
            <v>5929.74</v>
          </cell>
          <cell r="F22">
            <v>570.26</v>
          </cell>
          <cell r="I22">
            <v>6500</v>
          </cell>
          <cell r="J22" t="str">
            <v>E</v>
          </cell>
          <cell r="K22" t="str">
            <v>ARQ</v>
          </cell>
          <cell r="L22" t="str">
            <v>GMT</v>
          </cell>
        </row>
        <row r="23">
          <cell r="A23">
            <v>132</v>
          </cell>
          <cell r="B23" t="str">
            <v>RODRIGUEZ QUEQUEZANA SERGIO OSWALDO</v>
          </cell>
          <cell r="C23">
            <v>1947</v>
          </cell>
          <cell r="D23">
            <v>1980</v>
          </cell>
          <cell r="E23">
            <v>3166.69</v>
          </cell>
          <cell r="F23">
            <v>871.32</v>
          </cell>
          <cell r="I23">
            <v>4038.01</v>
          </cell>
          <cell r="J23" t="str">
            <v>F</v>
          </cell>
          <cell r="K23" t="str">
            <v>MEC</v>
          </cell>
          <cell r="L23" t="str">
            <v>BROC</v>
          </cell>
        </row>
        <row r="24">
          <cell r="A24">
            <v>137</v>
          </cell>
          <cell r="B24" t="str">
            <v xml:space="preserve">SOTELO FERRER RODOLFO  </v>
          </cell>
          <cell r="C24">
            <v>1946</v>
          </cell>
          <cell r="D24">
            <v>1976</v>
          </cell>
          <cell r="E24">
            <v>17500</v>
          </cell>
          <cell r="I24">
            <v>17500</v>
          </cell>
          <cell r="J24" t="str">
            <v>B</v>
          </cell>
          <cell r="K24" t="str">
            <v>ICIV</v>
          </cell>
          <cell r="L24" t="str">
            <v>PTOS</v>
          </cell>
        </row>
        <row r="25">
          <cell r="A25">
            <v>140</v>
          </cell>
          <cell r="B25" t="str">
            <v xml:space="preserve">SANCHEZ LOPEZ TULA  </v>
          </cell>
          <cell r="C25">
            <v>1954</v>
          </cell>
          <cell r="D25">
            <v>1976</v>
          </cell>
          <cell r="E25">
            <v>1575</v>
          </cell>
          <cell r="I25">
            <v>1575</v>
          </cell>
          <cell r="J25" t="str">
            <v>F</v>
          </cell>
          <cell r="K25">
            <v>0</v>
          </cell>
          <cell r="L25" t="str">
            <v>ADMOP</v>
          </cell>
        </row>
        <row r="26">
          <cell r="A26">
            <v>142</v>
          </cell>
          <cell r="B26" t="str">
            <v>SILVA GALVAN BAUDELIO ASTERIO</v>
          </cell>
          <cell r="C26">
            <v>1950</v>
          </cell>
          <cell r="D26">
            <v>1979</v>
          </cell>
          <cell r="E26">
            <v>3949.33</v>
          </cell>
          <cell r="F26">
            <v>945</v>
          </cell>
          <cell r="I26">
            <v>4894.33</v>
          </cell>
          <cell r="J26" t="str">
            <v>D</v>
          </cell>
          <cell r="K26" t="str">
            <v>TCONT</v>
          </cell>
          <cell r="L26" t="str">
            <v>BROC</v>
          </cell>
        </row>
        <row r="27">
          <cell r="A27">
            <v>148</v>
          </cell>
          <cell r="B27" t="str">
            <v>TINOCO PEÑA CARLOS ENRIQUE</v>
          </cell>
          <cell r="C27">
            <v>1952</v>
          </cell>
          <cell r="D27">
            <v>1980</v>
          </cell>
          <cell r="E27">
            <v>2298.15</v>
          </cell>
          <cell r="F27">
            <v>660</v>
          </cell>
          <cell r="I27">
            <v>2958.15</v>
          </cell>
          <cell r="J27" t="str">
            <v>G</v>
          </cell>
          <cell r="K27" t="str">
            <v>DIB</v>
          </cell>
          <cell r="L27" t="str">
            <v>CHIN</v>
          </cell>
        </row>
        <row r="28">
          <cell r="A28">
            <v>150</v>
          </cell>
          <cell r="B28" t="str">
            <v>VELARDE MEIER LUIS PEDRO</v>
          </cell>
          <cell r="C28">
            <v>1919</v>
          </cell>
          <cell r="D28">
            <v>1958</v>
          </cell>
          <cell r="E28">
            <v>691.16</v>
          </cell>
          <cell r="I28">
            <v>691.16</v>
          </cell>
          <cell r="J28" t="str">
            <v>s/c</v>
          </cell>
          <cell r="K28" t="str">
            <v>ABG</v>
          </cell>
          <cell r="L28" t="str">
            <v>DCTER</v>
          </cell>
        </row>
        <row r="29">
          <cell r="A29">
            <v>185</v>
          </cell>
          <cell r="B29" t="str">
            <v>ALVAREZ OCHOA ROSA IRENE</v>
          </cell>
          <cell r="C29">
            <v>1942</v>
          </cell>
          <cell r="D29">
            <v>1970</v>
          </cell>
          <cell r="E29">
            <v>1751.22</v>
          </cell>
          <cell r="F29">
            <v>646.79</v>
          </cell>
          <cell r="I29">
            <v>2398.0100000000002</v>
          </cell>
          <cell r="J29" t="str">
            <v>F</v>
          </cell>
          <cell r="K29" t="str">
            <v>SEC</v>
          </cell>
          <cell r="L29" t="str">
            <v>FIN</v>
          </cell>
        </row>
        <row r="30">
          <cell r="A30">
            <v>191</v>
          </cell>
          <cell r="B30" t="str">
            <v>FILOMENO EDWARDS MARIA CONSUELO</v>
          </cell>
          <cell r="C30">
            <v>1941</v>
          </cell>
          <cell r="D30">
            <v>1981</v>
          </cell>
          <cell r="E30">
            <v>5200</v>
          </cell>
          <cell r="I30">
            <v>5200</v>
          </cell>
          <cell r="J30" t="str">
            <v>D</v>
          </cell>
          <cell r="K30" t="str">
            <v>SEC</v>
          </cell>
          <cell r="L30" t="str">
            <v>RRHH</v>
          </cell>
        </row>
        <row r="31">
          <cell r="A31">
            <v>194</v>
          </cell>
          <cell r="B31" t="str">
            <v xml:space="preserve">HERRERA PUZA LUIS  </v>
          </cell>
          <cell r="C31">
            <v>1936</v>
          </cell>
          <cell r="D31">
            <v>1981</v>
          </cell>
          <cell r="E31">
            <v>3926.02</v>
          </cell>
          <cell r="F31">
            <v>1073.98</v>
          </cell>
          <cell r="I31">
            <v>5000</v>
          </cell>
          <cell r="J31" t="str">
            <v>F</v>
          </cell>
          <cell r="K31" t="str">
            <v>MEC</v>
          </cell>
          <cell r="L31" t="str">
            <v>ANTM</v>
          </cell>
        </row>
        <row r="32">
          <cell r="A32">
            <v>206</v>
          </cell>
          <cell r="B32" t="str">
            <v>AYONA MIROS MARIA CECILIA</v>
          </cell>
          <cell r="C32">
            <v>1957</v>
          </cell>
          <cell r="D32">
            <v>1981</v>
          </cell>
          <cell r="E32">
            <v>4790</v>
          </cell>
          <cell r="I32">
            <v>4790</v>
          </cell>
          <cell r="J32" t="str">
            <v>F</v>
          </cell>
          <cell r="K32" t="str">
            <v>ICIV</v>
          </cell>
          <cell r="L32" t="str">
            <v>PTOS</v>
          </cell>
        </row>
        <row r="33">
          <cell r="A33">
            <v>209</v>
          </cell>
          <cell r="B33" t="str">
            <v>ORTIZ NUNEZ MANUEL HUMBERTO</v>
          </cell>
          <cell r="C33">
            <v>1946</v>
          </cell>
          <cell r="D33">
            <v>1981</v>
          </cell>
          <cell r="E33">
            <v>5894.77</v>
          </cell>
          <cell r="F33">
            <v>1643.23</v>
          </cell>
          <cell r="I33">
            <v>7538</v>
          </cell>
          <cell r="J33" t="str">
            <v>D</v>
          </cell>
          <cell r="K33" t="str">
            <v>ICIV</v>
          </cell>
          <cell r="L33" t="str">
            <v>BROC</v>
          </cell>
        </row>
        <row r="34">
          <cell r="A34">
            <v>242</v>
          </cell>
          <cell r="B34" t="str">
            <v xml:space="preserve">SERRUDO CAMPANA ABEL  </v>
          </cell>
          <cell r="C34">
            <v>1945</v>
          </cell>
          <cell r="D34">
            <v>1999</v>
          </cell>
          <cell r="E34">
            <v>16550</v>
          </cell>
          <cell r="F34">
            <v>1950</v>
          </cell>
          <cell r="I34">
            <v>18500</v>
          </cell>
          <cell r="J34" t="str">
            <v>B</v>
          </cell>
          <cell r="K34" t="str">
            <v>ICIV</v>
          </cell>
          <cell r="L34" t="str">
            <v>DIVOC</v>
          </cell>
        </row>
        <row r="35">
          <cell r="A35">
            <v>283</v>
          </cell>
          <cell r="B35" t="str">
            <v>ZEGARRA CAMMINATI CESAR MANUEL</v>
          </cell>
          <cell r="C35">
            <v>1940</v>
          </cell>
          <cell r="D35">
            <v>1973</v>
          </cell>
          <cell r="E35">
            <v>14700</v>
          </cell>
          <cell r="I35">
            <v>14700</v>
          </cell>
          <cell r="J35" t="str">
            <v>B</v>
          </cell>
          <cell r="K35" t="str">
            <v>ICIV</v>
          </cell>
          <cell r="L35" t="str">
            <v>SED7</v>
          </cell>
        </row>
        <row r="36">
          <cell r="A36">
            <v>285</v>
          </cell>
          <cell r="B36" t="str">
            <v>MORENO FERNANDEZ ANTONIO ALBERTO</v>
          </cell>
          <cell r="C36">
            <v>1954</v>
          </cell>
          <cell r="D36">
            <v>1989</v>
          </cell>
          <cell r="E36">
            <v>8168.91</v>
          </cell>
          <cell r="F36">
            <v>2331.09</v>
          </cell>
          <cell r="I36">
            <v>10500</v>
          </cell>
          <cell r="J36" t="str">
            <v>C</v>
          </cell>
          <cell r="K36" t="str">
            <v>ICIV</v>
          </cell>
          <cell r="L36" t="str">
            <v>DIVOC</v>
          </cell>
        </row>
        <row r="37">
          <cell r="A37">
            <v>287</v>
          </cell>
          <cell r="B37" t="str">
            <v>GODOY POLANCO CARMEN ROSA</v>
          </cell>
          <cell r="C37">
            <v>1960</v>
          </cell>
          <cell r="D37">
            <v>1982</v>
          </cell>
          <cell r="E37">
            <v>1840.09</v>
          </cell>
          <cell r="I37">
            <v>1840.09</v>
          </cell>
          <cell r="J37" t="str">
            <v>F</v>
          </cell>
          <cell r="K37" t="str">
            <v>SEC</v>
          </cell>
          <cell r="L37" t="str">
            <v>GGCEQ</v>
          </cell>
        </row>
        <row r="38">
          <cell r="A38">
            <v>290</v>
          </cell>
          <cell r="B38" t="str">
            <v xml:space="preserve">PAREDES ZEGARRA BENJAMIN  </v>
          </cell>
          <cell r="C38">
            <v>1931</v>
          </cell>
          <cell r="D38">
            <v>1982</v>
          </cell>
          <cell r="E38">
            <v>2126.06</v>
          </cell>
          <cell r="F38">
            <v>616.95000000000005</v>
          </cell>
          <cell r="I38">
            <v>2743.01</v>
          </cell>
          <cell r="J38" t="str">
            <v>F</v>
          </cell>
          <cell r="K38" t="str">
            <v>MEC</v>
          </cell>
          <cell r="L38" t="str">
            <v>ANTM</v>
          </cell>
        </row>
        <row r="39">
          <cell r="A39">
            <v>295</v>
          </cell>
          <cell r="B39" t="str">
            <v>RUIZ HIDALGO JOSE MANUEL</v>
          </cell>
          <cell r="C39">
            <v>1959</v>
          </cell>
          <cell r="D39">
            <v>1982</v>
          </cell>
          <cell r="E39">
            <v>2500</v>
          </cell>
          <cell r="I39">
            <v>2500</v>
          </cell>
          <cell r="J39" t="str">
            <v>E</v>
          </cell>
          <cell r="K39" t="str">
            <v>TEC</v>
          </cell>
          <cell r="L39" t="str">
            <v>ADMOP</v>
          </cell>
        </row>
        <row r="40">
          <cell r="A40">
            <v>319</v>
          </cell>
          <cell r="B40" t="str">
            <v>PEREZ PALMA MARIA SUSANA</v>
          </cell>
          <cell r="C40">
            <v>1954</v>
          </cell>
          <cell r="D40">
            <v>1983</v>
          </cell>
          <cell r="E40">
            <v>2050</v>
          </cell>
          <cell r="I40">
            <v>2050</v>
          </cell>
          <cell r="J40" t="str">
            <v>F</v>
          </cell>
          <cell r="K40" t="str">
            <v>SEC</v>
          </cell>
          <cell r="L40" t="str">
            <v>PE</v>
          </cell>
        </row>
        <row r="41">
          <cell r="A41">
            <v>323</v>
          </cell>
          <cell r="B41" t="str">
            <v>SOTO MURO JAVIER FERNANDO</v>
          </cell>
          <cell r="C41">
            <v>1959</v>
          </cell>
          <cell r="D41">
            <v>1983</v>
          </cell>
          <cell r="E41">
            <v>15950.47</v>
          </cell>
          <cell r="F41">
            <v>1549.53</v>
          </cell>
          <cell r="I41">
            <v>17500</v>
          </cell>
          <cell r="J41" t="str">
            <v>B</v>
          </cell>
          <cell r="K41" t="str">
            <v>ICIV</v>
          </cell>
          <cell r="L41" t="str">
            <v>MARR</v>
          </cell>
        </row>
        <row r="42">
          <cell r="A42">
            <v>329</v>
          </cell>
          <cell r="B42" t="str">
            <v>VERA MALLQUI CESAR JESUS</v>
          </cell>
          <cell r="C42">
            <v>1954</v>
          </cell>
          <cell r="D42">
            <v>1983</v>
          </cell>
          <cell r="E42">
            <v>13605.17</v>
          </cell>
          <cell r="F42">
            <v>3894.83</v>
          </cell>
          <cell r="I42">
            <v>17500</v>
          </cell>
          <cell r="J42" t="str">
            <v>B</v>
          </cell>
          <cell r="K42" t="str">
            <v>ICIV</v>
          </cell>
          <cell r="L42" t="str">
            <v>PE</v>
          </cell>
        </row>
        <row r="43">
          <cell r="A43">
            <v>330</v>
          </cell>
          <cell r="B43" t="str">
            <v>LAMBARRI HIERRO JUAN MANUEL</v>
          </cell>
          <cell r="C43">
            <v>1958</v>
          </cell>
          <cell r="D43">
            <v>2000</v>
          </cell>
          <cell r="E43">
            <v>17840</v>
          </cell>
          <cell r="I43">
            <v>17840</v>
          </cell>
          <cell r="J43" t="str">
            <v>A</v>
          </cell>
          <cell r="K43" t="str">
            <v>ICIV</v>
          </cell>
          <cell r="L43" t="str">
            <v>DCGyM</v>
          </cell>
        </row>
        <row r="44">
          <cell r="A44">
            <v>410</v>
          </cell>
          <cell r="B44" t="str">
            <v>MORENO FERNANDEZ CARLOS ALEJANDRO</v>
          </cell>
          <cell r="C44">
            <v>1952</v>
          </cell>
          <cell r="D44">
            <v>1984</v>
          </cell>
          <cell r="E44">
            <v>8342.85</v>
          </cell>
          <cell r="F44">
            <v>775.72</v>
          </cell>
          <cell r="I44">
            <v>9118.57</v>
          </cell>
          <cell r="J44" t="str">
            <v>C</v>
          </cell>
          <cell r="K44" t="str">
            <v>ICIV</v>
          </cell>
          <cell r="L44" t="str">
            <v>AUTSR</v>
          </cell>
        </row>
        <row r="45">
          <cell r="A45">
            <v>436</v>
          </cell>
          <cell r="B45" t="str">
            <v xml:space="preserve">TORO RIVERA DANISE </v>
          </cell>
          <cell r="C45">
            <v>1962</v>
          </cell>
          <cell r="D45">
            <v>1988</v>
          </cell>
          <cell r="E45">
            <v>3000</v>
          </cell>
          <cell r="I45">
            <v>3000</v>
          </cell>
          <cell r="J45" t="str">
            <v>E</v>
          </cell>
          <cell r="K45" t="str">
            <v>SEC</v>
          </cell>
          <cell r="L45" t="str">
            <v>CCA</v>
          </cell>
        </row>
        <row r="46">
          <cell r="A46">
            <v>446</v>
          </cell>
          <cell r="B46" t="str">
            <v xml:space="preserve">MIO MOROCHO OMAR  </v>
          </cell>
          <cell r="C46">
            <v>1961</v>
          </cell>
          <cell r="D46">
            <v>1985</v>
          </cell>
          <cell r="E46">
            <v>2867.32</v>
          </cell>
          <cell r="F46">
            <v>1183.68</v>
          </cell>
          <cell r="I46">
            <v>4051</v>
          </cell>
          <cell r="J46" t="str">
            <v>E</v>
          </cell>
          <cell r="K46" t="str">
            <v>CTD</v>
          </cell>
          <cell r="L46" t="str">
            <v>CHIN</v>
          </cell>
        </row>
        <row r="47">
          <cell r="A47">
            <v>478</v>
          </cell>
          <cell r="B47" t="str">
            <v>VARGAS LOZADA CARLOS ENRIQUE JAVIER</v>
          </cell>
          <cell r="C47">
            <v>1947</v>
          </cell>
          <cell r="D47">
            <v>1985</v>
          </cell>
          <cell r="E47">
            <v>14500.02</v>
          </cell>
          <cell r="I47">
            <v>14500.02</v>
          </cell>
          <cell r="J47" t="str">
            <v>B</v>
          </cell>
          <cell r="K47" t="str">
            <v>ADM</v>
          </cell>
          <cell r="L47" t="str">
            <v>FIN</v>
          </cell>
        </row>
        <row r="48">
          <cell r="A48">
            <v>500</v>
          </cell>
          <cell r="B48" t="str">
            <v xml:space="preserve">GALLEGOS CACERES JAIME  </v>
          </cell>
          <cell r="C48">
            <v>1955</v>
          </cell>
          <cell r="D48">
            <v>1986</v>
          </cell>
          <cell r="E48">
            <v>516.5</v>
          </cell>
          <cell r="I48">
            <v>516.5</v>
          </cell>
          <cell r="J48" t="str">
            <v>B</v>
          </cell>
          <cell r="K48" t="str">
            <v>ICIV</v>
          </cell>
          <cell r="L48" t="str">
            <v>MEX</v>
          </cell>
        </row>
        <row r="49">
          <cell r="A49">
            <v>513</v>
          </cell>
          <cell r="B49" t="str">
            <v xml:space="preserve">SANTOS VILLEGAS JOSE  </v>
          </cell>
          <cell r="C49">
            <v>1952</v>
          </cell>
          <cell r="D49">
            <v>1987</v>
          </cell>
          <cell r="E49">
            <v>6500</v>
          </cell>
          <cell r="I49">
            <v>6500</v>
          </cell>
          <cell r="J49" t="str">
            <v>D</v>
          </cell>
          <cell r="K49" t="str">
            <v>CTD</v>
          </cell>
          <cell r="L49" t="str">
            <v>CTB</v>
          </cell>
        </row>
        <row r="50">
          <cell r="A50">
            <v>519</v>
          </cell>
          <cell r="B50" t="str">
            <v>CORREA DIAZ ADA MARLENE</v>
          </cell>
          <cell r="C50">
            <v>1963</v>
          </cell>
          <cell r="D50">
            <v>1987</v>
          </cell>
          <cell r="E50">
            <v>1617</v>
          </cell>
          <cell r="I50">
            <v>1617</v>
          </cell>
          <cell r="J50" t="str">
            <v>G</v>
          </cell>
          <cell r="K50" t="str">
            <v>TCONT</v>
          </cell>
          <cell r="L50" t="str">
            <v>CTB</v>
          </cell>
        </row>
        <row r="51">
          <cell r="A51">
            <v>531</v>
          </cell>
          <cell r="B51" t="str">
            <v>MARMANILLO CASAPINO JOSE CARLOS</v>
          </cell>
          <cell r="C51">
            <v>1959</v>
          </cell>
          <cell r="D51">
            <v>1987</v>
          </cell>
          <cell r="E51">
            <v>12962.96</v>
          </cell>
          <cell r="F51">
            <v>4537.04</v>
          </cell>
          <cell r="I51">
            <v>17500</v>
          </cell>
          <cell r="J51" t="str">
            <v>B</v>
          </cell>
          <cell r="K51" t="str">
            <v>ICIV</v>
          </cell>
          <cell r="L51" t="str">
            <v>ACHA</v>
          </cell>
        </row>
        <row r="52">
          <cell r="A52">
            <v>532</v>
          </cell>
          <cell r="B52" t="str">
            <v>FOO KONG DEJO CARLOS EULOGIO</v>
          </cell>
          <cell r="C52">
            <v>1951</v>
          </cell>
          <cell r="D52">
            <v>1987</v>
          </cell>
          <cell r="E52">
            <v>6889.81</v>
          </cell>
          <cell r="F52">
            <v>1971.19</v>
          </cell>
          <cell r="I52">
            <v>8861</v>
          </cell>
          <cell r="J52" t="str">
            <v>D</v>
          </cell>
          <cell r="K52" t="str">
            <v>ICIV</v>
          </cell>
          <cell r="L52" t="str">
            <v>MARR</v>
          </cell>
        </row>
        <row r="53">
          <cell r="A53">
            <v>549</v>
          </cell>
          <cell r="B53" t="str">
            <v>RANGEL GARFIAS MARIO JAIME MARTIN</v>
          </cell>
          <cell r="C53">
            <v>1962</v>
          </cell>
          <cell r="D53">
            <v>1987</v>
          </cell>
          <cell r="E53">
            <v>11253.72</v>
          </cell>
          <cell r="F53">
            <v>1092.28</v>
          </cell>
          <cell r="I53">
            <v>12346</v>
          </cell>
          <cell r="J53" t="str">
            <v>C</v>
          </cell>
          <cell r="K53" t="str">
            <v>ICIV</v>
          </cell>
          <cell r="L53" t="str">
            <v>SED7</v>
          </cell>
        </row>
        <row r="54">
          <cell r="A54">
            <v>565</v>
          </cell>
          <cell r="B54" t="str">
            <v xml:space="preserve">OVALLE GATES JUDITH  </v>
          </cell>
          <cell r="C54">
            <v>1945</v>
          </cell>
          <cell r="D54">
            <v>1987</v>
          </cell>
          <cell r="E54">
            <v>2829</v>
          </cell>
          <cell r="I54">
            <v>2829</v>
          </cell>
          <cell r="J54" t="str">
            <v>F</v>
          </cell>
          <cell r="K54" t="str">
            <v>SEC</v>
          </cell>
          <cell r="L54" t="str">
            <v>RRHH</v>
          </cell>
        </row>
        <row r="55">
          <cell r="A55">
            <v>575</v>
          </cell>
          <cell r="B55" t="str">
            <v xml:space="preserve">IDIAQUEZ PALACIOS CARLOS  </v>
          </cell>
          <cell r="C55">
            <v>1948</v>
          </cell>
          <cell r="D55">
            <v>1988</v>
          </cell>
          <cell r="E55">
            <v>1287.44</v>
          </cell>
          <cell r="I55">
            <v>1287.44</v>
          </cell>
          <cell r="J55" t="str">
            <v>F</v>
          </cell>
          <cell r="K55">
            <v>0</v>
          </cell>
          <cell r="L55" t="str">
            <v>ADMOP</v>
          </cell>
        </row>
        <row r="56">
          <cell r="A56">
            <v>580</v>
          </cell>
          <cell r="B56" t="str">
            <v>LOZANO GALLO VICTOR HUMBERTO</v>
          </cell>
          <cell r="C56">
            <v>1958</v>
          </cell>
          <cell r="D56">
            <v>1988</v>
          </cell>
          <cell r="E56">
            <v>2115.81</v>
          </cell>
          <cell r="F56">
            <v>584.19000000000005</v>
          </cell>
          <cell r="I56">
            <v>2700</v>
          </cell>
          <cell r="J56" t="str">
            <v>F</v>
          </cell>
          <cell r="K56" t="str">
            <v>TCONT</v>
          </cell>
          <cell r="L56" t="str">
            <v>BROC</v>
          </cell>
        </row>
        <row r="57">
          <cell r="A57">
            <v>587</v>
          </cell>
          <cell r="B57" t="str">
            <v xml:space="preserve">MADRID GUERRA ROLANDO  </v>
          </cell>
          <cell r="C57">
            <v>1960</v>
          </cell>
          <cell r="D57">
            <v>1988</v>
          </cell>
          <cell r="E57">
            <v>7747.27</v>
          </cell>
          <cell r="F57">
            <v>2252.73</v>
          </cell>
          <cell r="I57">
            <v>10000</v>
          </cell>
          <cell r="J57" t="str">
            <v>D</v>
          </cell>
          <cell r="K57" t="str">
            <v>ICIV</v>
          </cell>
          <cell r="L57" t="str">
            <v>BROC</v>
          </cell>
        </row>
        <row r="58">
          <cell r="A58">
            <v>592</v>
          </cell>
          <cell r="B58" t="str">
            <v>DEL CASTILLO LEON SARA ELIZABETH</v>
          </cell>
          <cell r="C58">
            <v>1959</v>
          </cell>
          <cell r="D58">
            <v>1988</v>
          </cell>
          <cell r="E58">
            <v>8300</v>
          </cell>
          <cell r="I58">
            <v>8300</v>
          </cell>
          <cell r="J58" t="str">
            <v>D</v>
          </cell>
          <cell r="K58" t="str">
            <v>ECON</v>
          </cell>
          <cell r="L58" t="str">
            <v>FIN</v>
          </cell>
        </row>
        <row r="59">
          <cell r="A59">
            <v>600</v>
          </cell>
          <cell r="B59" t="str">
            <v xml:space="preserve">GENOVEZ ROSAS NOE  </v>
          </cell>
          <cell r="C59">
            <v>1954</v>
          </cell>
          <cell r="D59">
            <v>1988</v>
          </cell>
          <cell r="E59">
            <v>2927.73</v>
          </cell>
          <cell r="F59">
            <v>272.27999999999997</v>
          </cell>
          <cell r="I59">
            <v>3200.01</v>
          </cell>
          <cell r="J59" t="str">
            <v>E</v>
          </cell>
          <cell r="K59" t="str">
            <v>TCONT</v>
          </cell>
          <cell r="L59" t="str">
            <v>AUTSR</v>
          </cell>
        </row>
        <row r="60">
          <cell r="A60">
            <v>613</v>
          </cell>
          <cell r="B60" t="str">
            <v>GARGUREVICH MONTERO HUGO ANTONIO</v>
          </cell>
          <cell r="C60">
            <v>1958</v>
          </cell>
          <cell r="D60">
            <v>1989</v>
          </cell>
          <cell r="E60">
            <v>2660</v>
          </cell>
          <cell r="I60">
            <v>2660</v>
          </cell>
          <cell r="J60" t="str">
            <v>F</v>
          </cell>
          <cell r="K60" t="str">
            <v>IADM</v>
          </cell>
          <cell r="L60" t="str">
            <v>CEQAL</v>
          </cell>
        </row>
        <row r="61">
          <cell r="A61">
            <v>615</v>
          </cell>
          <cell r="B61" t="str">
            <v>ALARCON RAMIREZ JOSE ANTONIO</v>
          </cell>
          <cell r="C61">
            <v>1962</v>
          </cell>
          <cell r="D61">
            <v>1989</v>
          </cell>
          <cell r="E61">
            <v>4915.84</v>
          </cell>
          <cell r="F61">
            <v>476.4</v>
          </cell>
          <cell r="I61">
            <v>5392.24</v>
          </cell>
          <cell r="J61" t="str">
            <v>E</v>
          </cell>
          <cell r="K61" t="str">
            <v>IADM</v>
          </cell>
          <cell r="L61" t="str">
            <v>LATRIP</v>
          </cell>
        </row>
        <row r="62">
          <cell r="A62">
            <v>618</v>
          </cell>
          <cell r="B62" t="str">
            <v>DUQUE CASTRO JUAN MARTIN</v>
          </cell>
          <cell r="C62">
            <v>1966</v>
          </cell>
          <cell r="D62">
            <v>1989</v>
          </cell>
          <cell r="E62">
            <v>1933.12</v>
          </cell>
          <cell r="F62">
            <v>366.88</v>
          </cell>
          <cell r="I62">
            <v>2300</v>
          </cell>
          <cell r="J62" t="str">
            <v>F</v>
          </cell>
          <cell r="K62" t="str">
            <v>TADM</v>
          </cell>
          <cell r="L62" t="str">
            <v>BROC</v>
          </cell>
        </row>
        <row r="63">
          <cell r="A63">
            <v>641</v>
          </cell>
          <cell r="B63" t="str">
            <v>GRADOS QUEZADA LUIS ALBERTO</v>
          </cell>
          <cell r="C63">
            <v>1954</v>
          </cell>
          <cell r="D63">
            <v>1983</v>
          </cell>
          <cell r="E63">
            <v>14700</v>
          </cell>
          <cell r="I63">
            <v>14700</v>
          </cell>
          <cell r="J63" t="str">
            <v>C</v>
          </cell>
          <cell r="K63" t="str">
            <v>IIND</v>
          </cell>
          <cell r="L63" t="str">
            <v>INFOR</v>
          </cell>
        </row>
        <row r="64">
          <cell r="A64">
            <v>642</v>
          </cell>
          <cell r="B64" t="str">
            <v>MENDOZA ALBAN CARLOS ENRIQUE</v>
          </cell>
          <cell r="C64">
            <v>1961</v>
          </cell>
          <cell r="D64">
            <v>1986</v>
          </cell>
          <cell r="E64">
            <v>7600</v>
          </cell>
          <cell r="I64">
            <v>7600</v>
          </cell>
          <cell r="J64" t="str">
            <v>D</v>
          </cell>
          <cell r="K64" t="str">
            <v>IIND</v>
          </cell>
          <cell r="L64" t="str">
            <v>INFOR</v>
          </cell>
        </row>
        <row r="65">
          <cell r="A65">
            <v>653</v>
          </cell>
          <cell r="B65" t="str">
            <v>TRABUCCO QUEA ALFREDO MARTIN</v>
          </cell>
          <cell r="C65">
            <v>1964</v>
          </cell>
          <cell r="D65">
            <v>1990</v>
          </cell>
          <cell r="E65">
            <v>8729.64</v>
          </cell>
          <cell r="F65">
            <v>1270.3599999999999</v>
          </cell>
          <cell r="I65">
            <v>10000</v>
          </cell>
          <cell r="J65" t="str">
            <v>D</v>
          </cell>
          <cell r="K65" t="str">
            <v>ICIV</v>
          </cell>
          <cell r="L65" t="str">
            <v>MARR</v>
          </cell>
        </row>
        <row r="66">
          <cell r="A66">
            <v>657</v>
          </cell>
          <cell r="B66" t="str">
            <v>FERNANDEZ SALINAS JORGE AMADEO</v>
          </cell>
          <cell r="C66">
            <v>1954</v>
          </cell>
          <cell r="D66">
            <v>1990</v>
          </cell>
          <cell r="E66">
            <v>4282.3599999999997</v>
          </cell>
          <cell r="F66">
            <v>1200</v>
          </cell>
          <cell r="I66">
            <v>5482.36</v>
          </cell>
          <cell r="J66" t="str">
            <v>D</v>
          </cell>
          <cell r="K66" t="str">
            <v>IME</v>
          </cell>
          <cell r="L66" t="str">
            <v>TORAT</v>
          </cell>
        </row>
        <row r="67">
          <cell r="A67">
            <v>665</v>
          </cell>
          <cell r="B67" t="str">
            <v xml:space="preserve">PORTOCARRERO PEREA SEGUNDO  </v>
          </cell>
          <cell r="C67">
            <v>1950</v>
          </cell>
          <cell r="D67">
            <v>1990</v>
          </cell>
          <cell r="E67">
            <v>2735.86</v>
          </cell>
          <cell r="F67">
            <v>891.5</v>
          </cell>
          <cell r="I67">
            <v>3627.36</v>
          </cell>
          <cell r="J67" t="str">
            <v>E</v>
          </cell>
          <cell r="K67" t="str">
            <v>TOP</v>
          </cell>
          <cell r="L67" t="str">
            <v>TORAT</v>
          </cell>
        </row>
        <row r="68">
          <cell r="A68">
            <v>666</v>
          </cell>
          <cell r="B68" t="str">
            <v>RUIZ ALVARO JOSE MIGUEL</v>
          </cell>
          <cell r="C68">
            <v>1936</v>
          </cell>
          <cell r="D68">
            <v>1990</v>
          </cell>
          <cell r="E68">
            <v>6889.84</v>
          </cell>
          <cell r="F68">
            <v>1910.16</v>
          </cell>
          <cell r="I68">
            <v>8800</v>
          </cell>
          <cell r="J68" t="str">
            <v>D</v>
          </cell>
          <cell r="K68" t="str">
            <v>ICIV</v>
          </cell>
          <cell r="L68" t="str">
            <v>RIPLEY</v>
          </cell>
        </row>
        <row r="69">
          <cell r="A69">
            <v>672</v>
          </cell>
          <cell r="B69" t="str">
            <v>MENENDEZ LLERENA JORGE RAUL</v>
          </cell>
          <cell r="C69">
            <v>1958</v>
          </cell>
          <cell r="D69">
            <v>1997</v>
          </cell>
          <cell r="E69">
            <v>4950</v>
          </cell>
          <cell r="I69">
            <v>4950</v>
          </cell>
          <cell r="J69" t="str">
            <v>D</v>
          </cell>
          <cell r="K69" t="str">
            <v>CTD</v>
          </cell>
          <cell r="L69" t="str">
            <v>CTB</v>
          </cell>
        </row>
        <row r="70">
          <cell r="A70">
            <v>673</v>
          </cell>
          <cell r="B70" t="str">
            <v>BUSTAMANTE RODRIGUEZ JORGE ALBERTO</v>
          </cell>
          <cell r="C70">
            <v>1955</v>
          </cell>
          <cell r="D70">
            <v>1990</v>
          </cell>
          <cell r="E70">
            <v>7620.5</v>
          </cell>
          <cell r="F70">
            <v>2161.5</v>
          </cell>
          <cell r="I70">
            <v>9782</v>
          </cell>
          <cell r="J70" t="str">
            <v>C</v>
          </cell>
          <cell r="K70" t="str">
            <v>ARQ</v>
          </cell>
          <cell r="L70" t="str">
            <v>CONC</v>
          </cell>
        </row>
        <row r="71">
          <cell r="A71">
            <v>681</v>
          </cell>
          <cell r="B71" t="str">
            <v>BASTIDAS TIRADO WILLIAM EFRAIN</v>
          </cell>
          <cell r="C71">
            <v>1963</v>
          </cell>
          <cell r="D71">
            <v>1990</v>
          </cell>
          <cell r="E71">
            <v>2663.59</v>
          </cell>
          <cell r="F71">
            <v>254.55</v>
          </cell>
          <cell r="I71">
            <v>2918.14</v>
          </cell>
          <cell r="J71" t="str">
            <v>F</v>
          </cell>
          <cell r="K71" t="str">
            <v>ICIV</v>
          </cell>
          <cell r="L71" t="str">
            <v>LOG</v>
          </cell>
        </row>
        <row r="72">
          <cell r="A72">
            <v>694</v>
          </cell>
          <cell r="B72" t="str">
            <v>QUINTO ALVARADO LUIS MIGUEL</v>
          </cell>
          <cell r="C72">
            <v>1953</v>
          </cell>
          <cell r="D72">
            <v>1990</v>
          </cell>
          <cell r="E72">
            <v>2269.67</v>
          </cell>
          <cell r="F72">
            <v>422.33</v>
          </cell>
          <cell r="I72">
            <v>2692</v>
          </cell>
          <cell r="J72" t="str">
            <v>F</v>
          </cell>
          <cell r="K72" t="str">
            <v>TADM</v>
          </cell>
          <cell r="L72" t="str">
            <v>ACHA</v>
          </cell>
        </row>
        <row r="73">
          <cell r="A73">
            <v>697</v>
          </cell>
          <cell r="B73" t="str">
            <v>GIULFO PALACIOS JUAN MANUEL</v>
          </cell>
          <cell r="C73">
            <v>1963</v>
          </cell>
          <cell r="D73">
            <v>1990</v>
          </cell>
          <cell r="E73">
            <v>5512.4</v>
          </cell>
          <cell r="F73">
            <v>1675.6</v>
          </cell>
          <cell r="I73">
            <v>7188</v>
          </cell>
          <cell r="J73" t="str">
            <v>D</v>
          </cell>
          <cell r="K73" t="str">
            <v>ICIV</v>
          </cell>
          <cell r="L73" t="str">
            <v>RALCO</v>
          </cell>
        </row>
        <row r="74">
          <cell r="A74">
            <v>713</v>
          </cell>
          <cell r="B74" t="str">
            <v>DE LA CRUZ OBREGON LUIS WALTER</v>
          </cell>
          <cell r="C74">
            <v>1952</v>
          </cell>
          <cell r="D74">
            <v>1991</v>
          </cell>
          <cell r="E74">
            <v>7486.97</v>
          </cell>
          <cell r="I74">
            <v>7486.97</v>
          </cell>
          <cell r="J74" t="str">
            <v>E</v>
          </cell>
          <cell r="K74" t="str">
            <v>TEC</v>
          </cell>
          <cell r="L74" t="str">
            <v>PTOS</v>
          </cell>
        </row>
        <row r="75">
          <cell r="A75">
            <v>714</v>
          </cell>
          <cell r="B75" t="str">
            <v>PIMENTEL BARRIO DE MENDO CARLOS ENRIQUE</v>
          </cell>
          <cell r="C75">
            <v>1954</v>
          </cell>
          <cell r="D75">
            <v>1991</v>
          </cell>
          <cell r="E75">
            <v>11713.92</v>
          </cell>
          <cell r="F75">
            <v>2786.08</v>
          </cell>
          <cell r="I75">
            <v>14500</v>
          </cell>
          <cell r="J75" t="str">
            <v>B</v>
          </cell>
          <cell r="K75" t="str">
            <v>ICIV</v>
          </cell>
          <cell r="L75" t="str">
            <v>CHIN</v>
          </cell>
        </row>
        <row r="76">
          <cell r="A76">
            <v>715</v>
          </cell>
          <cell r="B76" t="str">
            <v>MORI LOPEZ CARLOS ARTEMIO</v>
          </cell>
          <cell r="C76">
            <v>1963</v>
          </cell>
          <cell r="D76">
            <v>1991</v>
          </cell>
          <cell r="E76">
            <v>700</v>
          </cell>
          <cell r="I76">
            <v>700</v>
          </cell>
          <cell r="J76" t="str">
            <v>G</v>
          </cell>
          <cell r="K76" t="str">
            <v>PRG</v>
          </cell>
          <cell r="L76" t="str">
            <v>ADMOP</v>
          </cell>
        </row>
        <row r="77">
          <cell r="A77">
            <v>716</v>
          </cell>
          <cell r="B77" t="str">
            <v xml:space="preserve">SAAVEDRA CANESSA SEGUNDO  </v>
          </cell>
          <cell r="C77">
            <v>1959</v>
          </cell>
          <cell r="D77">
            <v>1991</v>
          </cell>
          <cell r="E77">
            <v>6000</v>
          </cell>
          <cell r="I77">
            <v>6000</v>
          </cell>
          <cell r="J77" t="str">
            <v>E</v>
          </cell>
          <cell r="K77" t="str">
            <v>IIND</v>
          </cell>
          <cell r="L77" t="str">
            <v>INFOR</v>
          </cell>
        </row>
        <row r="78">
          <cell r="A78">
            <v>718</v>
          </cell>
          <cell r="B78" t="str">
            <v>FLORES HERRERA NERIO FABRIZZIO</v>
          </cell>
          <cell r="C78">
            <v>1963</v>
          </cell>
          <cell r="D78">
            <v>1991</v>
          </cell>
          <cell r="E78">
            <v>4000</v>
          </cell>
          <cell r="I78">
            <v>4000</v>
          </cell>
          <cell r="J78" t="str">
            <v>E</v>
          </cell>
          <cell r="K78" t="str">
            <v>CTD</v>
          </cell>
          <cell r="L78" t="str">
            <v>CTB</v>
          </cell>
        </row>
        <row r="79">
          <cell r="A79">
            <v>725</v>
          </cell>
          <cell r="B79" t="str">
            <v xml:space="preserve">ESCOBEDO OBLITAS CESAR  </v>
          </cell>
          <cell r="C79">
            <v>1959</v>
          </cell>
          <cell r="D79">
            <v>1991</v>
          </cell>
          <cell r="E79">
            <v>3835.74</v>
          </cell>
          <cell r="F79">
            <v>3944.26</v>
          </cell>
          <cell r="I79">
            <v>7780</v>
          </cell>
          <cell r="J79" t="str">
            <v>E</v>
          </cell>
          <cell r="K79" t="str">
            <v>ICIV</v>
          </cell>
          <cell r="L79" t="str">
            <v>CHIMU</v>
          </cell>
        </row>
        <row r="80">
          <cell r="A80">
            <v>737</v>
          </cell>
          <cell r="B80" t="str">
            <v xml:space="preserve">MASCIOTTI GOMEZ JIMMY  </v>
          </cell>
          <cell r="C80">
            <v>1960</v>
          </cell>
          <cell r="D80">
            <v>1991</v>
          </cell>
          <cell r="E80">
            <v>16275</v>
          </cell>
          <cell r="F80">
            <v>5610.2</v>
          </cell>
          <cell r="I80">
            <v>21885.200000000001</v>
          </cell>
          <cell r="J80" t="str">
            <v>B</v>
          </cell>
          <cell r="K80" t="str">
            <v>ICIV</v>
          </cell>
          <cell r="L80" t="str">
            <v>ANTM</v>
          </cell>
        </row>
        <row r="81">
          <cell r="A81">
            <v>738</v>
          </cell>
          <cell r="B81" t="str">
            <v>GOYTIZOLO GUERRERO JORGE EULOGIO</v>
          </cell>
          <cell r="C81">
            <v>1938</v>
          </cell>
          <cell r="D81">
            <v>1991</v>
          </cell>
          <cell r="E81">
            <v>3132.02</v>
          </cell>
          <cell r="F81">
            <v>900</v>
          </cell>
          <cell r="I81">
            <v>4032.02</v>
          </cell>
          <cell r="J81" t="str">
            <v>H</v>
          </cell>
          <cell r="K81" t="str">
            <v>TADM</v>
          </cell>
          <cell r="L81" t="str">
            <v>OXI99</v>
          </cell>
        </row>
        <row r="82">
          <cell r="A82">
            <v>740</v>
          </cell>
          <cell r="B82" t="str">
            <v xml:space="preserve">TAKEMOTO KAWAMOTO FERNANDO </v>
          </cell>
          <cell r="C82">
            <v>1953</v>
          </cell>
          <cell r="D82">
            <v>1991</v>
          </cell>
          <cell r="E82">
            <v>3145.04</v>
          </cell>
          <cell r="F82">
            <v>900</v>
          </cell>
          <cell r="I82">
            <v>4045.04</v>
          </cell>
          <cell r="J82" t="str">
            <v>E</v>
          </cell>
          <cell r="K82" t="str">
            <v>TEC</v>
          </cell>
          <cell r="L82" t="str">
            <v>CHIN</v>
          </cell>
        </row>
        <row r="83">
          <cell r="A83">
            <v>741</v>
          </cell>
          <cell r="B83" t="str">
            <v xml:space="preserve">GALARZA VEGA DANILO  </v>
          </cell>
          <cell r="C83">
            <v>1950</v>
          </cell>
          <cell r="D83">
            <v>1991</v>
          </cell>
          <cell r="E83">
            <v>10068.61</v>
          </cell>
          <cell r="F83">
            <v>931.4</v>
          </cell>
          <cell r="I83">
            <v>11000.01</v>
          </cell>
          <cell r="J83" t="str">
            <v>D</v>
          </cell>
          <cell r="K83" t="str">
            <v>ICIV</v>
          </cell>
          <cell r="L83" t="str">
            <v>MARR</v>
          </cell>
        </row>
        <row r="84">
          <cell r="A84">
            <v>748</v>
          </cell>
          <cell r="B84" t="str">
            <v>RODRIGUEZ PERALTA VICTOR MANUEL</v>
          </cell>
          <cell r="C84">
            <v>1951</v>
          </cell>
          <cell r="D84">
            <v>1991</v>
          </cell>
          <cell r="E84">
            <v>2010.19</v>
          </cell>
          <cell r="F84">
            <v>589.80999999999995</v>
          </cell>
          <cell r="I84">
            <v>2600</v>
          </cell>
          <cell r="J84" t="str">
            <v>H</v>
          </cell>
          <cell r="K84">
            <v>0</v>
          </cell>
          <cell r="L84" t="str">
            <v>DCHOL</v>
          </cell>
        </row>
        <row r="85">
          <cell r="A85">
            <v>749</v>
          </cell>
          <cell r="B85" t="str">
            <v>MEDINA CENTTI MIRIAM YRIS</v>
          </cell>
          <cell r="C85">
            <v>1963</v>
          </cell>
          <cell r="D85">
            <v>1991</v>
          </cell>
          <cell r="E85">
            <v>1141.6600000000001</v>
          </cell>
          <cell r="F85">
            <v>158.34</v>
          </cell>
          <cell r="I85">
            <v>1300</v>
          </cell>
          <cell r="J85" t="str">
            <v>F</v>
          </cell>
          <cell r="K85" t="str">
            <v>SEC</v>
          </cell>
          <cell r="L85" t="str">
            <v>SEDMT</v>
          </cell>
        </row>
        <row r="86">
          <cell r="A86">
            <v>758</v>
          </cell>
          <cell r="B86" t="str">
            <v>FARFAN RAGGIO MARTHA NATALIA</v>
          </cell>
          <cell r="C86">
            <v>1972</v>
          </cell>
          <cell r="D86">
            <v>1991</v>
          </cell>
          <cell r="E86">
            <v>2000</v>
          </cell>
          <cell r="I86">
            <v>2000</v>
          </cell>
          <cell r="J86" t="str">
            <v>E</v>
          </cell>
          <cell r="K86" t="str">
            <v>SEC</v>
          </cell>
          <cell r="L86" t="str">
            <v>INFOR</v>
          </cell>
        </row>
        <row r="87">
          <cell r="A87">
            <v>759</v>
          </cell>
          <cell r="B87" t="str">
            <v>VALENZUELA SAMAME NESTOR RAUL</v>
          </cell>
          <cell r="C87">
            <v>1961</v>
          </cell>
          <cell r="D87">
            <v>1991</v>
          </cell>
          <cell r="E87">
            <v>2518.5300000000002</v>
          </cell>
          <cell r="F87">
            <v>707.16</v>
          </cell>
          <cell r="I87">
            <v>3225.69</v>
          </cell>
          <cell r="J87" t="str">
            <v>E</v>
          </cell>
          <cell r="K87" t="str">
            <v>CTD</v>
          </cell>
          <cell r="L87" t="str">
            <v>PIER</v>
          </cell>
        </row>
        <row r="88">
          <cell r="A88">
            <v>760</v>
          </cell>
          <cell r="B88" t="str">
            <v>CHANCAFE PIZARRO WILLIAM SEGUNDO</v>
          </cell>
          <cell r="C88">
            <v>1959</v>
          </cell>
          <cell r="D88">
            <v>1991</v>
          </cell>
          <cell r="E88">
            <v>2891.09</v>
          </cell>
          <cell r="F88">
            <v>272.91000000000003</v>
          </cell>
          <cell r="I88">
            <v>3164</v>
          </cell>
          <cell r="J88" t="str">
            <v>F</v>
          </cell>
          <cell r="K88" t="str">
            <v>ADM</v>
          </cell>
          <cell r="L88" t="str">
            <v>SED16</v>
          </cell>
        </row>
        <row r="89">
          <cell r="A89">
            <v>770</v>
          </cell>
          <cell r="B89" t="str">
            <v>DEL SOLAR SANTA CRUZ LUZ GABRIELA</v>
          </cell>
          <cell r="C89">
            <v>1954</v>
          </cell>
          <cell r="D89">
            <v>1991</v>
          </cell>
          <cell r="E89">
            <v>1910</v>
          </cell>
          <cell r="I89">
            <v>1910</v>
          </cell>
          <cell r="J89" t="str">
            <v>E</v>
          </cell>
          <cell r="K89" t="str">
            <v>SEC</v>
          </cell>
          <cell r="L89" t="str">
            <v>PAT1</v>
          </cell>
        </row>
        <row r="90">
          <cell r="A90">
            <v>774</v>
          </cell>
          <cell r="B90" t="str">
            <v xml:space="preserve">VASQUEZ MIRANDA DAVID  </v>
          </cell>
          <cell r="C90">
            <v>1949</v>
          </cell>
          <cell r="D90">
            <v>1991</v>
          </cell>
          <cell r="E90">
            <v>9506.91</v>
          </cell>
          <cell r="F90">
            <v>3089.44</v>
          </cell>
          <cell r="I90">
            <v>12596.35</v>
          </cell>
          <cell r="J90" t="str">
            <v>D</v>
          </cell>
          <cell r="K90" t="str">
            <v>IMIN</v>
          </cell>
          <cell r="L90" t="str">
            <v>TORAT</v>
          </cell>
        </row>
        <row r="91">
          <cell r="A91">
            <v>777</v>
          </cell>
          <cell r="B91" t="str">
            <v xml:space="preserve">LAZO ALONSO DIMAS  </v>
          </cell>
          <cell r="C91">
            <v>1959</v>
          </cell>
          <cell r="D91">
            <v>1992</v>
          </cell>
          <cell r="E91">
            <v>4550.33</v>
          </cell>
          <cell r="F91">
            <v>1470</v>
          </cell>
          <cell r="I91">
            <v>6020.33</v>
          </cell>
          <cell r="J91" t="str">
            <v>D</v>
          </cell>
          <cell r="K91" t="str">
            <v>IMEL</v>
          </cell>
          <cell r="L91" t="str">
            <v>TORAT</v>
          </cell>
        </row>
        <row r="92">
          <cell r="A92">
            <v>782</v>
          </cell>
          <cell r="B92" t="str">
            <v>GRAÑA CANEPA MARIA TERESA</v>
          </cell>
          <cell r="C92">
            <v>1971</v>
          </cell>
          <cell r="D92">
            <v>1992</v>
          </cell>
          <cell r="E92">
            <v>2700</v>
          </cell>
          <cell r="I92">
            <v>2700</v>
          </cell>
          <cell r="J92" t="str">
            <v>H</v>
          </cell>
          <cell r="K92" t="str">
            <v>DIB</v>
          </cell>
          <cell r="L92" t="str">
            <v>DCHOL</v>
          </cell>
        </row>
        <row r="93">
          <cell r="A93">
            <v>799</v>
          </cell>
          <cell r="B93" t="str">
            <v xml:space="preserve">TAPIA NUÑEZ FELIX  </v>
          </cell>
          <cell r="C93">
            <v>1944</v>
          </cell>
          <cell r="D93">
            <v>1993</v>
          </cell>
          <cell r="E93">
            <v>10039.14</v>
          </cell>
          <cell r="F93">
            <v>960.86</v>
          </cell>
          <cell r="I93">
            <v>11000</v>
          </cell>
          <cell r="J93" t="str">
            <v>D</v>
          </cell>
          <cell r="K93" t="str">
            <v>IMEL</v>
          </cell>
          <cell r="L93" t="str">
            <v>MARR</v>
          </cell>
        </row>
        <row r="94">
          <cell r="A94">
            <v>800</v>
          </cell>
          <cell r="B94" t="str">
            <v>TELLO COLLANTES MARY LILEY</v>
          </cell>
          <cell r="C94">
            <v>1964</v>
          </cell>
          <cell r="D94">
            <v>1992</v>
          </cell>
          <cell r="E94">
            <v>2167.6799999999998</v>
          </cell>
          <cell r="F94">
            <v>840</v>
          </cell>
          <cell r="I94">
            <v>3007.68</v>
          </cell>
          <cell r="J94" t="str">
            <v>F</v>
          </cell>
          <cell r="K94" t="str">
            <v>ASOC</v>
          </cell>
          <cell r="L94" t="str">
            <v>ACHA</v>
          </cell>
        </row>
        <row r="95">
          <cell r="A95">
            <v>802</v>
          </cell>
          <cell r="B95" t="str">
            <v>MILLER IBAÑEZ JAVIER ALBERTO</v>
          </cell>
          <cell r="C95">
            <v>1954</v>
          </cell>
          <cell r="D95">
            <v>1992</v>
          </cell>
          <cell r="E95">
            <v>6022.54</v>
          </cell>
          <cell r="F95">
            <v>877.46</v>
          </cell>
          <cell r="I95">
            <v>6900</v>
          </cell>
          <cell r="J95" t="str">
            <v>E</v>
          </cell>
          <cell r="K95" t="str">
            <v>TADM</v>
          </cell>
          <cell r="L95" t="str">
            <v>MARR</v>
          </cell>
        </row>
        <row r="96">
          <cell r="A96">
            <v>811</v>
          </cell>
          <cell r="B96" t="str">
            <v xml:space="preserve">ORMENO DURAND ALEJANDRO  </v>
          </cell>
          <cell r="C96">
            <v>1966</v>
          </cell>
          <cell r="D96">
            <v>1992</v>
          </cell>
          <cell r="E96">
            <v>8747.16</v>
          </cell>
          <cell r="F96">
            <v>852.85</v>
          </cell>
          <cell r="I96">
            <v>9600.01</v>
          </cell>
          <cell r="J96" t="str">
            <v>D</v>
          </cell>
          <cell r="K96" t="str">
            <v>ICIV</v>
          </cell>
          <cell r="L96" t="str">
            <v>MARR</v>
          </cell>
        </row>
        <row r="97">
          <cell r="A97">
            <v>818</v>
          </cell>
          <cell r="B97" t="str">
            <v>ZOLLA DIAZ JOSE ANTONIO</v>
          </cell>
          <cell r="C97">
            <v>1967</v>
          </cell>
          <cell r="D97">
            <v>1993</v>
          </cell>
          <cell r="E97">
            <v>10448.66</v>
          </cell>
          <cell r="F97">
            <v>3051.34</v>
          </cell>
          <cell r="I97">
            <v>13500</v>
          </cell>
          <cell r="J97" t="str">
            <v>C</v>
          </cell>
          <cell r="K97" t="str">
            <v>IMEL</v>
          </cell>
          <cell r="L97" t="str">
            <v>MEX</v>
          </cell>
        </row>
        <row r="98">
          <cell r="A98">
            <v>821</v>
          </cell>
          <cell r="B98" t="str">
            <v xml:space="preserve">ELIAS BONNEMAIS GRANA RICARDO  </v>
          </cell>
          <cell r="C98">
            <v>1935</v>
          </cell>
          <cell r="D98">
            <v>1993</v>
          </cell>
          <cell r="E98">
            <v>410</v>
          </cell>
          <cell r="I98">
            <v>410</v>
          </cell>
          <cell r="J98" t="str">
            <v>s/c</v>
          </cell>
          <cell r="K98">
            <v>0</v>
          </cell>
          <cell r="L98" t="str">
            <v>DCTER</v>
          </cell>
        </row>
        <row r="99">
          <cell r="A99">
            <v>829</v>
          </cell>
          <cell r="B99" t="str">
            <v>GOMEZ BOZA MILUSKA KAREM</v>
          </cell>
          <cell r="C99">
            <v>1969</v>
          </cell>
          <cell r="D99">
            <v>1993</v>
          </cell>
          <cell r="E99">
            <v>2360</v>
          </cell>
          <cell r="I99">
            <v>2360</v>
          </cell>
          <cell r="J99" t="str">
            <v>E</v>
          </cell>
          <cell r="K99" t="str">
            <v>TADM</v>
          </cell>
          <cell r="L99" t="str">
            <v>FIN</v>
          </cell>
        </row>
        <row r="100">
          <cell r="A100">
            <v>844</v>
          </cell>
          <cell r="B100" t="str">
            <v>MONTENEGRO CUEVA PEDRO MANUEL</v>
          </cell>
          <cell r="C100">
            <v>1962</v>
          </cell>
          <cell r="D100">
            <v>1993</v>
          </cell>
          <cell r="E100">
            <v>6814.83</v>
          </cell>
          <cell r="F100">
            <v>1985.17</v>
          </cell>
          <cell r="I100">
            <v>8800</v>
          </cell>
          <cell r="J100" t="str">
            <v>C</v>
          </cell>
          <cell r="K100" t="str">
            <v>ICIV</v>
          </cell>
          <cell r="L100" t="str">
            <v>BROC</v>
          </cell>
        </row>
        <row r="101">
          <cell r="A101">
            <v>851</v>
          </cell>
          <cell r="B101" t="str">
            <v>VERA MALLQUI ARTURO ANTONIO</v>
          </cell>
          <cell r="C101">
            <v>1965</v>
          </cell>
          <cell r="D101">
            <v>1993</v>
          </cell>
          <cell r="E101">
            <v>6839.78</v>
          </cell>
          <cell r="F101">
            <v>660.23</v>
          </cell>
          <cell r="I101">
            <v>7500.01</v>
          </cell>
          <cell r="J101" t="str">
            <v>D</v>
          </cell>
          <cell r="K101" t="str">
            <v>ICIV</v>
          </cell>
          <cell r="L101" t="str">
            <v>SED7</v>
          </cell>
        </row>
        <row r="102">
          <cell r="A102">
            <v>852</v>
          </cell>
          <cell r="B102" t="str">
            <v>CARLIN GAVIRIA LUIS JULIO</v>
          </cell>
          <cell r="C102">
            <v>1959</v>
          </cell>
          <cell r="D102">
            <v>1993</v>
          </cell>
          <cell r="E102">
            <v>3647.91</v>
          </cell>
          <cell r="F102">
            <v>351.29</v>
          </cell>
          <cell r="I102">
            <v>3999.2</v>
          </cell>
          <cell r="J102" t="str">
            <v>F</v>
          </cell>
          <cell r="K102" t="str">
            <v>CTD</v>
          </cell>
          <cell r="L102" t="str">
            <v>SEDMT</v>
          </cell>
        </row>
        <row r="103">
          <cell r="A103">
            <v>858</v>
          </cell>
          <cell r="B103" t="str">
            <v>MACEDO ZEGARRA HENRY BACILIO</v>
          </cell>
          <cell r="C103">
            <v>1958</v>
          </cell>
          <cell r="D103">
            <v>1993</v>
          </cell>
          <cell r="E103">
            <v>4209.74</v>
          </cell>
          <cell r="F103">
            <v>1234.26</v>
          </cell>
          <cell r="I103">
            <v>5444</v>
          </cell>
          <cell r="J103" t="str">
            <v>F</v>
          </cell>
          <cell r="K103" t="str">
            <v>IMET</v>
          </cell>
          <cell r="L103" t="str">
            <v>ANTM</v>
          </cell>
        </row>
        <row r="104">
          <cell r="A104">
            <v>860</v>
          </cell>
          <cell r="B104" t="str">
            <v xml:space="preserve">ARCAYA VERNAL CONSTANTINO </v>
          </cell>
          <cell r="C104">
            <v>1950</v>
          </cell>
          <cell r="D104">
            <v>2000</v>
          </cell>
          <cell r="E104">
            <v>10370</v>
          </cell>
          <cell r="F104">
            <v>3630</v>
          </cell>
          <cell r="I104">
            <v>14000</v>
          </cell>
          <cell r="J104" t="str">
            <v>C</v>
          </cell>
          <cell r="K104" t="str">
            <v>ICIV</v>
          </cell>
          <cell r="L104" t="str">
            <v>ANTM</v>
          </cell>
        </row>
        <row r="105">
          <cell r="A105">
            <v>861</v>
          </cell>
          <cell r="B105" t="str">
            <v>SAENZ PACHECO RICARDO IGNACIO</v>
          </cell>
          <cell r="C105">
            <v>1963</v>
          </cell>
          <cell r="D105">
            <v>1993</v>
          </cell>
          <cell r="E105">
            <v>6636.44</v>
          </cell>
          <cell r="F105">
            <v>2275</v>
          </cell>
          <cell r="I105">
            <v>8911.44</v>
          </cell>
          <cell r="J105" t="str">
            <v>E</v>
          </cell>
          <cell r="K105" t="str">
            <v>ICIV</v>
          </cell>
          <cell r="L105" t="str">
            <v>TORAT</v>
          </cell>
        </row>
        <row r="106">
          <cell r="A106">
            <v>863</v>
          </cell>
          <cell r="B106" t="str">
            <v>MERCADO SCARNEO HECTOR EDMUNDO</v>
          </cell>
          <cell r="C106">
            <v>1965</v>
          </cell>
          <cell r="D106">
            <v>1993</v>
          </cell>
          <cell r="E106">
            <v>11604</v>
          </cell>
          <cell r="F106">
            <v>4061.4</v>
          </cell>
          <cell r="I106">
            <v>15665.4</v>
          </cell>
          <cell r="J106" t="str">
            <v>C</v>
          </cell>
          <cell r="K106" t="str">
            <v>ICIV</v>
          </cell>
          <cell r="L106" t="str">
            <v>ACHA</v>
          </cell>
        </row>
        <row r="107">
          <cell r="A107">
            <v>867</v>
          </cell>
          <cell r="B107" t="str">
            <v>OLIVERO GROPPO MILAGRITOS TATIANA</v>
          </cell>
          <cell r="C107">
            <v>1969</v>
          </cell>
          <cell r="D107">
            <v>1993</v>
          </cell>
          <cell r="E107">
            <v>3700</v>
          </cell>
          <cell r="I107">
            <v>3700</v>
          </cell>
          <cell r="J107" t="str">
            <v>D</v>
          </cell>
          <cell r="K107" t="str">
            <v>ECON</v>
          </cell>
          <cell r="L107" t="str">
            <v>GGCEQ</v>
          </cell>
        </row>
        <row r="108">
          <cell r="A108">
            <v>871</v>
          </cell>
          <cell r="B108" t="str">
            <v>DONAYRE REVILLA BEATRIZ CONSUELO</v>
          </cell>
          <cell r="C108">
            <v>1966</v>
          </cell>
          <cell r="D108">
            <v>1993</v>
          </cell>
          <cell r="E108">
            <v>4933.2</v>
          </cell>
          <cell r="I108">
            <v>4933.2</v>
          </cell>
          <cell r="J108" t="str">
            <v>E</v>
          </cell>
          <cell r="K108" t="str">
            <v>ICIV</v>
          </cell>
          <cell r="L108" t="str">
            <v>PTOS</v>
          </cell>
        </row>
        <row r="109">
          <cell r="A109">
            <v>881</v>
          </cell>
          <cell r="B109" t="str">
            <v>QUIÑONES LAVARELLO MONICA PILAR</v>
          </cell>
          <cell r="C109">
            <v>1966</v>
          </cell>
          <cell r="D109">
            <v>1993</v>
          </cell>
          <cell r="E109">
            <v>3600</v>
          </cell>
          <cell r="I109">
            <v>3600</v>
          </cell>
          <cell r="J109" t="str">
            <v>E</v>
          </cell>
          <cell r="K109" t="str">
            <v>SEC</v>
          </cell>
          <cell r="L109" t="str">
            <v>DCGyM</v>
          </cell>
        </row>
        <row r="110">
          <cell r="A110">
            <v>883</v>
          </cell>
          <cell r="B110" t="str">
            <v xml:space="preserve">KOROLIJA PECOTIC ANDRIJA  </v>
          </cell>
          <cell r="C110">
            <v>1947</v>
          </cell>
          <cell r="D110">
            <v>1993</v>
          </cell>
          <cell r="E110">
            <v>11700</v>
          </cell>
          <cell r="I110">
            <v>11700</v>
          </cell>
          <cell r="J110" t="str">
            <v>C</v>
          </cell>
          <cell r="K110" t="str">
            <v>IMEL</v>
          </cell>
          <cell r="L110" t="str">
            <v>CEQMT</v>
          </cell>
        </row>
        <row r="111">
          <cell r="A111">
            <v>886</v>
          </cell>
          <cell r="B111" t="str">
            <v xml:space="preserve">DULANTO PEDREROS JOHANNA  </v>
          </cell>
          <cell r="C111">
            <v>1973</v>
          </cell>
          <cell r="D111">
            <v>1994</v>
          </cell>
          <cell r="E111">
            <v>2005.01</v>
          </cell>
          <cell r="I111">
            <v>2005.01</v>
          </cell>
          <cell r="J111" t="str">
            <v>E</v>
          </cell>
          <cell r="K111" t="str">
            <v>SEC</v>
          </cell>
          <cell r="L111" t="str">
            <v>DIVIOC</v>
          </cell>
        </row>
        <row r="112">
          <cell r="A112">
            <v>898</v>
          </cell>
          <cell r="B112" t="str">
            <v>MENDOZA CASTRO MARIELA PATRICIA</v>
          </cell>
          <cell r="C112">
            <v>1966</v>
          </cell>
          <cell r="D112">
            <v>1994</v>
          </cell>
          <cell r="E112">
            <v>1900</v>
          </cell>
          <cell r="I112">
            <v>1900</v>
          </cell>
          <cell r="J112" t="str">
            <v>F</v>
          </cell>
          <cell r="K112" t="str">
            <v>SEC</v>
          </cell>
          <cell r="L112" t="str">
            <v>LOG</v>
          </cell>
        </row>
        <row r="113">
          <cell r="A113">
            <v>900</v>
          </cell>
          <cell r="B113" t="str">
            <v xml:space="preserve">ACHULLA BRAVO RAUL  </v>
          </cell>
          <cell r="C113">
            <v>1956</v>
          </cell>
          <cell r="D113">
            <v>1994</v>
          </cell>
          <cell r="E113">
            <v>2590.08</v>
          </cell>
          <cell r="F113">
            <v>758.92</v>
          </cell>
          <cell r="I113">
            <v>3349</v>
          </cell>
          <cell r="J113" t="str">
            <v>F</v>
          </cell>
          <cell r="K113" t="str">
            <v>TOP</v>
          </cell>
          <cell r="L113" t="str">
            <v>CHIN</v>
          </cell>
        </row>
        <row r="114">
          <cell r="A114">
            <v>901</v>
          </cell>
          <cell r="B114" t="str">
            <v xml:space="preserve">CARRILLO THORNE MANUEL  </v>
          </cell>
          <cell r="C114">
            <v>1956</v>
          </cell>
          <cell r="D114">
            <v>1994</v>
          </cell>
          <cell r="E114">
            <v>17414</v>
          </cell>
          <cell r="I114">
            <v>17414</v>
          </cell>
          <cell r="J114" t="str">
            <v>H</v>
          </cell>
          <cell r="K114" t="str">
            <v>ECON</v>
          </cell>
          <cell r="L114" t="str">
            <v>DCHOL</v>
          </cell>
        </row>
        <row r="115">
          <cell r="A115">
            <v>903</v>
          </cell>
          <cell r="B115" t="str">
            <v>WERTHEMAN RIVAS JORGE ERNESTO</v>
          </cell>
          <cell r="C115">
            <v>1960</v>
          </cell>
          <cell r="D115">
            <v>1994</v>
          </cell>
          <cell r="E115">
            <v>4950.43</v>
          </cell>
          <cell r="F115">
            <v>1645</v>
          </cell>
          <cell r="I115">
            <v>6595.43</v>
          </cell>
          <cell r="J115" t="str">
            <v>D</v>
          </cell>
          <cell r="K115" t="str">
            <v>ICIV</v>
          </cell>
          <cell r="L115" t="str">
            <v>3M</v>
          </cell>
        </row>
        <row r="116">
          <cell r="A116">
            <v>912</v>
          </cell>
          <cell r="B116" t="str">
            <v>VILCAHUAMAN CAJACURI NILO PERCY</v>
          </cell>
          <cell r="C116">
            <v>1960</v>
          </cell>
          <cell r="D116">
            <v>1994</v>
          </cell>
          <cell r="E116">
            <v>7725</v>
          </cell>
          <cell r="I116">
            <v>7725</v>
          </cell>
          <cell r="J116" t="str">
            <v>E</v>
          </cell>
          <cell r="K116" t="str">
            <v>ICIV</v>
          </cell>
          <cell r="L116" t="str">
            <v>DIVIOC</v>
          </cell>
        </row>
        <row r="117">
          <cell r="A117">
            <v>917</v>
          </cell>
          <cell r="B117" t="str">
            <v>RAYGADA BREGANTE JORGE LUIS</v>
          </cell>
          <cell r="C117">
            <v>1965</v>
          </cell>
          <cell r="D117">
            <v>1994</v>
          </cell>
          <cell r="E117">
            <v>5248.8</v>
          </cell>
          <cell r="F117">
            <v>501.2</v>
          </cell>
          <cell r="I117">
            <v>5750</v>
          </cell>
          <cell r="J117" t="str">
            <v>D</v>
          </cell>
          <cell r="K117" t="str">
            <v>ICIV</v>
          </cell>
          <cell r="L117" t="str">
            <v>SEDMT</v>
          </cell>
        </row>
        <row r="118">
          <cell r="A118">
            <v>918</v>
          </cell>
          <cell r="B118" t="str">
            <v>BRACAMONTE CAMACHO MIGUEL ANGEL</v>
          </cell>
          <cell r="C118">
            <v>1970</v>
          </cell>
          <cell r="D118">
            <v>1994</v>
          </cell>
          <cell r="E118">
            <v>4180.59</v>
          </cell>
          <cell r="F118">
            <v>619.41</v>
          </cell>
          <cell r="I118">
            <v>4800</v>
          </cell>
          <cell r="J118" t="str">
            <v>E</v>
          </cell>
          <cell r="K118" t="str">
            <v>ICIV</v>
          </cell>
          <cell r="L118" t="str">
            <v>MARR</v>
          </cell>
        </row>
        <row r="119">
          <cell r="A119">
            <v>919</v>
          </cell>
          <cell r="B119" t="str">
            <v>ACOSTA MEDINA CECILIA LEONOR</v>
          </cell>
          <cell r="C119">
            <v>1971</v>
          </cell>
          <cell r="D119">
            <v>1994</v>
          </cell>
          <cell r="E119">
            <v>3926</v>
          </cell>
          <cell r="F119">
            <v>387.7</v>
          </cell>
          <cell r="I119">
            <v>4313.7</v>
          </cell>
          <cell r="J119" t="str">
            <v>F</v>
          </cell>
          <cell r="K119" t="str">
            <v>ICIV</v>
          </cell>
          <cell r="L119" t="str">
            <v>SED7</v>
          </cell>
        </row>
        <row r="120">
          <cell r="A120">
            <v>921</v>
          </cell>
          <cell r="B120" t="str">
            <v>JORDAN MUSSO RODOLFO RICARDO</v>
          </cell>
          <cell r="C120">
            <v>1952</v>
          </cell>
          <cell r="D120">
            <v>1994</v>
          </cell>
          <cell r="E120">
            <v>2915</v>
          </cell>
          <cell r="I120">
            <v>2915</v>
          </cell>
          <cell r="J120" t="str">
            <v>A</v>
          </cell>
          <cell r="K120" t="str">
            <v>ICIV</v>
          </cell>
          <cell r="L120" t="str">
            <v>MEX</v>
          </cell>
        </row>
        <row r="121">
          <cell r="A121">
            <v>925</v>
          </cell>
          <cell r="B121" t="str">
            <v>CROSBY ROBINSON ANDRES JAIME</v>
          </cell>
          <cell r="C121">
            <v>1955</v>
          </cell>
          <cell r="D121">
            <v>1999</v>
          </cell>
          <cell r="E121">
            <v>17000</v>
          </cell>
          <cell r="I121">
            <v>17000</v>
          </cell>
          <cell r="J121" t="str">
            <v>C</v>
          </cell>
          <cell r="K121" t="str">
            <v>IME</v>
          </cell>
          <cell r="L121" t="str">
            <v>DIVIOC</v>
          </cell>
        </row>
        <row r="122">
          <cell r="A122">
            <v>931</v>
          </cell>
          <cell r="B122" t="str">
            <v>TORRES PINEDO MIGUEL ANGEL</v>
          </cell>
          <cell r="C122">
            <v>1970</v>
          </cell>
          <cell r="D122">
            <v>1994</v>
          </cell>
          <cell r="E122">
            <v>2198.87</v>
          </cell>
          <cell r="F122">
            <v>651.34</v>
          </cell>
          <cell r="I122">
            <v>2850.21</v>
          </cell>
          <cell r="J122" t="str">
            <v>F</v>
          </cell>
          <cell r="K122" t="str">
            <v>ADM</v>
          </cell>
          <cell r="L122" t="str">
            <v>LTMS</v>
          </cell>
        </row>
        <row r="123">
          <cell r="A123">
            <v>932</v>
          </cell>
          <cell r="B123" t="str">
            <v>GUERRA AMES NORKA LIZ</v>
          </cell>
          <cell r="C123">
            <v>1972</v>
          </cell>
          <cell r="D123">
            <v>1994</v>
          </cell>
          <cell r="E123">
            <v>4000</v>
          </cell>
          <cell r="I123">
            <v>4000</v>
          </cell>
          <cell r="J123" t="str">
            <v>E</v>
          </cell>
          <cell r="K123" t="str">
            <v>ISIS</v>
          </cell>
          <cell r="L123" t="str">
            <v>INFOR</v>
          </cell>
        </row>
        <row r="124">
          <cell r="A124">
            <v>944</v>
          </cell>
          <cell r="B124" t="str">
            <v>CASTILLO MIRANDA YANINA NOEMA</v>
          </cell>
          <cell r="C124">
            <v>1965</v>
          </cell>
          <cell r="D124">
            <v>1994</v>
          </cell>
          <cell r="E124">
            <v>2500</v>
          </cell>
          <cell r="I124">
            <v>2500</v>
          </cell>
          <cell r="J124" t="str">
            <v>H</v>
          </cell>
          <cell r="K124" t="str">
            <v>CTD</v>
          </cell>
          <cell r="L124" t="str">
            <v>DCHOL</v>
          </cell>
        </row>
        <row r="125">
          <cell r="A125">
            <v>948</v>
          </cell>
          <cell r="B125" t="str">
            <v>BELTRAN MOLINA JORGE HUGO</v>
          </cell>
          <cell r="C125">
            <v>1965</v>
          </cell>
          <cell r="D125">
            <v>1994</v>
          </cell>
          <cell r="E125">
            <v>4000</v>
          </cell>
          <cell r="I125">
            <v>4000</v>
          </cell>
          <cell r="J125" t="str">
            <v>E</v>
          </cell>
          <cell r="K125" t="str">
            <v>ICIV</v>
          </cell>
          <cell r="L125" t="str">
            <v>RALCO</v>
          </cell>
        </row>
        <row r="126">
          <cell r="A126">
            <v>949</v>
          </cell>
          <cell r="B126" t="str">
            <v xml:space="preserve">GANOZA RODRIGUEZ AUGUSTO  </v>
          </cell>
          <cell r="C126">
            <v>1968</v>
          </cell>
          <cell r="D126">
            <v>1995</v>
          </cell>
          <cell r="E126">
            <v>10446.83</v>
          </cell>
          <cell r="F126">
            <v>1553.17</v>
          </cell>
          <cell r="I126">
            <v>12000</v>
          </cell>
          <cell r="J126" t="str">
            <v>B</v>
          </cell>
          <cell r="K126" t="str">
            <v>IIND</v>
          </cell>
          <cell r="L126" t="str">
            <v>SEDMT</v>
          </cell>
        </row>
        <row r="127">
          <cell r="A127">
            <v>954</v>
          </cell>
          <cell r="B127" t="str">
            <v>DEL RIO RENDON JUAN CARLOS</v>
          </cell>
          <cell r="C127">
            <v>1969</v>
          </cell>
          <cell r="D127">
            <v>1995</v>
          </cell>
          <cell r="E127">
            <v>5227.2700000000004</v>
          </cell>
          <cell r="F127">
            <v>522.73</v>
          </cell>
          <cell r="I127">
            <v>5750</v>
          </cell>
          <cell r="J127" t="str">
            <v>D</v>
          </cell>
          <cell r="K127" t="str">
            <v>ICIV</v>
          </cell>
          <cell r="L127" t="str">
            <v>SED 16</v>
          </cell>
        </row>
        <row r="128">
          <cell r="A128">
            <v>955</v>
          </cell>
          <cell r="B128" t="str">
            <v>GRAY CHICCHON JOHN EDWARDS</v>
          </cell>
          <cell r="C128">
            <v>1973</v>
          </cell>
          <cell r="D128">
            <v>1995</v>
          </cell>
          <cell r="E128">
            <v>3300</v>
          </cell>
          <cell r="I128">
            <v>3300</v>
          </cell>
          <cell r="J128" t="str">
            <v>E</v>
          </cell>
          <cell r="K128" t="str">
            <v>ABG</v>
          </cell>
          <cell r="L128" t="str">
            <v>PTOS</v>
          </cell>
        </row>
        <row r="129">
          <cell r="A129">
            <v>958</v>
          </cell>
          <cell r="B129" t="str">
            <v>CABELLOS VASQUEZ EDUARDO RICARDO</v>
          </cell>
          <cell r="C129">
            <v>1941</v>
          </cell>
          <cell r="D129">
            <v>1991</v>
          </cell>
          <cell r="E129">
            <v>2635.18</v>
          </cell>
          <cell r="F129">
            <v>764.82</v>
          </cell>
          <cell r="I129">
            <v>3400</v>
          </cell>
          <cell r="J129" t="str">
            <v>F</v>
          </cell>
          <cell r="K129" t="str">
            <v>MEC</v>
          </cell>
          <cell r="L129" t="str">
            <v>ANTM</v>
          </cell>
        </row>
        <row r="130">
          <cell r="A130">
            <v>963</v>
          </cell>
          <cell r="B130" t="str">
            <v>ULLOA CLAVIJO JUAN MANUEL</v>
          </cell>
          <cell r="C130">
            <v>1966</v>
          </cell>
          <cell r="D130">
            <v>1995</v>
          </cell>
          <cell r="E130">
            <v>6500</v>
          </cell>
          <cell r="F130">
            <v>2275</v>
          </cell>
          <cell r="I130">
            <v>8775</v>
          </cell>
          <cell r="J130" t="str">
            <v>D</v>
          </cell>
          <cell r="K130" t="str">
            <v>ICIV</v>
          </cell>
          <cell r="L130" t="str">
            <v>ACHA</v>
          </cell>
        </row>
        <row r="131">
          <cell r="A131">
            <v>966</v>
          </cell>
          <cell r="B131" t="str">
            <v xml:space="preserve">RAMIREZ RIVERA VICTOR  </v>
          </cell>
          <cell r="C131">
            <v>1948</v>
          </cell>
          <cell r="D131">
            <v>1998</v>
          </cell>
          <cell r="E131">
            <v>2127.2800000000002</v>
          </cell>
          <cell r="F131">
            <v>212.72</v>
          </cell>
          <cell r="I131">
            <v>2340</v>
          </cell>
          <cell r="J131" t="str">
            <v>F</v>
          </cell>
          <cell r="K131" t="str">
            <v>TOP</v>
          </cell>
          <cell r="L131" t="str">
            <v>SED7</v>
          </cell>
        </row>
        <row r="132">
          <cell r="A132">
            <v>973</v>
          </cell>
          <cell r="B132" t="str">
            <v>ANICAMA SOTELO JUAN ESTANISLAO</v>
          </cell>
          <cell r="C132">
            <v>1947</v>
          </cell>
          <cell r="D132">
            <v>1995</v>
          </cell>
          <cell r="E132">
            <v>3126.59</v>
          </cell>
          <cell r="F132">
            <v>1018.61</v>
          </cell>
          <cell r="I132">
            <v>4145.2</v>
          </cell>
          <cell r="J132" t="str">
            <v>E</v>
          </cell>
          <cell r="K132" t="str">
            <v>TOP</v>
          </cell>
          <cell r="L132" t="str">
            <v>TORAT</v>
          </cell>
        </row>
        <row r="133">
          <cell r="A133">
            <v>974</v>
          </cell>
          <cell r="B133" t="str">
            <v>GUILLEN FLORES JORGE EDUARDO</v>
          </cell>
          <cell r="C133">
            <v>1965</v>
          </cell>
          <cell r="D133">
            <v>1997</v>
          </cell>
          <cell r="E133">
            <v>9500</v>
          </cell>
          <cell r="I133">
            <v>9500</v>
          </cell>
          <cell r="J133" t="str">
            <v>D</v>
          </cell>
          <cell r="K133" t="str">
            <v>ICIV</v>
          </cell>
          <cell r="L133" t="str">
            <v>PTOS</v>
          </cell>
        </row>
        <row r="134">
          <cell r="A134">
            <v>976</v>
          </cell>
          <cell r="B134" t="str">
            <v>VALENZUELA ORTIZ JORGE FERNANDO</v>
          </cell>
          <cell r="C134">
            <v>1970</v>
          </cell>
          <cell r="D134">
            <v>1997</v>
          </cell>
          <cell r="E134">
            <v>8000</v>
          </cell>
          <cell r="F134">
            <v>2800</v>
          </cell>
          <cell r="I134">
            <v>10800</v>
          </cell>
          <cell r="J134" t="str">
            <v>C</v>
          </cell>
          <cell r="K134" t="str">
            <v>ICIV</v>
          </cell>
          <cell r="L134" t="str">
            <v>TORAT</v>
          </cell>
        </row>
        <row r="135">
          <cell r="A135">
            <v>977</v>
          </cell>
          <cell r="B135" t="str">
            <v>CARBONELL ROMAN JOSE ANTONIO</v>
          </cell>
          <cell r="C135">
            <v>1966</v>
          </cell>
          <cell r="D135">
            <v>1995</v>
          </cell>
          <cell r="E135">
            <v>3500</v>
          </cell>
          <cell r="F135">
            <v>1050</v>
          </cell>
          <cell r="I135">
            <v>4550</v>
          </cell>
          <cell r="J135" t="str">
            <v>E</v>
          </cell>
          <cell r="K135" t="str">
            <v>CTD</v>
          </cell>
          <cell r="L135" t="str">
            <v>LTMANT</v>
          </cell>
        </row>
        <row r="136">
          <cell r="A136">
            <v>978</v>
          </cell>
          <cell r="B136" t="str">
            <v>OLIVERO GROPPO JUAN ENRIQUE</v>
          </cell>
          <cell r="C136">
            <v>1966</v>
          </cell>
          <cell r="D136">
            <v>1995</v>
          </cell>
          <cell r="E136">
            <v>9900</v>
          </cell>
          <cell r="I136">
            <v>9900</v>
          </cell>
          <cell r="J136" t="str">
            <v>C</v>
          </cell>
          <cell r="K136" t="str">
            <v>IECO</v>
          </cell>
          <cell r="L136" t="str">
            <v>PyC</v>
          </cell>
        </row>
        <row r="137">
          <cell r="A137">
            <v>981</v>
          </cell>
          <cell r="B137" t="str">
            <v>GUTIERREZ ARRESE MERCEDES GLORIA</v>
          </cell>
          <cell r="C137">
            <v>1965</v>
          </cell>
          <cell r="D137">
            <v>1995</v>
          </cell>
          <cell r="E137">
            <v>1370</v>
          </cell>
          <cell r="I137">
            <v>1370</v>
          </cell>
          <cell r="J137" t="str">
            <v>G</v>
          </cell>
          <cell r="K137" t="str">
            <v>LIT</v>
          </cell>
          <cell r="L137" t="str">
            <v>ADMOP</v>
          </cell>
        </row>
        <row r="138">
          <cell r="A138">
            <v>986</v>
          </cell>
          <cell r="B138" t="str">
            <v xml:space="preserve">REYES MORALES GUILLERMO  </v>
          </cell>
          <cell r="C138">
            <v>1934</v>
          </cell>
          <cell r="D138">
            <v>1995</v>
          </cell>
          <cell r="E138">
            <v>5285.8</v>
          </cell>
          <cell r="I138">
            <v>5285.8</v>
          </cell>
          <cell r="J138" t="str">
            <v>H</v>
          </cell>
          <cell r="K138" t="str">
            <v>ICIV</v>
          </cell>
          <cell r="L138" t="str">
            <v>EDIFGM</v>
          </cell>
        </row>
        <row r="139">
          <cell r="A139">
            <v>987</v>
          </cell>
          <cell r="B139" t="str">
            <v>YARLEQUE LARREA JAVIER LUCIO</v>
          </cell>
          <cell r="C139">
            <v>1972</v>
          </cell>
          <cell r="D139">
            <v>1995</v>
          </cell>
          <cell r="E139">
            <v>2471.58</v>
          </cell>
          <cell r="F139">
            <v>708.99</v>
          </cell>
          <cell r="I139">
            <v>3180.57</v>
          </cell>
          <cell r="J139" t="str">
            <v>H</v>
          </cell>
          <cell r="K139" t="str">
            <v>MMAQ</v>
          </cell>
          <cell r="L139" t="str">
            <v>LIQUID</v>
          </cell>
        </row>
        <row r="140">
          <cell r="A140">
            <v>988</v>
          </cell>
          <cell r="B140" t="str">
            <v>CASTRO ROCA ALVARO MARTIN</v>
          </cell>
          <cell r="C140">
            <v>1965</v>
          </cell>
          <cell r="D140">
            <v>1995</v>
          </cell>
          <cell r="E140">
            <v>9960</v>
          </cell>
          <cell r="I140">
            <v>9960</v>
          </cell>
          <cell r="J140" t="str">
            <v>H</v>
          </cell>
          <cell r="K140" t="str">
            <v>ECON</v>
          </cell>
          <cell r="L140" t="str">
            <v>DCHOL</v>
          </cell>
        </row>
        <row r="141">
          <cell r="A141">
            <v>990</v>
          </cell>
          <cell r="B141" t="str">
            <v>RIDOUTT LA ROSA EDUARDO ENRIQUE</v>
          </cell>
          <cell r="C141">
            <v>1924</v>
          </cell>
          <cell r="D141">
            <v>1995</v>
          </cell>
          <cell r="E141">
            <v>1000</v>
          </cell>
          <cell r="I141">
            <v>1000</v>
          </cell>
          <cell r="J141" t="str">
            <v>s/c</v>
          </cell>
          <cell r="K141" t="str">
            <v>ICIV</v>
          </cell>
          <cell r="L141" t="str">
            <v>DIVOC</v>
          </cell>
        </row>
        <row r="142">
          <cell r="A142">
            <v>991</v>
          </cell>
          <cell r="B142" t="str">
            <v>BARRIOS GUTIERREZ REYNALDO EBBERT</v>
          </cell>
          <cell r="C142">
            <v>1971</v>
          </cell>
          <cell r="D142">
            <v>1995</v>
          </cell>
          <cell r="E142">
            <v>800</v>
          </cell>
          <cell r="I142">
            <v>800</v>
          </cell>
          <cell r="J142" t="str">
            <v>G</v>
          </cell>
          <cell r="K142">
            <v>0</v>
          </cell>
          <cell r="L142" t="str">
            <v>LIQUID</v>
          </cell>
        </row>
        <row r="143">
          <cell r="A143">
            <v>995</v>
          </cell>
          <cell r="B143" t="str">
            <v xml:space="preserve">ALAMO PALACIOS VICENTE  </v>
          </cell>
          <cell r="C143">
            <v>1967</v>
          </cell>
          <cell r="D143">
            <v>1995</v>
          </cell>
          <cell r="E143">
            <v>3250</v>
          </cell>
          <cell r="F143">
            <v>812.5</v>
          </cell>
          <cell r="I143">
            <v>4062.5</v>
          </cell>
          <cell r="J143" t="str">
            <v>E</v>
          </cell>
          <cell r="K143" t="str">
            <v>CTD</v>
          </cell>
          <cell r="L143" t="str">
            <v>ANTM</v>
          </cell>
        </row>
        <row r="144">
          <cell r="A144">
            <v>996</v>
          </cell>
          <cell r="B144" t="str">
            <v>DURAN FERNANDEZ CESAR AUGUSTO</v>
          </cell>
          <cell r="C144">
            <v>1954</v>
          </cell>
          <cell r="D144">
            <v>1995</v>
          </cell>
          <cell r="E144">
            <v>1945</v>
          </cell>
          <cell r="F144">
            <v>389</v>
          </cell>
          <cell r="I144">
            <v>2334</v>
          </cell>
          <cell r="J144" t="str">
            <v>F</v>
          </cell>
          <cell r="K144">
            <v>0</v>
          </cell>
          <cell r="L144" t="str">
            <v>CEQMT</v>
          </cell>
        </row>
        <row r="145">
          <cell r="A145">
            <v>998</v>
          </cell>
          <cell r="B145" t="str">
            <v>SALDAÑA LEON VICTOR AUGUSTO</v>
          </cell>
          <cell r="C145">
            <v>1970</v>
          </cell>
          <cell r="D145">
            <v>1996</v>
          </cell>
          <cell r="E145">
            <v>2500</v>
          </cell>
          <cell r="F145">
            <v>750</v>
          </cell>
          <cell r="I145">
            <v>3250</v>
          </cell>
          <cell r="J145" t="str">
            <v>F</v>
          </cell>
          <cell r="K145" t="str">
            <v>CTD</v>
          </cell>
          <cell r="L145" t="str">
            <v>CHIN</v>
          </cell>
        </row>
        <row r="146">
          <cell r="A146">
            <v>1000</v>
          </cell>
          <cell r="B146" t="str">
            <v xml:space="preserve">PANDURO VASQUEZ PEDRO  </v>
          </cell>
          <cell r="C146">
            <v>1968</v>
          </cell>
          <cell r="D146">
            <v>1996</v>
          </cell>
          <cell r="E146">
            <v>1300</v>
          </cell>
          <cell r="I146">
            <v>1300</v>
          </cell>
          <cell r="J146" t="str">
            <v>F</v>
          </cell>
          <cell r="K146" t="str">
            <v>TCONT</v>
          </cell>
          <cell r="L146" t="str">
            <v>SED7</v>
          </cell>
        </row>
        <row r="147">
          <cell r="A147">
            <v>1002</v>
          </cell>
          <cell r="B147" t="str">
            <v xml:space="preserve">DELGADO VILLAR ERIKA  </v>
          </cell>
          <cell r="C147">
            <v>1975</v>
          </cell>
          <cell r="D147">
            <v>1996</v>
          </cell>
          <cell r="E147">
            <v>1000</v>
          </cell>
          <cell r="I147">
            <v>1000</v>
          </cell>
          <cell r="J147" t="str">
            <v>G</v>
          </cell>
          <cell r="K147" t="str">
            <v>SEC</v>
          </cell>
          <cell r="L147" t="str">
            <v>SEDMT</v>
          </cell>
        </row>
        <row r="148">
          <cell r="A148">
            <v>1006</v>
          </cell>
          <cell r="B148" t="str">
            <v>PASTOR AGUILAR VICENTE MIGUEL</v>
          </cell>
          <cell r="C148">
            <v>1936</v>
          </cell>
          <cell r="D148">
            <v>1996</v>
          </cell>
          <cell r="E148">
            <v>1850</v>
          </cell>
          <cell r="F148">
            <v>185</v>
          </cell>
          <cell r="I148">
            <v>2035</v>
          </cell>
          <cell r="J148" t="str">
            <v>G</v>
          </cell>
          <cell r="K148" t="str">
            <v>TADM</v>
          </cell>
          <cell r="L148" t="str">
            <v>SEDMT</v>
          </cell>
        </row>
        <row r="149">
          <cell r="A149">
            <v>1013</v>
          </cell>
          <cell r="B149" t="str">
            <v>KONG ROSALES LEONCIO MARCOS</v>
          </cell>
          <cell r="C149">
            <v>1951</v>
          </cell>
          <cell r="D149">
            <v>1996</v>
          </cell>
          <cell r="E149">
            <v>6000</v>
          </cell>
          <cell r="F149">
            <v>2100</v>
          </cell>
          <cell r="I149">
            <v>8100</v>
          </cell>
          <cell r="J149" t="str">
            <v>D</v>
          </cell>
          <cell r="K149" t="str">
            <v>ICIV</v>
          </cell>
          <cell r="L149" t="str">
            <v>ACHA</v>
          </cell>
        </row>
        <row r="150">
          <cell r="A150">
            <v>1014</v>
          </cell>
          <cell r="B150" t="str">
            <v>FRANCISCO JANAMPA NANCY LUZ</v>
          </cell>
          <cell r="C150">
            <v>1969</v>
          </cell>
          <cell r="D150">
            <v>1996</v>
          </cell>
          <cell r="E150">
            <v>1600</v>
          </cell>
          <cell r="I150">
            <v>1600</v>
          </cell>
          <cell r="J150" t="str">
            <v>G</v>
          </cell>
          <cell r="K150" t="str">
            <v>ISIS</v>
          </cell>
          <cell r="L150" t="str">
            <v>LIQUID</v>
          </cell>
        </row>
        <row r="151">
          <cell r="A151">
            <v>1016</v>
          </cell>
          <cell r="B151" t="str">
            <v>REYES PRADO LUIS PEDRO</v>
          </cell>
          <cell r="C151">
            <v>1962</v>
          </cell>
          <cell r="D151">
            <v>1996</v>
          </cell>
          <cell r="E151">
            <v>3450</v>
          </cell>
          <cell r="F151">
            <v>345</v>
          </cell>
          <cell r="I151">
            <v>3795</v>
          </cell>
          <cell r="J151" t="str">
            <v>E</v>
          </cell>
          <cell r="K151" t="str">
            <v>ISAN</v>
          </cell>
          <cell r="L151" t="str">
            <v>SEDMT</v>
          </cell>
        </row>
        <row r="152">
          <cell r="A152">
            <v>1017</v>
          </cell>
          <cell r="B152" t="str">
            <v>MIYASHIRO MALPARTIDA CESAR ENRIQUE</v>
          </cell>
          <cell r="C152">
            <v>1963</v>
          </cell>
          <cell r="D152">
            <v>1996</v>
          </cell>
          <cell r="E152">
            <v>3550</v>
          </cell>
          <cell r="F152">
            <v>355</v>
          </cell>
          <cell r="I152">
            <v>3905</v>
          </cell>
          <cell r="J152" t="str">
            <v>E</v>
          </cell>
          <cell r="K152" t="str">
            <v>ICIV</v>
          </cell>
          <cell r="L152" t="str">
            <v>SEDMT</v>
          </cell>
        </row>
        <row r="153">
          <cell r="A153">
            <v>1018</v>
          </cell>
          <cell r="B153" t="str">
            <v>CARRANZA DAVILA RAMIRO CELSO</v>
          </cell>
          <cell r="C153">
            <v>1944</v>
          </cell>
          <cell r="D153">
            <v>1996</v>
          </cell>
          <cell r="E153">
            <v>6272.72</v>
          </cell>
          <cell r="F153">
            <v>627.28</v>
          </cell>
          <cell r="I153">
            <v>6900</v>
          </cell>
          <cell r="J153" t="str">
            <v>D</v>
          </cell>
          <cell r="K153" t="str">
            <v>ICIV</v>
          </cell>
          <cell r="L153" t="str">
            <v>SEDMT</v>
          </cell>
        </row>
        <row r="154">
          <cell r="A154">
            <v>1019</v>
          </cell>
          <cell r="B154" t="str">
            <v>NAVARRO NARDINI JOSE ALFREDO</v>
          </cell>
          <cell r="C154">
            <v>1967</v>
          </cell>
          <cell r="D154">
            <v>1996</v>
          </cell>
          <cell r="E154">
            <v>3744.44</v>
          </cell>
          <cell r="F154">
            <v>749</v>
          </cell>
          <cell r="I154">
            <v>4493.4399999999996</v>
          </cell>
          <cell r="J154" t="str">
            <v>F</v>
          </cell>
          <cell r="K154" t="str">
            <v>ICIV</v>
          </cell>
          <cell r="L154" t="str">
            <v>LIQUID</v>
          </cell>
        </row>
        <row r="155">
          <cell r="A155">
            <v>1022</v>
          </cell>
          <cell r="B155" t="str">
            <v>LOPEZ DIAZ MALINOVISKY WARNER</v>
          </cell>
          <cell r="C155">
            <v>1960</v>
          </cell>
          <cell r="D155">
            <v>1996</v>
          </cell>
          <cell r="E155">
            <v>3600</v>
          </cell>
          <cell r="F155">
            <v>360</v>
          </cell>
          <cell r="I155">
            <v>3960</v>
          </cell>
          <cell r="J155" t="str">
            <v>F</v>
          </cell>
          <cell r="K155" t="str">
            <v>ICIV</v>
          </cell>
          <cell r="L155" t="str">
            <v>LIQUID</v>
          </cell>
        </row>
        <row r="156">
          <cell r="A156">
            <v>1026</v>
          </cell>
          <cell r="B156" t="str">
            <v>RAMIREZ AGUAYO MIGUEL ERNESTO</v>
          </cell>
          <cell r="C156">
            <v>1965</v>
          </cell>
          <cell r="D156">
            <v>1996</v>
          </cell>
          <cell r="E156">
            <v>2388.46</v>
          </cell>
          <cell r="F156">
            <v>716.54</v>
          </cell>
          <cell r="I156">
            <v>3105</v>
          </cell>
          <cell r="J156" t="str">
            <v>F</v>
          </cell>
          <cell r="K156" t="str">
            <v>IIND</v>
          </cell>
          <cell r="L156" t="str">
            <v>BROC</v>
          </cell>
        </row>
        <row r="157">
          <cell r="A157">
            <v>1027</v>
          </cell>
          <cell r="B157" t="str">
            <v>BAZAN BARRERA JUAN FRANCISCO</v>
          </cell>
          <cell r="C157">
            <v>1966</v>
          </cell>
          <cell r="D157">
            <v>1996</v>
          </cell>
          <cell r="E157">
            <v>1800</v>
          </cell>
          <cell r="I157">
            <v>1800</v>
          </cell>
          <cell r="J157" t="str">
            <v>F</v>
          </cell>
          <cell r="K157" t="str">
            <v>ICIV</v>
          </cell>
          <cell r="L157" t="str">
            <v>PTOS</v>
          </cell>
        </row>
        <row r="158">
          <cell r="A158">
            <v>1028</v>
          </cell>
          <cell r="B158" t="str">
            <v>GUTIERREZ ZUZUNAGA AUGUSTO WILFRED</v>
          </cell>
          <cell r="C158">
            <v>1968</v>
          </cell>
          <cell r="D158">
            <v>1996</v>
          </cell>
          <cell r="E158">
            <v>4545.45</v>
          </cell>
          <cell r="F158">
            <v>454.55</v>
          </cell>
          <cell r="I158">
            <v>5000</v>
          </cell>
          <cell r="J158" t="str">
            <v>E</v>
          </cell>
          <cell r="K158" t="str">
            <v>ICIV</v>
          </cell>
          <cell r="L158" t="str">
            <v>MARR</v>
          </cell>
        </row>
        <row r="159">
          <cell r="A159">
            <v>1029</v>
          </cell>
          <cell r="B159" t="str">
            <v>CANAL AGUIRRE ALBERTO SALVADO</v>
          </cell>
          <cell r="C159">
            <v>1968</v>
          </cell>
          <cell r="D159">
            <v>1996</v>
          </cell>
          <cell r="E159">
            <v>9000</v>
          </cell>
          <cell r="I159">
            <v>9000</v>
          </cell>
          <cell r="J159" t="str">
            <v>D</v>
          </cell>
          <cell r="K159" t="str">
            <v>ICIV</v>
          </cell>
          <cell r="L159" t="str">
            <v>PTOS</v>
          </cell>
        </row>
        <row r="160">
          <cell r="A160">
            <v>1030</v>
          </cell>
          <cell r="B160" t="str">
            <v xml:space="preserve">TAMANAJA ROSAS PATRICIA </v>
          </cell>
          <cell r="C160">
            <v>1971</v>
          </cell>
          <cell r="D160">
            <v>1996</v>
          </cell>
          <cell r="E160">
            <v>3700</v>
          </cell>
          <cell r="I160">
            <v>3700</v>
          </cell>
          <cell r="J160" t="str">
            <v>D</v>
          </cell>
          <cell r="K160" t="str">
            <v>PSI</v>
          </cell>
          <cell r="L160" t="str">
            <v>RRHH</v>
          </cell>
        </row>
        <row r="161">
          <cell r="A161">
            <v>1031</v>
          </cell>
          <cell r="B161" t="str">
            <v>TARGARONA ARATA JAIME LUIS</v>
          </cell>
          <cell r="C161">
            <v>1968</v>
          </cell>
          <cell r="D161">
            <v>1996</v>
          </cell>
          <cell r="E161">
            <v>8300</v>
          </cell>
          <cell r="I161">
            <v>8300</v>
          </cell>
          <cell r="J161" t="str">
            <v>D</v>
          </cell>
          <cell r="K161" t="str">
            <v>ICIV</v>
          </cell>
          <cell r="L161" t="str">
            <v>COM</v>
          </cell>
        </row>
        <row r="162">
          <cell r="A162">
            <v>1032</v>
          </cell>
          <cell r="B162" t="str">
            <v>CHAPONAN PINEA LUBER DANTE</v>
          </cell>
          <cell r="C162">
            <v>1951</v>
          </cell>
          <cell r="D162">
            <v>1996</v>
          </cell>
          <cell r="E162">
            <v>2267.8200000000002</v>
          </cell>
          <cell r="F162">
            <v>453.56</v>
          </cell>
          <cell r="I162">
            <v>2721.38</v>
          </cell>
          <cell r="J162" t="str">
            <v>G</v>
          </cell>
          <cell r="K162" t="str">
            <v>TCONT</v>
          </cell>
          <cell r="L162" t="str">
            <v>TORAT</v>
          </cell>
        </row>
        <row r="163">
          <cell r="A163">
            <v>1034</v>
          </cell>
          <cell r="B163" t="str">
            <v>BUGARIN INCIO JOE ESCALANTE</v>
          </cell>
          <cell r="C163">
            <v>1974</v>
          </cell>
          <cell r="D163">
            <v>1996</v>
          </cell>
          <cell r="E163">
            <v>2310</v>
          </cell>
          <cell r="I163">
            <v>2310</v>
          </cell>
          <cell r="J163" t="str">
            <v>F</v>
          </cell>
          <cell r="K163" t="str">
            <v>PRG</v>
          </cell>
          <cell r="L163" t="str">
            <v>INFOR</v>
          </cell>
        </row>
        <row r="164">
          <cell r="A164">
            <v>1037</v>
          </cell>
          <cell r="B164" t="str">
            <v>PORTOCARRERO LOPEZ CARLOS JAVIER</v>
          </cell>
          <cell r="C164">
            <v>1968</v>
          </cell>
          <cell r="D164">
            <v>1996</v>
          </cell>
          <cell r="E164">
            <v>2000</v>
          </cell>
          <cell r="I164">
            <v>2000</v>
          </cell>
          <cell r="J164" t="str">
            <v>G</v>
          </cell>
          <cell r="K164" t="str">
            <v>PRG</v>
          </cell>
          <cell r="L164" t="str">
            <v>INFOR</v>
          </cell>
        </row>
        <row r="165">
          <cell r="A165">
            <v>1038</v>
          </cell>
          <cell r="B165" t="str">
            <v>ZEVALLOS BARCELLI DANIEL JASSON</v>
          </cell>
          <cell r="C165">
            <v>1972</v>
          </cell>
          <cell r="D165">
            <v>1996</v>
          </cell>
          <cell r="E165">
            <v>5000</v>
          </cell>
          <cell r="F165">
            <v>1750</v>
          </cell>
          <cell r="I165">
            <v>6750</v>
          </cell>
          <cell r="J165" t="str">
            <v>E</v>
          </cell>
          <cell r="K165" t="str">
            <v>ICIV</v>
          </cell>
          <cell r="L165" t="str">
            <v>TORAT</v>
          </cell>
        </row>
        <row r="166">
          <cell r="A166">
            <v>1045</v>
          </cell>
          <cell r="B166" t="str">
            <v>LLOSA DE CARDENAS FERNANDO AUGUST</v>
          </cell>
          <cell r="C166">
            <v>1961</v>
          </cell>
          <cell r="D166">
            <v>1996</v>
          </cell>
          <cell r="E166">
            <v>6600</v>
          </cell>
          <cell r="I166">
            <v>6600</v>
          </cell>
          <cell r="J166" t="str">
            <v>E</v>
          </cell>
          <cell r="K166" t="str">
            <v>ICIV</v>
          </cell>
          <cell r="L166" t="str">
            <v>LIQUID</v>
          </cell>
        </row>
        <row r="167">
          <cell r="A167">
            <v>1047</v>
          </cell>
          <cell r="B167" t="str">
            <v>LEON ECHEGARAY MAXIMO ALCIDES</v>
          </cell>
          <cell r="C167">
            <v>1968</v>
          </cell>
          <cell r="D167">
            <v>1996</v>
          </cell>
          <cell r="E167">
            <v>2700</v>
          </cell>
          <cell r="F167">
            <v>2025</v>
          </cell>
          <cell r="I167">
            <v>4725</v>
          </cell>
          <cell r="J167" t="str">
            <v>E</v>
          </cell>
          <cell r="K167" t="str">
            <v>PRG</v>
          </cell>
          <cell r="L167" t="str">
            <v>ANTM</v>
          </cell>
        </row>
        <row r="168">
          <cell r="A168">
            <v>1048</v>
          </cell>
          <cell r="B168" t="str">
            <v xml:space="preserve">VILLACORTA FEBRES HUMBERTO  </v>
          </cell>
          <cell r="C168">
            <v>1971</v>
          </cell>
          <cell r="D168">
            <v>1996</v>
          </cell>
          <cell r="E168">
            <v>2990</v>
          </cell>
          <cell r="F168">
            <v>449</v>
          </cell>
          <cell r="I168">
            <v>3439</v>
          </cell>
          <cell r="J168" t="str">
            <v>E</v>
          </cell>
          <cell r="K168" t="str">
            <v>CTD</v>
          </cell>
          <cell r="L168" t="str">
            <v>MARR</v>
          </cell>
        </row>
        <row r="169">
          <cell r="A169">
            <v>1049</v>
          </cell>
          <cell r="B169" t="str">
            <v>AVALOS ALEJOS LUIS ALBERTO</v>
          </cell>
          <cell r="C169">
            <v>1966</v>
          </cell>
          <cell r="D169">
            <v>1996</v>
          </cell>
          <cell r="E169">
            <v>3162</v>
          </cell>
          <cell r="I169">
            <v>3162</v>
          </cell>
          <cell r="J169" t="str">
            <v>E</v>
          </cell>
          <cell r="K169" t="str">
            <v>CTD</v>
          </cell>
          <cell r="L169" t="str">
            <v>FIN</v>
          </cell>
        </row>
        <row r="170">
          <cell r="A170">
            <v>1051</v>
          </cell>
          <cell r="B170" t="str">
            <v>CUADROS AGUIRRE MARIA ISABEL</v>
          </cell>
          <cell r="C170">
            <v>1967</v>
          </cell>
          <cell r="D170">
            <v>1996</v>
          </cell>
          <cell r="E170">
            <v>2000</v>
          </cell>
          <cell r="F170">
            <v>400</v>
          </cell>
          <cell r="I170">
            <v>2400</v>
          </cell>
          <cell r="J170" t="str">
            <v>F</v>
          </cell>
          <cell r="K170" t="str">
            <v>CTD</v>
          </cell>
          <cell r="L170" t="str">
            <v>MESS</v>
          </cell>
        </row>
        <row r="171">
          <cell r="A171">
            <v>1056</v>
          </cell>
          <cell r="B171" t="str">
            <v>ESPINOSA DE RIVERO JAVIER ERNESTO</v>
          </cell>
          <cell r="C171">
            <v>1966</v>
          </cell>
          <cell r="D171">
            <v>1996</v>
          </cell>
          <cell r="E171">
            <v>9307.69</v>
          </cell>
          <cell r="F171">
            <v>2792.31</v>
          </cell>
          <cell r="I171">
            <v>12100</v>
          </cell>
          <cell r="J171" t="str">
            <v>D</v>
          </cell>
          <cell r="K171" t="str">
            <v>ICIV</v>
          </cell>
          <cell r="L171" t="str">
            <v>MEX</v>
          </cell>
        </row>
        <row r="172">
          <cell r="A172">
            <v>1057</v>
          </cell>
          <cell r="B172" t="str">
            <v>DURAN QUEROL RODOLFO MARTIN</v>
          </cell>
          <cell r="C172">
            <v>1965</v>
          </cell>
          <cell r="D172">
            <v>1996</v>
          </cell>
          <cell r="E172">
            <v>7272.73</v>
          </cell>
          <cell r="F172">
            <v>727.27</v>
          </cell>
          <cell r="I172">
            <v>8000</v>
          </cell>
          <cell r="J172" t="str">
            <v>E</v>
          </cell>
          <cell r="K172" t="str">
            <v>ICIV</v>
          </cell>
          <cell r="L172" t="str">
            <v>LIQUID</v>
          </cell>
        </row>
        <row r="173">
          <cell r="A173">
            <v>1059</v>
          </cell>
          <cell r="B173" t="str">
            <v>CORONADO ALVARADO ILIA KARIM</v>
          </cell>
          <cell r="C173">
            <v>1967</v>
          </cell>
          <cell r="D173">
            <v>1996</v>
          </cell>
          <cell r="E173">
            <v>3530</v>
          </cell>
          <cell r="I173">
            <v>3530</v>
          </cell>
          <cell r="J173" t="str">
            <v>E</v>
          </cell>
          <cell r="K173" t="str">
            <v>TRAD</v>
          </cell>
          <cell r="L173" t="str">
            <v>PTOS</v>
          </cell>
        </row>
        <row r="174">
          <cell r="A174">
            <v>1062</v>
          </cell>
          <cell r="B174" t="str">
            <v>CCAMACCA BUSTINZA LUIS GONZAGA</v>
          </cell>
          <cell r="C174">
            <v>1951</v>
          </cell>
          <cell r="D174">
            <v>1996</v>
          </cell>
          <cell r="E174">
            <v>1150</v>
          </cell>
          <cell r="I174">
            <v>1150</v>
          </cell>
          <cell r="J174" t="str">
            <v>H</v>
          </cell>
          <cell r="K174">
            <v>0</v>
          </cell>
          <cell r="L174" t="str">
            <v>CEQMT</v>
          </cell>
        </row>
        <row r="175">
          <cell r="A175">
            <v>1063</v>
          </cell>
          <cell r="B175" t="str">
            <v>CONISLLA PILLACA LUIS ALBERTO</v>
          </cell>
          <cell r="C175">
            <v>1966</v>
          </cell>
          <cell r="D175">
            <v>1996</v>
          </cell>
          <cell r="E175">
            <v>1150</v>
          </cell>
          <cell r="I175">
            <v>1150</v>
          </cell>
          <cell r="J175" t="str">
            <v>H</v>
          </cell>
          <cell r="K175" t="str">
            <v>TELC</v>
          </cell>
          <cell r="L175" t="str">
            <v>EDIFGM</v>
          </cell>
        </row>
        <row r="176">
          <cell r="A176">
            <v>1064</v>
          </cell>
          <cell r="B176" t="str">
            <v>LOZANO ESPINOZA FLOR CECILIA</v>
          </cell>
          <cell r="C176">
            <v>1963</v>
          </cell>
          <cell r="D176">
            <v>1996</v>
          </cell>
          <cell r="E176">
            <v>2354</v>
          </cell>
          <cell r="I176">
            <v>2354</v>
          </cell>
          <cell r="J176" t="str">
            <v>H</v>
          </cell>
          <cell r="K176" t="str">
            <v>TRAD</v>
          </cell>
          <cell r="L176" t="str">
            <v>DCHOL</v>
          </cell>
        </row>
        <row r="177">
          <cell r="A177">
            <v>1065</v>
          </cell>
          <cell r="B177" t="str">
            <v>PASTOR PANDURO JOSE AUGUSTO</v>
          </cell>
          <cell r="C177">
            <v>1960</v>
          </cell>
          <cell r="D177">
            <v>1996</v>
          </cell>
          <cell r="E177">
            <v>1290</v>
          </cell>
          <cell r="I177">
            <v>1290</v>
          </cell>
          <cell r="J177" t="str">
            <v>H</v>
          </cell>
          <cell r="K177" t="str">
            <v>MEC</v>
          </cell>
          <cell r="L177" t="str">
            <v>CEQMT</v>
          </cell>
        </row>
        <row r="178">
          <cell r="A178">
            <v>1075</v>
          </cell>
          <cell r="B178" t="str">
            <v>RODRIGUEZ VASQUEZ JORGE ENRIQUE</v>
          </cell>
          <cell r="C178">
            <v>1967</v>
          </cell>
          <cell r="D178">
            <v>1996</v>
          </cell>
          <cell r="E178">
            <v>5000</v>
          </cell>
          <cell r="F178">
            <v>1750</v>
          </cell>
          <cell r="I178">
            <v>6750</v>
          </cell>
          <cell r="J178" t="str">
            <v>D</v>
          </cell>
          <cell r="K178" t="str">
            <v>ICIV</v>
          </cell>
          <cell r="L178" t="str">
            <v>LIQUID</v>
          </cell>
        </row>
        <row r="179">
          <cell r="A179">
            <v>1076</v>
          </cell>
          <cell r="B179" t="str">
            <v>MEZA VIZURRAGA FERNANDO ANGEL</v>
          </cell>
          <cell r="C179">
            <v>1961</v>
          </cell>
          <cell r="D179">
            <v>1996</v>
          </cell>
          <cell r="E179">
            <v>4712</v>
          </cell>
          <cell r="I179">
            <v>4712</v>
          </cell>
          <cell r="J179" t="str">
            <v>E</v>
          </cell>
          <cell r="K179" t="str">
            <v>TOP</v>
          </cell>
          <cell r="L179" t="str">
            <v>LIQUID</v>
          </cell>
        </row>
        <row r="180">
          <cell r="A180">
            <v>1086</v>
          </cell>
          <cell r="B180" t="str">
            <v>CABRERA CASAHUAMAN CIRO JAVIER</v>
          </cell>
          <cell r="C180">
            <v>1946</v>
          </cell>
          <cell r="D180">
            <v>1997</v>
          </cell>
          <cell r="E180">
            <v>7424</v>
          </cell>
          <cell r="F180">
            <v>1856</v>
          </cell>
          <cell r="I180">
            <v>9280</v>
          </cell>
          <cell r="J180" t="str">
            <v>D</v>
          </cell>
          <cell r="K180" t="str">
            <v>ICIV</v>
          </cell>
          <cell r="L180" t="str">
            <v>LIQUID</v>
          </cell>
        </row>
        <row r="181">
          <cell r="A181">
            <v>1087</v>
          </cell>
          <cell r="B181" t="str">
            <v>CHAPARRO LYNCH DAVID MARTIN</v>
          </cell>
          <cell r="C181">
            <v>1971</v>
          </cell>
          <cell r="D181">
            <v>1997</v>
          </cell>
          <cell r="E181">
            <v>3500</v>
          </cell>
          <cell r="F181">
            <v>350</v>
          </cell>
          <cell r="I181">
            <v>3850</v>
          </cell>
          <cell r="J181" t="str">
            <v>E</v>
          </cell>
          <cell r="K181" t="str">
            <v>ICIV</v>
          </cell>
          <cell r="L181" t="str">
            <v>LIQUID</v>
          </cell>
        </row>
        <row r="182">
          <cell r="A182">
            <v>1090</v>
          </cell>
          <cell r="B182" t="str">
            <v>ACOSTA REYNA CARLOS DEMETRIO</v>
          </cell>
          <cell r="C182">
            <v>1971</v>
          </cell>
          <cell r="D182">
            <v>1997</v>
          </cell>
          <cell r="E182">
            <v>2702.48</v>
          </cell>
          <cell r="F182">
            <v>2027</v>
          </cell>
          <cell r="I182">
            <v>4729.4799999999996</v>
          </cell>
          <cell r="J182" t="str">
            <v>E</v>
          </cell>
          <cell r="K182" t="str">
            <v>IIND</v>
          </cell>
          <cell r="L182" t="str">
            <v>ANTM</v>
          </cell>
        </row>
        <row r="183">
          <cell r="A183">
            <v>1093</v>
          </cell>
          <cell r="B183" t="str">
            <v>VOLTAIRE VELAOCHAGA MARITZA SELENA</v>
          </cell>
          <cell r="C183">
            <v>1969</v>
          </cell>
          <cell r="D183">
            <v>1997</v>
          </cell>
          <cell r="E183">
            <v>3410</v>
          </cell>
          <cell r="I183">
            <v>3410</v>
          </cell>
          <cell r="J183" t="str">
            <v>F</v>
          </cell>
          <cell r="K183" t="str">
            <v>ICIV</v>
          </cell>
          <cell r="L183" t="str">
            <v>LIQUID</v>
          </cell>
        </row>
        <row r="184">
          <cell r="A184">
            <v>1094</v>
          </cell>
          <cell r="B184" t="str">
            <v xml:space="preserve">SANCHEZ-FERRER SILVA JORGE  </v>
          </cell>
          <cell r="C184">
            <v>1971</v>
          </cell>
          <cell r="D184">
            <v>1997</v>
          </cell>
          <cell r="E184">
            <v>4000</v>
          </cell>
          <cell r="I184">
            <v>4000</v>
          </cell>
          <cell r="J184" t="str">
            <v>E</v>
          </cell>
          <cell r="K184" t="str">
            <v>ICIV</v>
          </cell>
          <cell r="L184" t="str">
            <v>PROD</v>
          </cell>
        </row>
        <row r="185">
          <cell r="A185">
            <v>1096</v>
          </cell>
          <cell r="B185" t="str">
            <v>COLICHÓN SAS ANDRES DANIEL</v>
          </cell>
          <cell r="C185">
            <v>1968</v>
          </cell>
          <cell r="D185">
            <v>1997</v>
          </cell>
          <cell r="E185">
            <v>14175</v>
          </cell>
          <cell r="I185">
            <v>14175</v>
          </cell>
          <cell r="J185" t="str">
            <v>H</v>
          </cell>
          <cell r="K185" t="str">
            <v>ADM</v>
          </cell>
          <cell r="L185" t="str">
            <v>DCHOL</v>
          </cell>
        </row>
        <row r="186">
          <cell r="A186">
            <v>1097</v>
          </cell>
          <cell r="B186" t="str">
            <v>RAMOS DELGADO PABLO ERNESTO</v>
          </cell>
          <cell r="C186">
            <v>1969</v>
          </cell>
          <cell r="D186">
            <v>1997</v>
          </cell>
          <cell r="E186">
            <v>4400</v>
          </cell>
          <cell r="F186">
            <v>1760</v>
          </cell>
          <cell r="I186">
            <v>6160</v>
          </cell>
          <cell r="J186" t="str">
            <v>E</v>
          </cell>
          <cell r="K186" t="str">
            <v>ICIV</v>
          </cell>
          <cell r="L186" t="str">
            <v>CHIN</v>
          </cell>
        </row>
        <row r="187">
          <cell r="A187">
            <v>1098</v>
          </cell>
          <cell r="B187" t="str">
            <v xml:space="preserve">LATORRE DELGADO WALDIR  </v>
          </cell>
          <cell r="C187">
            <v>1966</v>
          </cell>
          <cell r="D187">
            <v>1997</v>
          </cell>
          <cell r="E187">
            <v>3461.55</v>
          </cell>
          <cell r="F187">
            <v>1211.55</v>
          </cell>
          <cell r="I187">
            <v>4673.1000000000004</v>
          </cell>
          <cell r="J187" t="str">
            <v>E</v>
          </cell>
          <cell r="K187" t="str">
            <v>PRG</v>
          </cell>
          <cell r="L187" t="str">
            <v>LIQUID</v>
          </cell>
        </row>
        <row r="188">
          <cell r="A188">
            <v>1099</v>
          </cell>
          <cell r="B188" t="str">
            <v>ZAVALA HERNANDEZ MARITZA BEATRIZ</v>
          </cell>
          <cell r="C188">
            <v>1968</v>
          </cell>
          <cell r="D188">
            <v>1997</v>
          </cell>
          <cell r="E188">
            <v>8500</v>
          </cell>
          <cell r="I188">
            <v>8500</v>
          </cell>
          <cell r="J188" t="str">
            <v>D</v>
          </cell>
          <cell r="K188" t="str">
            <v>IIND</v>
          </cell>
          <cell r="L188" t="str">
            <v>INFOR</v>
          </cell>
        </row>
        <row r="189">
          <cell r="A189">
            <v>1100</v>
          </cell>
          <cell r="B189" t="str">
            <v xml:space="preserve">GALLO SEMINARIO HERNAN  </v>
          </cell>
          <cell r="C189">
            <v>1965</v>
          </cell>
          <cell r="D189">
            <v>1997</v>
          </cell>
          <cell r="E189">
            <v>5909.09</v>
          </cell>
          <cell r="F189">
            <v>590.91</v>
          </cell>
          <cell r="I189">
            <v>6500</v>
          </cell>
          <cell r="J189" t="str">
            <v>E</v>
          </cell>
          <cell r="K189" t="str">
            <v>IELEC</v>
          </cell>
          <cell r="L189" t="str">
            <v>MARR</v>
          </cell>
        </row>
        <row r="190">
          <cell r="A190">
            <v>1102</v>
          </cell>
          <cell r="B190" t="str">
            <v>VIGO CASANOVA LORENA PILAR</v>
          </cell>
          <cell r="C190">
            <v>1972</v>
          </cell>
          <cell r="D190">
            <v>1997</v>
          </cell>
          <cell r="E190">
            <v>2400</v>
          </cell>
          <cell r="I190">
            <v>2400</v>
          </cell>
          <cell r="J190" t="str">
            <v>F</v>
          </cell>
          <cell r="K190" t="str">
            <v>ARQ</v>
          </cell>
          <cell r="L190" t="str">
            <v>LIQUID</v>
          </cell>
        </row>
        <row r="191">
          <cell r="A191">
            <v>1104</v>
          </cell>
          <cell r="B191" t="str">
            <v>VASQUEZ ARTEAGA GERARDO ALFONSO</v>
          </cell>
          <cell r="C191">
            <v>1969</v>
          </cell>
          <cell r="D191">
            <v>1997</v>
          </cell>
          <cell r="E191">
            <v>2600</v>
          </cell>
          <cell r="F191">
            <v>780</v>
          </cell>
          <cell r="I191">
            <v>3380</v>
          </cell>
          <cell r="J191" t="str">
            <v>E</v>
          </cell>
          <cell r="K191" t="str">
            <v>IIND</v>
          </cell>
          <cell r="L191" t="str">
            <v>PUQUI</v>
          </cell>
        </row>
        <row r="192">
          <cell r="A192">
            <v>1108</v>
          </cell>
          <cell r="B192" t="str">
            <v>GALLARDO MARQUINA ELVIS ROGER</v>
          </cell>
          <cell r="C192">
            <v>1964</v>
          </cell>
          <cell r="D192">
            <v>1997</v>
          </cell>
          <cell r="E192">
            <v>2400</v>
          </cell>
          <cell r="F192">
            <v>720</v>
          </cell>
          <cell r="I192">
            <v>3120</v>
          </cell>
          <cell r="J192" t="str">
            <v>F</v>
          </cell>
          <cell r="K192" t="str">
            <v>ECON</v>
          </cell>
          <cell r="L192" t="str">
            <v>BROC</v>
          </cell>
        </row>
        <row r="193">
          <cell r="A193">
            <v>1109</v>
          </cell>
          <cell r="B193" t="str">
            <v>PALOMINO REINA LAURA ESTHER</v>
          </cell>
          <cell r="C193">
            <v>1960</v>
          </cell>
          <cell r="D193">
            <v>1997</v>
          </cell>
          <cell r="E193">
            <v>5300</v>
          </cell>
          <cell r="I193">
            <v>5300</v>
          </cell>
          <cell r="J193" t="str">
            <v>D</v>
          </cell>
          <cell r="K193" t="str">
            <v>ICIV</v>
          </cell>
          <cell r="L193" t="str">
            <v>PTOS</v>
          </cell>
        </row>
        <row r="194">
          <cell r="A194">
            <v>1111</v>
          </cell>
          <cell r="B194" t="str">
            <v>GUTIERREZ WONG JUDITH EVELYN</v>
          </cell>
          <cell r="C194">
            <v>1973</v>
          </cell>
          <cell r="D194">
            <v>1997</v>
          </cell>
          <cell r="E194">
            <v>2040</v>
          </cell>
          <cell r="F194">
            <v>204</v>
          </cell>
          <cell r="I194">
            <v>2244</v>
          </cell>
          <cell r="J194" t="str">
            <v>E</v>
          </cell>
          <cell r="K194" t="str">
            <v>CTD</v>
          </cell>
          <cell r="L194" t="str">
            <v>LIQUID</v>
          </cell>
        </row>
        <row r="195">
          <cell r="A195">
            <v>1112</v>
          </cell>
          <cell r="B195" t="str">
            <v>ALVA SALAS JESUS MARTIN</v>
          </cell>
          <cell r="C195">
            <v>1974</v>
          </cell>
          <cell r="D195">
            <v>1998</v>
          </cell>
          <cell r="E195">
            <v>2370.37</v>
          </cell>
          <cell r="F195">
            <v>1185.19</v>
          </cell>
          <cell r="I195">
            <v>3555.56</v>
          </cell>
          <cell r="J195" t="str">
            <v>F</v>
          </cell>
          <cell r="K195" t="str">
            <v>ICIV</v>
          </cell>
          <cell r="L195" t="str">
            <v>ANTM</v>
          </cell>
        </row>
        <row r="196">
          <cell r="A196">
            <v>1117</v>
          </cell>
          <cell r="B196" t="str">
            <v>MANCHURIA CCOPA GRACIELA HONORT</v>
          </cell>
          <cell r="C196">
            <v>1963</v>
          </cell>
          <cell r="D196">
            <v>1998</v>
          </cell>
          <cell r="E196">
            <v>3000</v>
          </cell>
          <cell r="I196">
            <v>3000</v>
          </cell>
          <cell r="J196" t="str">
            <v>F</v>
          </cell>
          <cell r="K196" t="str">
            <v>CTD</v>
          </cell>
          <cell r="L196" t="str">
            <v>LTMS</v>
          </cell>
        </row>
        <row r="197">
          <cell r="A197">
            <v>1119</v>
          </cell>
          <cell r="B197" t="str">
            <v>KAMPOY SILVA RAUL FRANCISCO</v>
          </cell>
          <cell r="C197">
            <v>1972</v>
          </cell>
          <cell r="D197">
            <v>1997</v>
          </cell>
          <cell r="E197">
            <v>2440.7600000000002</v>
          </cell>
          <cell r="F197">
            <v>488.15</v>
          </cell>
          <cell r="I197">
            <v>2928.91</v>
          </cell>
          <cell r="J197" t="str">
            <v>F</v>
          </cell>
          <cell r="K197" t="str">
            <v>CTD</v>
          </cell>
          <cell r="L197" t="str">
            <v>PUQUI</v>
          </cell>
        </row>
        <row r="198">
          <cell r="A198">
            <v>1120</v>
          </cell>
          <cell r="B198" t="str">
            <v>PASTOR RODRIGUEZ JUAN CARLOS</v>
          </cell>
          <cell r="C198">
            <v>1972</v>
          </cell>
          <cell r="D198">
            <v>1997</v>
          </cell>
          <cell r="E198">
            <v>3050</v>
          </cell>
          <cell r="I198">
            <v>3050</v>
          </cell>
          <cell r="J198" t="str">
            <v>E</v>
          </cell>
          <cell r="K198" t="str">
            <v>IIND</v>
          </cell>
          <cell r="L198" t="str">
            <v>GGCEQ</v>
          </cell>
        </row>
        <row r="199">
          <cell r="A199">
            <v>1122</v>
          </cell>
          <cell r="B199" t="str">
            <v>CASTRO SILVESTRE FRANCISCO JAVIE</v>
          </cell>
          <cell r="C199">
            <v>1966</v>
          </cell>
          <cell r="D199">
            <v>1994</v>
          </cell>
          <cell r="E199">
            <v>4788</v>
          </cell>
          <cell r="F199">
            <v>1675.8</v>
          </cell>
          <cell r="I199">
            <v>6463.8</v>
          </cell>
          <cell r="J199" t="str">
            <v>D</v>
          </cell>
          <cell r="K199" t="str">
            <v>ICIV</v>
          </cell>
          <cell r="L199" t="str">
            <v>RALCO</v>
          </cell>
        </row>
        <row r="200">
          <cell r="A200">
            <v>1124</v>
          </cell>
          <cell r="B200" t="str">
            <v>GOLD ARAOZ FERNANDO ANTONI</v>
          </cell>
          <cell r="C200">
            <v>1963</v>
          </cell>
          <cell r="D200">
            <v>1997</v>
          </cell>
          <cell r="E200">
            <v>6800</v>
          </cell>
          <cell r="F200">
            <v>1360</v>
          </cell>
          <cell r="I200">
            <v>8160</v>
          </cell>
          <cell r="J200" t="str">
            <v>E</v>
          </cell>
          <cell r="K200" t="str">
            <v>IIND</v>
          </cell>
          <cell r="L200" t="str">
            <v>SED7</v>
          </cell>
        </row>
        <row r="201">
          <cell r="A201">
            <v>1125</v>
          </cell>
          <cell r="B201" t="str">
            <v>ARGOTE DE LOS RIOS CARLOS ALEJANDRO</v>
          </cell>
          <cell r="C201">
            <v>1965</v>
          </cell>
          <cell r="D201">
            <v>2000</v>
          </cell>
          <cell r="E201">
            <v>2000</v>
          </cell>
          <cell r="F201">
            <v>400</v>
          </cell>
          <cell r="I201">
            <v>2400</v>
          </cell>
          <cell r="J201" t="str">
            <v>G</v>
          </cell>
          <cell r="K201" t="str">
            <v>ISEG</v>
          </cell>
          <cell r="L201" t="str">
            <v>PUQUI</v>
          </cell>
        </row>
        <row r="202">
          <cell r="A202">
            <v>1127</v>
          </cell>
          <cell r="B202" t="str">
            <v>PFEIFFER TUBINO ENRIQUE BENJAMI</v>
          </cell>
          <cell r="C202">
            <v>1950</v>
          </cell>
          <cell r="D202">
            <v>1997</v>
          </cell>
          <cell r="E202">
            <v>8560</v>
          </cell>
          <cell r="I202">
            <v>8560</v>
          </cell>
          <cell r="J202" t="str">
            <v>C</v>
          </cell>
          <cell r="K202" t="str">
            <v>ICIV</v>
          </cell>
          <cell r="L202" t="str">
            <v>SEG</v>
          </cell>
        </row>
        <row r="203">
          <cell r="A203">
            <v>1128</v>
          </cell>
          <cell r="B203" t="str">
            <v xml:space="preserve">BELLINA EGGERSTEDT JAVIER  </v>
          </cell>
          <cell r="C203">
            <v>1933</v>
          </cell>
          <cell r="D203">
            <v>1997</v>
          </cell>
          <cell r="E203">
            <v>9800</v>
          </cell>
          <cell r="I203">
            <v>9800</v>
          </cell>
          <cell r="J203" t="str">
            <v>C</v>
          </cell>
          <cell r="K203" t="str">
            <v>BIOL</v>
          </cell>
          <cell r="L203" t="str">
            <v>SEG</v>
          </cell>
        </row>
        <row r="204">
          <cell r="A204">
            <v>1130</v>
          </cell>
          <cell r="B204" t="str">
            <v>CAÑOTE GARCIA ROGER OSWALDO</v>
          </cell>
          <cell r="C204">
            <v>1970</v>
          </cell>
          <cell r="D204">
            <v>1997</v>
          </cell>
          <cell r="E204">
            <v>2100</v>
          </cell>
          <cell r="I204">
            <v>2100</v>
          </cell>
          <cell r="J204" t="str">
            <v>E</v>
          </cell>
          <cell r="K204" t="str">
            <v>IIND</v>
          </cell>
          <cell r="L204" t="str">
            <v>LOG</v>
          </cell>
        </row>
        <row r="205">
          <cell r="A205">
            <v>1135</v>
          </cell>
          <cell r="B205" t="str">
            <v>FRANCO SEMINARIO NANCY MARIA</v>
          </cell>
          <cell r="C205">
            <v>1974</v>
          </cell>
          <cell r="D205">
            <v>1997</v>
          </cell>
          <cell r="E205">
            <v>1400</v>
          </cell>
          <cell r="I205">
            <v>1400</v>
          </cell>
          <cell r="J205" t="str">
            <v>G</v>
          </cell>
          <cell r="K205" t="str">
            <v>SEC</v>
          </cell>
          <cell r="L205" t="str">
            <v>AUTSR</v>
          </cell>
        </row>
        <row r="206">
          <cell r="A206">
            <v>1136</v>
          </cell>
          <cell r="B206" t="str">
            <v>DONGO SANCHEZ TIRADO OSCAR DANIEL</v>
          </cell>
          <cell r="C206">
            <v>1968</v>
          </cell>
          <cell r="D206">
            <v>1997</v>
          </cell>
          <cell r="E206">
            <v>4000</v>
          </cell>
          <cell r="I206">
            <v>4000</v>
          </cell>
          <cell r="J206" t="str">
            <v>F</v>
          </cell>
          <cell r="K206" t="str">
            <v>ICIV</v>
          </cell>
          <cell r="L206" t="str">
            <v>LIQUID</v>
          </cell>
        </row>
        <row r="207">
          <cell r="A207">
            <v>1137</v>
          </cell>
          <cell r="B207" t="str">
            <v xml:space="preserve">DOLCI BOTTA FIORELLA </v>
          </cell>
          <cell r="C207">
            <v>1969</v>
          </cell>
          <cell r="D207">
            <v>1997</v>
          </cell>
          <cell r="E207">
            <v>6500</v>
          </cell>
          <cell r="I207">
            <v>6500</v>
          </cell>
          <cell r="J207" t="str">
            <v>E</v>
          </cell>
          <cell r="K207" t="str">
            <v>ADM</v>
          </cell>
          <cell r="L207" t="str">
            <v>FIN</v>
          </cell>
        </row>
        <row r="208">
          <cell r="A208">
            <v>1139</v>
          </cell>
          <cell r="B208" t="str">
            <v>SANCHEZ GRANDEZ JOHNNY RICHARD</v>
          </cell>
          <cell r="C208">
            <v>1972</v>
          </cell>
          <cell r="D208">
            <v>1997</v>
          </cell>
          <cell r="E208">
            <v>2760</v>
          </cell>
          <cell r="I208">
            <v>2760</v>
          </cell>
          <cell r="J208" t="str">
            <v>E</v>
          </cell>
          <cell r="K208" t="str">
            <v>CTD</v>
          </cell>
          <cell r="L208" t="str">
            <v>CTB</v>
          </cell>
        </row>
        <row r="209">
          <cell r="A209">
            <v>1140</v>
          </cell>
          <cell r="B209" t="str">
            <v xml:space="preserve">DAZA DURAN ESTEBAN  </v>
          </cell>
          <cell r="C209">
            <v>1961</v>
          </cell>
          <cell r="D209">
            <v>1997</v>
          </cell>
          <cell r="E209">
            <v>1352</v>
          </cell>
          <cell r="I209">
            <v>1352</v>
          </cell>
          <cell r="J209" t="str">
            <v>G</v>
          </cell>
          <cell r="K209">
            <v>0</v>
          </cell>
          <cell r="L209" t="str">
            <v>DIVEM</v>
          </cell>
        </row>
        <row r="210">
          <cell r="A210">
            <v>1142</v>
          </cell>
          <cell r="B210" t="str">
            <v>LAOS LOCK MONICA CECILIA</v>
          </cell>
          <cell r="C210">
            <v>1972</v>
          </cell>
          <cell r="D210">
            <v>1997</v>
          </cell>
          <cell r="E210">
            <v>2100</v>
          </cell>
          <cell r="I210">
            <v>2100</v>
          </cell>
          <cell r="J210" t="str">
            <v>F</v>
          </cell>
          <cell r="K210" t="str">
            <v>SEC</v>
          </cell>
          <cell r="L210" t="str">
            <v>FINSEG</v>
          </cell>
        </row>
        <row r="211">
          <cell r="A211">
            <v>1143</v>
          </cell>
          <cell r="B211" t="str">
            <v>RAVETTINO MESINAS MANUEL GUADALUPE</v>
          </cell>
          <cell r="C211">
            <v>1970</v>
          </cell>
          <cell r="D211">
            <v>1997</v>
          </cell>
          <cell r="E211">
            <v>2800</v>
          </cell>
          <cell r="I211">
            <v>2800</v>
          </cell>
          <cell r="J211" t="str">
            <v>E</v>
          </cell>
          <cell r="K211" t="str">
            <v>ABG</v>
          </cell>
          <cell r="L211" t="str">
            <v>PTOS</v>
          </cell>
        </row>
        <row r="212">
          <cell r="A212">
            <v>1145</v>
          </cell>
          <cell r="B212" t="str">
            <v>DE LOS RIOS CORDOVA URSULA CARMEN</v>
          </cell>
          <cell r="C212">
            <v>1973</v>
          </cell>
          <cell r="D212">
            <v>1997</v>
          </cell>
          <cell r="E212">
            <v>2940</v>
          </cell>
          <cell r="I212">
            <v>2940</v>
          </cell>
          <cell r="J212" t="str">
            <v>F</v>
          </cell>
          <cell r="K212" t="str">
            <v>RIND</v>
          </cell>
          <cell r="L212" t="str">
            <v>RRHH</v>
          </cell>
        </row>
        <row r="213">
          <cell r="A213">
            <v>1147</v>
          </cell>
          <cell r="B213" t="str">
            <v>LINDLEY OLAZO EDUARDO FABRICI</v>
          </cell>
          <cell r="C213">
            <v>1971</v>
          </cell>
          <cell r="D213">
            <v>1997</v>
          </cell>
          <cell r="E213">
            <v>14000</v>
          </cell>
          <cell r="I213">
            <v>14000</v>
          </cell>
          <cell r="J213" t="str">
            <v>C</v>
          </cell>
          <cell r="K213" t="str">
            <v>IIND</v>
          </cell>
          <cell r="L213" t="str">
            <v>GGCEQ</v>
          </cell>
        </row>
        <row r="214">
          <cell r="A214">
            <v>1148</v>
          </cell>
          <cell r="B214" t="str">
            <v>BUSTINZA RODRIGUEZ JUAN HERACLIDES</v>
          </cell>
          <cell r="C214">
            <v>1942</v>
          </cell>
          <cell r="D214">
            <v>1997</v>
          </cell>
          <cell r="E214">
            <v>6800</v>
          </cell>
          <cell r="I214">
            <v>6800</v>
          </cell>
          <cell r="J214" t="str">
            <v>D</v>
          </cell>
          <cell r="K214" t="str">
            <v>IMEL</v>
          </cell>
          <cell r="L214" t="str">
            <v>LOG</v>
          </cell>
        </row>
        <row r="215">
          <cell r="A215">
            <v>1149</v>
          </cell>
          <cell r="B215" t="str">
            <v xml:space="preserve">JERI WILDEN FANNY  </v>
          </cell>
          <cell r="C215">
            <v>1965</v>
          </cell>
          <cell r="D215">
            <v>1997</v>
          </cell>
          <cell r="E215">
            <v>2450</v>
          </cell>
          <cell r="I215">
            <v>2450</v>
          </cell>
          <cell r="J215" t="str">
            <v>E</v>
          </cell>
          <cell r="K215" t="str">
            <v>SEC</v>
          </cell>
          <cell r="L215" t="str">
            <v>DIVEM</v>
          </cell>
        </row>
        <row r="216">
          <cell r="A216">
            <v>1152</v>
          </cell>
          <cell r="B216" t="str">
            <v>PONCE BEZOLD MARIA GIOVANNA</v>
          </cell>
          <cell r="C216">
            <v>1972</v>
          </cell>
          <cell r="D216">
            <v>1997</v>
          </cell>
          <cell r="E216">
            <v>3135</v>
          </cell>
          <cell r="I216">
            <v>3135</v>
          </cell>
          <cell r="J216" t="str">
            <v>E</v>
          </cell>
          <cell r="K216" t="str">
            <v>SEC</v>
          </cell>
          <cell r="L216" t="str">
            <v>GTEC</v>
          </cell>
        </row>
        <row r="217">
          <cell r="A217">
            <v>1153</v>
          </cell>
          <cell r="B217" t="str">
            <v>GONZALES BUSTAMANTE DANTE RODOLFO</v>
          </cell>
          <cell r="C217">
            <v>1952</v>
          </cell>
          <cell r="D217">
            <v>1997</v>
          </cell>
          <cell r="E217">
            <v>4706.3500000000004</v>
          </cell>
          <cell r="I217">
            <v>4706.3500000000004</v>
          </cell>
          <cell r="J217" t="str">
            <v>D</v>
          </cell>
          <cell r="K217" t="str">
            <v>IME</v>
          </cell>
          <cell r="L217" t="str">
            <v>PTOS</v>
          </cell>
        </row>
        <row r="218">
          <cell r="A218">
            <v>1157</v>
          </cell>
          <cell r="B218" t="str">
            <v xml:space="preserve">JIMENEZ JIMENEZ JUAN  </v>
          </cell>
          <cell r="C218">
            <v>1962</v>
          </cell>
          <cell r="D218">
            <v>1997</v>
          </cell>
          <cell r="E218">
            <v>4347.82</v>
          </cell>
          <cell r="I218">
            <v>4347.82</v>
          </cell>
          <cell r="J218" t="str">
            <v>F</v>
          </cell>
          <cell r="K218" t="str">
            <v>IELEC</v>
          </cell>
          <cell r="L218" t="str">
            <v>LTCOS</v>
          </cell>
        </row>
        <row r="219">
          <cell r="A219">
            <v>1160</v>
          </cell>
          <cell r="B219" t="str">
            <v>ISHIDA DANCOURT MALENA VERONICA</v>
          </cell>
          <cell r="C219">
            <v>1970</v>
          </cell>
          <cell r="D219">
            <v>1997</v>
          </cell>
          <cell r="E219">
            <v>5000</v>
          </cell>
          <cell r="I219">
            <v>5000</v>
          </cell>
          <cell r="J219" t="str">
            <v>E</v>
          </cell>
          <cell r="K219" t="str">
            <v>CTD</v>
          </cell>
          <cell r="L219" t="str">
            <v>CTB</v>
          </cell>
        </row>
        <row r="220">
          <cell r="A220">
            <v>1162</v>
          </cell>
          <cell r="B220" t="str">
            <v>RIVAS COELLO JOSE LUIS</v>
          </cell>
          <cell r="C220">
            <v>1952</v>
          </cell>
          <cell r="D220">
            <v>1997</v>
          </cell>
          <cell r="E220">
            <v>9699.23</v>
          </cell>
          <cell r="F220">
            <v>2909.77</v>
          </cell>
          <cell r="I220">
            <v>12609</v>
          </cell>
          <cell r="J220" t="str">
            <v>D</v>
          </cell>
          <cell r="K220" t="str">
            <v>IMEL</v>
          </cell>
          <cell r="L220" t="str">
            <v>PTOS</v>
          </cell>
        </row>
        <row r="221">
          <cell r="A221">
            <v>1163</v>
          </cell>
          <cell r="B221" t="str">
            <v>CASTILLO DE LA TORRE MARTIN JUAN</v>
          </cell>
          <cell r="C221">
            <v>1968</v>
          </cell>
          <cell r="D221">
            <v>1997</v>
          </cell>
          <cell r="E221">
            <v>2979.16</v>
          </cell>
          <cell r="F221">
            <v>595.84</v>
          </cell>
          <cell r="I221">
            <v>3575</v>
          </cell>
          <cell r="J221" t="str">
            <v>F</v>
          </cell>
          <cell r="K221" t="str">
            <v>IME</v>
          </cell>
          <cell r="L221" t="str">
            <v>LTANTM</v>
          </cell>
        </row>
        <row r="222">
          <cell r="A222">
            <v>1164</v>
          </cell>
          <cell r="B222" t="str">
            <v>PEDRAGAS ALVAREZ SIXTO MARCELINO</v>
          </cell>
          <cell r="C222">
            <v>1959</v>
          </cell>
          <cell r="D222">
            <v>1997</v>
          </cell>
          <cell r="E222">
            <v>5217.3999999999996</v>
          </cell>
          <cell r="F222">
            <v>782.6</v>
          </cell>
          <cell r="I222">
            <v>6000</v>
          </cell>
          <cell r="J222" t="str">
            <v>E</v>
          </cell>
          <cell r="K222" t="str">
            <v>IELEC</v>
          </cell>
          <cell r="L222" t="str">
            <v>MESS</v>
          </cell>
        </row>
        <row r="223">
          <cell r="A223">
            <v>1165</v>
          </cell>
          <cell r="B223" t="str">
            <v>PORTA VELIZ DEYVE ERNESTO</v>
          </cell>
          <cell r="C223">
            <v>1968</v>
          </cell>
          <cell r="D223">
            <v>1997</v>
          </cell>
          <cell r="E223">
            <v>8695.66</v>
          </cell>
          <cell r="F223">
            <v>1304.3399999999999</v>
          </cell>
          <cell r="I223">
            <v>10000</v>
          </cell>
          <cell r="J223" t="str">
            <v>C</v>
          </cell>
          <cell r="K223" t="str">
            <v>IME</v>
          </cell>
          <cell r="L223" t="str">
            <v>MESS</v>
          </cell>
        </row>
        <row r="224">
          <cell r="A224">
            <v>1167</v>
          </cell>
          <cell r="B224" t="str">
            <v>SANTOS MARDINI GUILLERMO ALBERTO</v>
          </cell>
          <cell r="C224">
            <v>1961</v>
          </cell>
          <cell r="D224">
            <v>1997</v>
          </cell>
          <cell r="E224">
            <v>4511.82</v>
          </cell>
          <cell r="F224">
            <v>451.18</v>
          </cell>
          <cell r="I224">
            <v>4963</v>
          </cell>
          <cell r="J224" t="str">
            <v>D</v>
          </cell>
          <cell r="K224" t="str">
            <v>IMEL</v>
          </cell>
          <cell r="L224" t="str">
            <v>MESS</v>
          </cell>
        </row>
        <row r="225">
          <cell r="A225">
            <v>1168</v>
          </cell>
          <cell r="B225" t="str">
            <v>MONTALVAN BUSTAMANTE CESAR AUGUSTO</v>
          </cell>
          <cell r="C225">
            <v>1966</v>
          </cell>
          <cell r="D225">
            <v>1997</v>
          </cell>
          <cell r="E225">
            <v>4174</v>
          </cell>
          <cell r="F225">
            <v>626.08000000000004</v>
          </cell>
          <cell r="I225">
            <v>4800.08</v>
          </cell>
          <cell r="J225" t="str">
            <v>E</v>
          </cell>
          <cell r="K225" t="str">
            <v>IMEL</v>
          </cell>
          <cell r="L225" t="str">
            <v>MESS</v>
          </cell>
        </row>
        <row r="226">
          <cell r="A226">
            <v>1169</v>
          </cell>
          <cell r="B226" t="str">
            <v xml:space="preserve">VILELA SAAVEDRA LONGOBARDO  </v>
          </cell>
          <cell r="C226">
            <v>1957</v>
          </cell>
          <cell r="D226">
            <v>1999</v>
          </cell>
          <cell r="E226">
            <v>5000</v>
          </cell>
          <cell r="F226">
            <v>1500</v>
          </cell>
          <cell r="I226">
            <v>6500</v>
          </cell>
          <cell r="J226" t="str">
            <v>s/c</v>
          </cell>
          <cell r="K226" t="str">
            <v>IELEC</v>
          </cell>
          <cell r="L226" t="str">
            <v>PUQUI</v>
          </cell>
        </row>
        <row r="227">
          <cell r="A227">
            <v>1170</v>
          </cell>
          <cell r="B227" t="str">
            <v xml:space="preserve">DUEÑAS GALLEGOS JESUS  </v>
          </cell>
          <cell r="C227">
            <v>1960</v>
          </cell>
          <cell r="D227">
            <v>1997</v>
          </cell>
          <cell r="E227">
            <v>3200</v>
          </cell>
          <cell r="F227">
            <v>640</v>
          </cell>
          <cell r="I227">
            <v>3840</v>
          </cell>
          <cell r="J227" t="str">
            <v>E</v>
          </cell>
          <cell r="K227" t="str">
            <v>CTD</v>
          </cell>
          <cell r="L227" t="str">
            <v>MESS</v>
          </cell>
        </row>
        <row r="228">
          <cell r="A228">
            <v>1172</v>
          </cell>
          <cell r="B228" t="str">
            <v>MARTINEZ LOZANO LUIS MIGUEL</v>
          </cell>
          <cell r="C228">
            <v>1939</v>
          </cell>
          <cell r="D228">
            <v>1997</v>
          </cell>
          <cell r="E228">
            <v>4962</v>
          </cell>
          <cell r="F228">
            <v>745</v>
          </cell>
          <cell r="I228">
            <v>5707</v>
          </cell>
          <cell r="J228" t="str">
            <v>E</v>
          </cell>
          <cell r="K228" t="str">
            <v>MEC</v>
          </cell>
          <cell r="L228" t="str">
            <v>MESS</v>
          </cell>
        </row>
        <row r="229">
          <cell r="A229">
            <v>1176</v>
          </cell>
          <cell r="B229" t="str">
            <v>PRIETO CHAVEZ LUIS ANTENOR</v>
          </cell>
          <cell r="C229">
            <v>1968</v>
          </cell>
          <cell r="D229">
            <v>1997</v>
          </cell>
          <cell r="E229">
            <v>1400</v>
          </cell>
          <cell r="F229">
            <v>280</v>
          </cell>
          <cell r="I229">
            <v>1680</v>
          </cell>
          <cell r="J229" t="str">
            <v>G</v>
          </cell>
          <cell r="K229" t="str">
            <v>PRG</v>
          </cell>
          <cell r="L229" t="str">
            <v>LIQUID</v>
          </cell>
        </row>
        <row r="230">
          <cell r="A230">
            <v>1177</v>
          </cell>
          <cell r="B230" t="str">
            <v>PASTOR CASTILLO CESAR ARISTIDES</v>
          </cell>
          <cell r="C230">
            <v>1950</v>
          </cell>
          <cell r="D230">
            <v>1999</v>
          </cell>
          <cell r="E230">
            <v>2674.59</v>
          </cell>
          <cell r="F230">
            <v>936.11</v>
          </cell>
          <cell r="I230">
            <v>3610.7</v>
          </cell>
          <cell r="J230" t="str">
            <v>E</v>
          </cell>
          <cell r="K230" t="str">
            <v>CTD</v>
          </cell>
          <cell r="L230" t="str">
            <v>TORAT</v>
          </cell>
        </row>
        <row r="231">
          <cell r="A231">
            <v>1178</v>
          </cell>
          <cell r="B231" t="str">
            <v xml:space="preserve">TOMAYA PURGUAYA VICTORIANO  </v>
          </cell>
          <cell r="C231">
            <v>1956</v>
          </cell>
          <cell r="D231">
            <v>1997</v>
          </cell>
          <cell r="E231">
            <v>1550</v>
          </cell>
          <cell r="I231">
            <v>1550</v>
          </cell>
          <cell r="J231" t="str">
            <v>H</v>
          </cell>
          <cell r="K231" t="str">
            <v>MEC</v>
          </cell>
          <cell r="L231" t="str">
            <v>CEQAL</v>
          </cell>
        </row>
        <row r="232">
          <cell r="A232">
            <v>1179</v>
          </cell>
          <cell r="B232" t="str">
            <v>OSORIO GUERRERO SANTOS ROMAN</v>
          </cell>
          <cell r="C232">
            <v>1960</v>
          </cell>
          <cell r="D232">
            <v>1997</v>
          </cell>
          <cell r="E232">
            <v>1270</v>
          </cell>
          <cell r="I232">
            <v>1270</v>
          </cell>
          <cell r="J232" t="str">
            <v>H</v>
          </cell>
          <cell r="K232" t="str">
            <v>MEC</v>
          </cell>
          <cell r="L232" t="str">
            <v>CEQAL</v>
          </cell>
        </row>
        <row r="233">
          <cell r="A233">
            <v>1185</v>
          </cell>
          <cell r="B233" t="str">
            <v>ROSADIO BENDEZU GUILLERMO EDILBERTO</v>
          </cell>
          <cell r="C233">
            <v>1969</v>
          </cell>
          <cell r="D233">
            <v>1997</v>
          </cell>
          <cell r="E233">
            <v>3745</v>
          </cell>
          <cell r="I233">
            <v>3745</v>
          </cell>
          <cell r="J233" t="str">
            <v>F</v>
          </cell>
          <cell r="K233" t="str">
            <v>ISIS</v>
          </cell>
          <cell r="L233" t="str">
            <v>PROD</v>
          </cell>
        </row>
        <row r="234">
          <cell r="A234">
            <v>1188</v>
          </cell>
          <cell r="B234" t="str">
            <v>ESPINOZA PALACIOS TITO ARMANDO</v>
          </cell>
          <cell r="C234">
            <v>1958</v>
          </cell>
          <cell r="D234">
            <v>1997</v>
          </cell>
          <cell r="E234">
            <v>4760</v>
          </cell>
          <cell r="F234">
            <v>238</v>
          </cell>
          <cell r="I234">
            <v>4998</v>
          </cell>
          <cell r="J234" t="str">
            <v>D</v>
          </cell>
          <cell r="K234" t="str">
            <v>ISEG</v>
          </cell>
          <cell r="L234" t="str">
            <v>TORAT</v>
          </cell>
        </row>
        <row r="235">
          <cell r="A235">
            <v>1192</v>
          </cell>
          <cell r="B235" t="str">
            <v>FIGUEROA CHUNGA NIKOLAYEV PAVEL</v>
          </cell>
          <cell r="C235">
            <v>1972</v>
          </cell>
          <cell r="D235">
            <v>1998</v>
          </cell>
          <cell r="E235">
            <v>2500</v>
          </cell>
          <cell r="F235">
            <v>500</v>
          </cell>
          <cell r="I235">
            <v>3000</v>
          </cell>
          <cell r="J235" t="str">
            <v>F</v>
          </cell>
          <cell r="K235" t="str">
            <v>IME</v>
          </cell>
          <cell r="L235" t="str">
            <v>LTMS</v>
          </cell>
        </row>
        <row r="236">
          <cell r="A236">
            <v>1193</v>
          </cell>
          <cell r="B236" t="str">
            <v>VIDAL LAVADO ORLANDO ROCITO</v>
          </cell>
          <cell r="C236">
            <v>1969</v>
          </cell>
          <cell r="D236">
            <v>1997</v>
          </cell>
          <cell r="E236">
            <v>1950</v>
          </cell>
          <cell r="I236">
            <v>1950</v>
          </cell>
          <cell r="J236" t="str">
            <v>H</v>
          </cell>
          <cell r="K236" t="str">
            <v>CONS</v>
          </cell>
          <cell r="L236" t="str">
            <v>PTOS</v>
          </cell>
        </row>
        <row r="237">
          <cell r="A237">
            <v>1196</v>
          </cell>
          <cell r="B237" t="str">
            <v>AURIS CORNEJO JUAN MARCELINO</v>
          </cell>
          <cell r="C237">
            <v>1960</v>
          </cell>
          <cell r="D237">
            <v>1997</v>
          </cell>
          <cell r="E237">
            <v>5302.58</v>
          </cell>
          <cell r="F237">
            <v>1060.52</v>
          </cell>
          <cell r="I237">
            <v>6363.1</v>
          </cell>
          <cell r="J237" t="str">
            <v>D</v>
          </cell>
          <cell r="K237" t="str">
            <v>IMEL</v>
          </cell>
          <cell r="L237" t="str">
            <v>PTOS</v>
          </cell>
        </row>
        <row r="238">
          <cell r="A238">
            <v>1203</v>
          </cell>
          <cell r="B238" t="str">
            <v>ABURTO TRUJILLO ROBERTO JAVIER</v>
          </cell>
          <cell r="C238">
            <v>1955</v>
          </cell>
          <cell r="D238">
            <v>1997</v>
          </cell>
          <cell r="E238">
            <v>2132.9299999999998</v>
          </cell>
          <cell r="F238">
            <v>533.24</v>
          </cell>
          <cell r="I238">
            <v>2666.17</v>
          </cell>
          <cell r="J238" t="str">
            <v>F</v>
          </cell>
          <cell r="K238" t="str">
            <v>TCONT</v>
          </cell>
          <cell r="L238" t="str">
            <v>LTANT</v>
          </cell>
        </row>
        <row r="239">
          <cell r="A239">
            <v>1213</v>
          </cell>
          <cell r="B239" t="str">
            <v xml:space="preserve">GUGLIELMINO PEDREROS KAREN  </v>
          </cell>
          <cell r="C239">
            <v>1973</v>
          </cell>
          <cell r="D239">
            <v>1997</v>
          </cell>
          <cell r="E239">
            <v>1916.36</v>
          </cell>
          <cell r="F239">
            <v>191.64</v>
          </cell>
          <cell r="I239">
            <v>2108</v>
          </cell>
          <cell r="J239" t="str">
            <v>G</v>
          </cell>
          <cell r="K239" t="str">
            <v>ARQ</v>
          </cell>
          <cell r="L239" t="str">
            <v>MARR</v>
          </cell>
        </row>
        <row r="240">
          <cell r="A240">
            <v>1219</v>
          </cell>
          <cell r="B240" t="str">
            <v>ESTRADA DAVILA OSCAR LORENZO</v>
          </cell>
          <cell r="C240">
            <v>1956</v>
          </cell>
          <cell r="D240">
            <v>1997</v>
          </cell>
          <cell r="E240">
            <v>9405</v>
          </cell>
          <cell r="F240">
            <v>1881</v>
          </cell>
          <cell r="I240">
            <v>11286</v>
          </cell>
          <cell r="J240" t="str">
            <v>D</v>
          </cell>
          <cell r="K240" t="str">
            <v>ECON</v>
          </cell>
          <cell r="L240" t="str">
            <v>LTMANT</v>
          </cell>
        </row>
        <row r="241">
          <cell r="A241">
            <v>1222</v>
          </cell>
          <cell r="B241" t="str">
            <v>PAREJA KAWASHIMA CLAUDIO ENRIQUE</v>
          </cell>
          <cell r="C241">
            <v>1965</v>
          </cell>
          <cell r="D241">
            <v>1998</v>
          </cell>
          <cell r="E241">
            <v>1900</v>
          </cell>
          <cell r="F241">
            <v>500</v>
          </cell>
          <cell r="I241">
            <v>2400</v>
          </cell>
          <cell r="J241" t="str">
            <v>H</v>
          </cell>
          <cell r="K241" t="str">
            <v>PRG</v>
          </cell>
          <cell r="L241" t="str">
            <v>MESS</v>
          </cell>
        </row>
        <row r="242">
          <cell r="A242">
            <v>1226</v>
          </cell>
          <cell r="B242" t="str">
            <v>BAZAN VEGA EDUARDO JESUS</v>
          </cell>
          <cell r="C242">
            <v>1974</v>
          </cell>
          <cell r="D242">
            <v>1997</v>
          </cell>
          <cell r="E242">
            <v>1650</v>
          </cell>
          <cell r="I242">
            <v>1650</v>
          </cell>
          <cell r="J242" t="str">
            <v>G</v>
          </cell>
          <cell r="K242" t="str">
            <v>CONS</v>
          </cell>
          <cell r="L242" t="str">
            <v>PTOS</v>
          </cell>
        </row>
        <row r="243">
          <cell r="A243">
            <v>1237</v>
          </cell>
          <cell r="B243" t="str">
            <v xml:space="preserve">BANDA RONCAL SEGUNDO  </v>
          </cell>
          <cell r="C243">
            <v>1956</v>
          </cell>
          <cell r="D243">
            <v>1997</v>
          </cell>
          <cell r="E243">
            <v>7116</v>
          </cell>
          <cell r="F243">
            <v>1400</v>
          </cell>
          <cell r="I243">
            <v>8516</v>
          </cell>
          <cell r="J243" t="str">
            <v>E</v>
          </cell>
          <cell r="K243" t="str">
            <v>TELC</v>
          </cell>
          <cell r="L243" t="str">
            <v>MESS</v>
          </cell>
        </row>
        <row r="244">
          <cell r="A244">
            <v>1240</v>
          </cell>
          <cell r="B244" t="str">
            <v>DAVILA GARCIA CLAUDIA ROSSANA</v>
          </cell>
          <cell r="C244">
            <v>1965</v>
          </cell>
          <cell r="D244">
            <v>1997</v>
          </cell>
          <cell r="E244">
            <v>1350</v>
          </cell>
          <cell r="I244">
            <v>1350</v>
          </cell>
          <cell r="J244" t="str">
            <v>F</v>
          </cell>
          <cell r="K244" t="str">
            <v>SEC</v>
          </cell>
          <cell r="L244" t="str">
            <v>LOG</v>
          </cell>
        </row>
        <row r="245">
          <cell r="A245">
            <v>1241</v>
          </cell>
          <cell r="B245" t="str">
            <v>MESONES GONZALES SANTIAGO ROBERTO</v>
          </cell>
          <cell r="C245">
            <v>1965</v>
          </cell>
          <cell r="D245">
            <v>1997</v>
          </cell>
          <cell r="E245">
            <v>6480</v>
          </cell>
          <cell r="I245">
            <v>6480</v>
          </cell>
          <cell r="J245" t="str">
            <v>E</v>
          </cell>
          <cell r="K245" t="str">
            <v>IME</v>
          </cell>
          <cell r="L245" t="str">
            <v>CEQGG</v>
          </cell>
        </row>
        <row r="246">
          <cell r="A246">
            <v>1248</v>
          </cell>
          <cell r="B246" t="str">
            <v>ALVITES BULLON MARCO ANTONIO</v>
          </cell>
          <cell r="C246">
            <v>1953</v>
          </cell>
          <cell r="D246">
            <v>1999</v>
          </cell>
          <cell r="E246">
            <v>3000</v>
          </cell>
          <cell r="F246">
            <v>900</v>
          </cell>
          <cell r="I246">
            <v>3900</v>
          </cell>
          <cell r="J246" t="str">
            <v>s/c</v>
          </cell>
          <cell r="K246" t="str">
            <v>IELEC</v>
          </cell>
          <cell r="L246" t="str">
            <v>PUQUI</v>
          </cell>
        </row>
        <row r="247">
          <cell r="A247">
            <v>1250</v>
          </cell>
          <cell r="B247" t="str">
            <v>QUILCATE COLFER JAVIER SEGUNDO</v>
          </cell>
          <cell r="C247">
            <v>1967</v>
          </cell>
          <cell r="D247">
            <v>1997</v>
          </cell>
          <cell r="E247">
            <v>3583.34</v>
          </cell>
          <cell r="F247">
            <v>716.66</v>
          </cell>
          <cell r="I247">
            <v>4300</v>
          </cell>
          <cell r="J247" t="str">
            <v>F</v>
          </cell>
          <cell r="K247" t="str">
            <v>ADM</v>
          </cell>
          <cell r="L247" t="str">
            <v>MESS</v>
          </cell>
        </row>
        <row r="248">
          <cell r="A248">
            <v>1255</v>
          </cell>
          <cell r="B248" t="str">
            <v>HURTADO PEREZ PALMA RAUL UBALDO</v>
          </cell>
          <cell r="C248">
            <v>1941</v>
          </cell>
          <cell r="D248">
            <v>1997</v>
          </cell>
          <cell r="E248">
            <v>1900</v>
          </cell>
          <cell r="I248">
            <v>1900</v>
          </cell>
          <cell r="J248" t="str">
            <v>G</v>
          </cell>
          <cell r="K248" t="str">
            <v>TSEG</v>
          </cell>
          <cell r="L248" t="str">
            <v>LIQUID</v>
          </cell>
        </row>
        <row r="249">
          <cell r="A249">
            <v>1262</v>
          </cell>
          <cell r="B249" t="str">
            <v>GOMEZ ALVAREZ ANGEL DIMAS</v>
          </cell>
          <cell r="C249">
            <v>1969</v>
          </cell>
          <cell r="D249">
            <v>1997</v>
          </cell>
          <cell r="E249">
            <v>3470.84</v>
          </cell>
          <cell r="F249">
            <v>694.16</v>
          </cell>
          <cell r="I249">
            <v>4165</v>
          </cell>
          <cell r="J249" t="str">
            <v>E</v>
          </cell>
          <cell r="K249" t="str">
            <v>IIND</v>
          </cell>
          <cell r="L249" t="str">
            <v>PUQUI</v>
          </cell>
        </row>
        <row r="250">
          <cell r="A250">
            <v>1263</v>
          </cell>
          <cell r="B250" t="str">
            <v>ROMERO GALLEGOS JOSE LUIS</v>
          </cell>
          <cell r="C250">
            <v>1967</v>
          </cell>
          <cell r="D250">
            <v>1997</v>
          </cell>
          <cell r="E250">
            <v>8333.34</v>
          </cell>
          <cell r="F250">
            <v>1666.66</v>
          </cell>
          <cell r="I250">
            <v>10000</v>
          </cell>
          <cell r="J250" t="str">
            <v>C</v>
          </cell>
          <cell r="K250" t="str">
            <v>IMEL</v>
          </cell>
          <cell r="L250" t="str">
            <v>PTOS</v>
          </cell>
        </row>
        <row r="251">
          <cell r="A251">
            <v>1270</v>
          </cell>
          <cell r="B251" t="str">
            <v>ZAPANA CURO ENRIQUE LELIS</v>
          </cell>
          <cell r="C251">
            <v>1958</v>
          </cell>
          <cell r="D251">
            <v>1999</v>
          </cell>
          <cell r="E251">
            <v>1600</v>
          </cell>
          <cell r="F251">
            <v>480</v>
          </cell>
          <cell r="I251">
            <v>2080</v>
          </cell>
          <cell r="J251" t="str">
            <v>s/c</v>
          </cell>
          <cell r="K251" t="str">
            <v>TELC</v>
          </cell>
          <cell r="L251" t="str">
            <v>PUQUI</v>
          </cell>
        </row>
        <row r="252">
          <cell r="A252">
            <v>1275</v>
          </cell>
          <cell r="B252" t="str">
            <v xml:space="preserve">LIMACO VALENCIA PEDRO  </v>
          </cell>
          <cell r="C252">
            <v>1966</v>
          </cell>
          <cell r="D252">
            <v>1997</v>
          </cell>
          <cell r="E252">
            <v>4000</v>
          </cell>
          <cell r="F252">
            <v>800</v>
          </cell>
          <cell r="I252">
            <v>4800</v>
          </cell>
          <cell r="J252" t="str">
            <v>E</v>
          </cell>
          <cell r="K252" t="str">
            <v>IELEC</v>
          </cell>
          <cell r="L252" t="str">
            <v>LTCOS</v>
          </cell>
        </row>
        <row r="253">
          <cell r="A253">
            <v>1276</v>
          </cell>
          <cell r="B253" t="str">
            <v xml:space="preserve">CARPIO GARCIA OCTAVIO  </v>
          </cell>
          <cell r="C253">
            <v>1944</v>
          </cell>
          <cell r="D253">
            <v>1997</v>
          </cell>
          <cell r="E253">
            <v>4000</v>
          </cell>
          <cell r="I253">
            <v>4000</v>
          </cell>
          <cell r="J253" t="str">
            <v>E</v>
          </cell>
          <cell r="K253" t="str">
            <v>TADM</v>
          </cell>
          <cell r="L253" t="str">
            <v>SED 16</v>
          </cell>
        </row>
        <row r="254">
          <cell r="A254">
            <v>1277</v>
          </cell>
          <cell r="B254" t="str">
            <v>PEREZ GAMBOA LUIS ANTONIO</v>
          </cell>
          <cell r="C254">
            <v>1964</v>
          </cell>
          <cell r="D254">
            <v>1998</v>
          </cell>
          <cell r="E254">
            <v>3906.66</v>
          </cell>
          <cell r="F254">
            <v>1171.99</v>
          </cell>
          <cell r="I254">
            <v>5078.6499999999996</v>
          </cell>
          <cell r="J254" t="str">
            <v>D</v>
          </cell>
          <cell r="K254" t="str">
            <v>IELEC</v>
          </cell>
          <cell r="L254" t="str">
            <v>LTMS</v>
          </cell>
        </row>
        <row r="255">
          <cell r="A255">
            <v>1279</v>
          </cell>
          <cell r="B255" t="str">
            <v>LUNA FIGUEROA TOMAS JOSE</v>
          </cell>
          <cell r="C255">
            <v>1955</v>
          </cell>
          <cell r="D255">
            <v>1997</v>
          </cell>
          <cell r="E255">
            <v>3503</v>
          </cell>
          <cell r="F255">
            <v>1050.9000000000001</v>
          </cell>
          <cell r="I255">
            <v>4553.8999999999996</v>
          </cell>
          <cell r="J255" t="str">
            <v>F</v>
          </cell>
          <cell r="K255" t="str">
            <v>IELEC</v>
          </cell>
          <cell r="L255" t="str">
            <v>LTMS</v>
          </cell>
        </row>
        <row r="256">
          <cell r="A256">
            <v>1280</v>
          </cell>
          <cell r="B256" t="str">
            <v>COTTLE VALLE WILLIAM JAMES</v>
          </cell>
          <cell r="C256">
            <v>1954</v>
          </cell>
          <cell r="D256">
            <v>1997</v>
          </cell>
          <cell r="E256">
            <v>16000</v>
          </cell>
          <cell r="I256">
            <v>16000</v>
          </cell>
          <cell r="J256" t="str">
            <v>B</v>
          </cell>
          <cell r="K256" t="str">
            <v>IME</v>
          </cell>
          <cell r="L256" t="str">
            <v>DIVEM</v>
          </cell>
        </row>
        <row r="257">
          <cell r="A257">
            <v>1281</v>
          </cell>
          <cell r="B257" t="str">
            <v xml:space="preserve">PASCUAL ESPINOZA ESTEBAN  </v>
          </cell>
          <cell r="C257">
            <v>1955</v>
          </cell>
          <cell r="D257">
            <v>1997</v>
          </cell>
          <cell r="E257">
            <v>850</v>
          </cell>
          <cell r="I257">
            <v>850</v>
          </cell>
          <cell r="J257" t="str">
            <v>H</v>
          </cell>
          <cell r="K257" t="str">
            <v>MEC</v>
          </cell>
          <cell r="L257" t="str">
            <v>EDIFGM</v>
          </cell>
        </row>
        <row r="258">
          <cell r="A258">
            <v>1282</v>
          </cell>
          <cell r="B258" t="str">
            <v xml:space="preserve">VILLANTOY GARCIA MAXIMO  </v>
          </cell>
          <cell r="C258">
            <v>1949</v>
          </cell>
          <cell r="D258">
            <v>1997</v>
          </cell>
          <cell r="E258">
            <v>1973</v>
          </cell>
          <cell r="F258">
            <v>591.9</v>
          </cell>
          <cell r="I258">
            <v>2564.9</v>
          </cell>
          <cell r="J258" t="str">
            <v>G</v>
          </cell>
          <cell r="K258" t="str">
            <v>TELC</v>
          </cell>
          <cell r="L258" t="str">
            <v>LTMS</v>
          </cell>
        </row>
        <row r="259">
          <cell r="A259">
            <v>1283</v>
          </cell>
          <cell r="B259" t="str">
            <v xml:space="preserve">PASTOR ABANTO HIPOLITO  </v>
          </cell>
          <cell r="C259">
            <v>1956</v>
          </cell>
          <cell r="D259">
            <v>1997</v>
          </cell>
          <cell r="E259">
            <v>5980</v>
          </cell>
          <cell r="F259">
            <v>1196</v>
          </cell>
          <cell r="I259">
            <v>7176</v>
          </cell>
          <cell r="J259" t="str">
            <v>E</v>
          </cell>
          <cell r="K259" t="str">
            <v>TSUP</v>
          </cell>
          <cell r="L259" t="str">
            <v>LTMS</v>
          </cell>
        </row>
        <row r="260">
          <cell r="A260">
            <v>1285</v>
          </cell>
          <cell r="B260" t="str">
            <v>MORVELI MUJICA WALTER VIDAL</v>
          </cell>
          <cell r="C260">
            <v>1958</v>
          </cell>
          <cell r="D260">
            <v>1997</v>
          </cell>
          <cell r="E260">
            <v>6666.67</v>
          </cell>
          <cell r="F260">
            <v>2000</v>
          </cell>
          <cell r="I260">
            <v>8666.67</v>
          </cell>
          <cell r="J260" t="str">
            <v>D</v>
          </cell>
          <cell r="K260" t="str">
            <v>IELEC</v>
          </cell>
          <cell r="L260" t="str">
            <v>LTCOS</v>
          </cell>
        </row>
        <row r="261">
          <cell r="A261">
            <v>1287</v>
          </cell>
          <cell r="B261" t="str">
            <v>MONDRAGON OLAYA ERICK MANFREDO</v>
          </cell>
          <cell r="C261">
            <v>1969</v>
          </cell>
          <cell r="D261">
            <v>1997</v>
          </cell>
          <cell r="E261">
            <v>5600</v>
          </cell>
          <cell r="F261">
            <v>1400</v>
          </cell>
          <cell r="I261">
            <v>7000</v>
          </cell>
          <cell r="J261" t="str">
            <v>D</v>
          </cell>
          <cell r="K261" t="str">
            <v>IMEL</v>
          </cell>
          <cell r="L261" t="str">
            <v>PTOS</v>
          </cell>
        </row>
        <row r="262">
          <cell r="A262">
            <v>1290</v>
          </cell>
          <cell r="B262" t="str">
            <v>PEREZ GAMBOA MARCO ANTONIO</v>
          </cell>
          <cell r="C262">
            <v>1960</v>
          </cell>
          <cell r="D262">
            <v>1997</v>
          </cell>
          <cell r="E262">
            <v>3906.67</v>
          </cell>
          <cell r="F262">
            <v>1172</v>
          </cell>
          <cell r="I262">
            <v>5078.67</v>
          </cell>
          <cell r="J262" t="str">
            <v>E</v>
          </cell>
          <cell r="K262" t="str">
            <v>ICIV</v>
          </cell>
          <cell r="L262" t="str">
            <v>LTMS</v>
          </cell>
        </row>
        <row r="263">
          <cell r="A263">
            <v>1291</v>
          </cell>
          <cell r="B263" t="str">
            <v xml:space="preserve">DE LA CRUZ PUICON AUGUSTO  </v>
          </cell>
          <cell r="C263">
            <v>1956</v>
          </cell>
          <cell r="D263">
            <v>1997</v>
          </cell>
          <cell r="E263">
            <v>5424</v>
          </cell>
          <cell r="F263">
            <v>1627.2</v>
          </cell>
          <cell r="I263">
            <v>7051.2</v>
          </cell>
          <cell r="J263" t="str">
            <v>D</v>
          </cell>
          <cell r="K263" t="str">
            <v>IELECT</v>
          </cell>
          <cell r="L263" t="str">
            <v>LTMS</v>
          </cell>
        </row>
        <row r="264">
          <cell r="A264">
            <v>1292</v>
          </cell>
          <cell r="B264" t="str">
            <v>ROBLES VILLAFUERTE EMILIA JESUS</v>
          </cell>
          <cell r="C264">
            <v>1967</v>
          </cell>
          <cell r="D264">
            <v>1997</v>
          </cell>
          <cell r="E264">
            <v>2250</v>
          </cell>
          <cell r="I264">
            <v>2250</v>
          </cell>
          <cell r="J264" t="str">
            <v>F</v>
          </cell>
          <cell r="K264" t="str">
            <v>SEC</v>
          </cell>
          <cell r="L264" t="str">
            <v>DIVEM</v>
          </cell>
        </row>
        <row r="265">
          <cell r="A265">
            <v>1293</v>
          </cell>
          <cell r="B265" t="str">
            <v xml:space="preserve">INOPE MANTERO CARLOS  </v>
          </cell>
          <cell r="C265">
            <v>1966</v>
          </cell>
          <cell r="D265">
            <v>1997</v>
          </cell>
          <cell r="E265">
            <v>8373.33</v>
          </cell>
          <cell r="F265">
            <v>1674.67</v>
          </cell>
          <cell r="I265">
            <v>10048</v>
          </cell>
          <cell r="J265" t="str">
            <v>D</v>
          </cell>
          <cell r="K265" t="str">
            <v>IELECT</v>
          </cell>
          <cell r="L265" t="str">
            <v>LTMANT</v>
          </cell>
        </row>
        <row r="266">
          <cell r="A266">
            <v>1297</v>
          </cell>
          <cell r="B266" t="str">
            <v>ROSADO SOLIS GONZALO RICARDO</v>
          </cell>
          <cell r="C266">
            <v>1965</v>
          </cell>
          <cell r="D266">
            <v>1997</v>
          </cell>
          <cell r="E266">
            <v>7579</v>
          </cell>
          <cell r="I266">
            <v>7579</v>
          </cell>
          <cell r="J266" t="str">
            <v>H</v>
          </cell>
          <cell r="K266" t="str">
            <v>CTD</v>
          </cell>
          <cell r="L266" t="str">
            <v>DCHOL</v>
          </cell>
        </row>
        <row r="267">
          <cell r="A267">
            <v>1299</v>
          </cell>
          <cell r="B267" t="str">
            <v>OLAVIDE PROAÑO AGUSTIN JOSE</v>
          </cell>
          <cell r="C267">
            <v>1951</v>
          </cell>
          <cell r="D267">
            <v>1997</v>
          </cell>
          <cell r="E267">
            <v>16920</v>
          </cell>
          <cell r="F267">
            <v>4230</v>
          </cell>
          <cell r="I267">
            <v>21150</v>
          </cell>
          <cell r="J267" t="str">
            <v>B</v>
          </cell>
          <cell r="K267" t="str">
            <v>IME</v>
          </cell>
          <cell r="L267" t="str">
            <v>PTOS</v>
          </cell>
        </row>
        <row r="268">
          <cell r="A268">
            <v>1300</v>
          </cell>
          <cell r="B268" t="str">
            <v>VINATEA VILLACORTA LUIS ARTURO</v>
          </cell>
          <cell r="C268">
            <v>1951</v>
          </cell>
          <cell r="D268">
            <v>1997</v>
          </cell>
          <cell r="E268">
            <v>18300</v>
          </cell>
          <cell r="I268">
            <v>18300</v>
          </cell>
          <cell r="J268" t="str">
            <v>A</v>
          </cell>
          <cell r="K268" t="str">
            <v>ICIV</v>
          </cell>
          <cell r="L268" t="str">
            <v>GTEC</v>
          </cell>
        </row>
        <row r="269">
          <cell r="A269">
            <v>1301</v>
          </cell>
          <cell r="B269" t="str">
            <v>PEREZ GAMBOA MARIO ENRIQUE</v>
          </cell>
          <cell r="C269">
            <v>1956</v>
          </cell>
          <cell r="D269">
            <v>1997</v>
          </cell>
          <cell r="E269">
            <v>17625</v>
          </cell>
          <cell r="F269">
            <v>3525</v>
          </cell>
          <cell r="I269">
            <v>21150</v>
          </cell>
          <cell r="J269" t="str">
            <v>B</v>
          </cell>
          <cell r="K269" t="str">
            <v>IELEC</v>
          </cell>
          <cell r="L269" t="str">
            <v>LTMS</v>
          </cell>
        </row>
        <row r="270">
          <cell r="A270">
            <v>1302</v>
          </cell>
          <cell r="B270" t="str">
            <v xml:space="preserve">CUADROS ANTUNEZ DE MAYOLO VICTOR </v>
          </cell>
          <cell r="C270">
            <v>1948</v>
          </cell>
          <cell r="D270">
            <v>1997</v>
          </cell>
          <cell r="E270">
            <v>24930</v>
          </cell>
          <cell r="F270">
            <v>9972</v>
          </cell>
          <cell r="I270">
            <v>34902</v>
          </cell>
          <cell r="J270" t="str">
            <v>A</v>
          </cell>
          <cell r="K270" t="str">
            <v>IMEL</v>
          </cell>
          <cell r="L270" t="str">
            <v>DIVEM</v>
          </cell>
        </row>
        <row r="271">
          <cell r="A271">
            <v>1303</v>
          </cell>
          <cell r="B271" t="str">
            <v>LAZO CANEPA JUAN ENRIQUE</v>
          </cell>
          <cell r="C271">
            <v>1961</v>
          </cell>
          <cell r="D271">
            <v>1997</v>
          </cell>
          <cell r="E271">
            <v>5942.5</v>
          </cell>
          <cell r="F271">
            <v>1188.5</v>
          </cell>
          <cell r="I271">
            <v>7131</v>
          </cell>
          <cell r="J271" t="str">
            <v>E</v>
          </cell>
          <cell r="K271" t="str">
            <v>TCONT</v>
          </cell>
          <cell r="L271" t="str">
            <v>LTCOS</v>
          </cell>
        </row>
        <row r="272">
          <cell r="A272">
            <v>1304</v>
          </cell>
          <cell r="B272" t="str">
            <v>RUIZ YANCUL ROMULO MARCELO</v>
          </cell>
          <cell r="C272">
            <v>1947</v>
          </cell>
          <cell r="D272">
            <v>1999</v>
          </cell>
          <cell r="E272">
            <v>5588</v>
          </cell>
          <cell r="F272">
            <v>1676.4</v>
          </cell>
          <cell r="I272">
            <v>7264.4</v>
          </cell>
          <cell r="J272" t="str">
            <v>s/c</v>
          </cell>
          <cell r="K272" t="str">
            <v>IME</v>
          </cell>
          <cell r="L272" t="str">
            <v>PUQUI</v>
          </cell>
        </row>
        <row r="273">
          <cell r="A273">
            <v>1305</v>
          </cell>
          <cell r="B273" t="str">
            <v>ZEVALLO ROSALES CESAR AUGUSTO</v>
          </cell>
          <cell r="C273">
            <v>1953</v>
          </cell>
          <cell r="D273">
            <v>1997</v>
          </cell>
          <cell r="E273">
            <v>7296</v>
          </cell>
          <cell r="F273">
            <v>1459.2</v>
          </cell>
          <cell r="I273">
            <v>8755.2000000000007</v>
          </cell>
          <cell r="J273" t="str">
            <v>D</v>
          </cell>
          <cell r="K273" t="str">
            <v>IELEC</v>
          </cell>
          <cell r="L273" t="str">
            <v>LTMANT</v>
          </cell>
        </row>
        <row r="274">
          <cell r="A274">
            <v>1307</v>
          </cell>
          <cell r="B274" t="str">
            <v xml:space="preserve">MARTINEZ GUERRA RUBEN </v>
          </cell>
          <cell r="C274">
            <v>1965</v>
          </cell>
          <cell r="D274">
            <v>1997</v>
          </cell>
          <cell r="E274">
            <v>3520</v>
          </cell>
          <cell r="F274">
            <v>704</v>
          </cell>
          <cell r="I274">
            <v>4224</v>
          </cell>
          <cell r="J274" t="str">
            <v>E</v>
          </cell>
          <cell r="K274" t="str">
            <v>CTD</v>
          </cell>
          <cell r="L274" t="str">
            <v>LTANT</v>
          </cell>
        </row>
        <row r="275">
          <cell r="A275">
            <v>1316</v>
          </cell>
          <cell r="B275" t="str">
            <v>CHIPANA VELIZ RONAL SATURNINO</v>
          </cell>
          <cell r="C275">
            <v>1967</v>
          </cell>
          <cell r="D275">
            <v>1999</v>
          </cell>
          <cell r="E275">
            <v>2300</v>
          </cell>
          <cell r="F275">
            <v>460</v>
          </cell>
          <cell r="I275">
            <v>2760</v>
          </cell>
          <cell r="J275" t="str">
            <v>G</v>
          </cell>
          <cell r="K275" t="str">
            <v>CTD</v>
          </cell>
          <cell r="L275" t="str">
            <v>MESS</v>
          </cell>
        </row>
        <row r="276">
          <cell r="A276">
            <v>1320</v>
          </cell>
          <cell r="B276" t="str">
            <v>PORTA LOZANO FABIAN DELANO</v>
          </cell>
          <cell r="C276">
            <v>1949</v>
          </cell>
          <cell r="D276">
            <v>1999</v>
          </cell>
          <cell r="E276">
            <v>3200</v>
          </cell>
          <cell r="F276">
            <v>640</v>
          </cell>
          <cell r="I276">
            <v>3840</v>
          </cell>
          <cell r="J276" t="str">
            <v>F</v>
          </cell>
          <cell r="K276">
            <v>0</v>
          </cell>
          <cell r="L276" t="str">
            <v>MESS</v>
          </cell>
        </row>
        <row r="277">
          <cell r="A277">
            <v>1321</v>
          </cell>
          <cell r="B277" t="str">
            <v>ARROYO BURGA CESAR AUGUSTO</v>
          </cell>
          <cell r="C277">
            <v>1969</v>
          </cell>
          <cell r="D277">
            <v>1999</v>
          </cell>
          <cell r="E277">
            <v>3000</v>
          </cell>
          <cell r="F277">
            <v>600</v>
          </cell>
          <cell r="I277">
            <v>3600</v>
          </cell>
          <cell r="J277" t="str">
            <v>F</v>
          </cell>
          <cell r="K277" t="str">
            <v>ICIV</v>
          </cell>
          <cell r="L277" t="str">
            <v>MESS</v>
          </cell>
        </row>
        <row r="278">
          <cell r="A278">
            <v>1323</v>
          </cell>
          <cell r="B278" t="str">
            <v>SANCHEZ PIMENTEL CESAR FELIX</v>
          </cell>
          <cell r="C278">
            <v>1967</v>
          </cell>
          <cell r="D278">
            <v>1997</v>
          </cell>
          <cell r="E278">
            <v>2938.18</v>
          </cell>
          <cell r="F278">
            <v>881.45</v>
          </cell>
          <cell r="I278">
            <v>3819.63</v>
          </cell>
          <cell r="J278" t="str">
            <v>E</v>
          </cell>
          <cell r="K278" t="str">
            <v>IMEL</v>
          </cell>
          <cell r="L278" t="str">
            <v>LTMS</v>
          </cell>
        </row>
        <row r="279">
          <cell r="A279">
            <v>1326</v>
          </cell>
          <cell r="B279" t="str">
            <v>VARGAS CARRION CARLOS DAVID</v>
          </cell>
          <cell r="C279">
            <v>1958</v>
          </cell>
          <cell r="D279">
            <v>1999</v>
          </cell>
          <cell r="E279">
            <v>4200</v>
          </cell>
          <cell r="F279">
            <v>840</v>
          </cell>
          <cell r="I279">
            <v>5040</v>
          </cell>
          <cell r="J279" t="str">
            <v>F</v>
          </cell>
          <cell r="K279" t="str">
            <v>IME</v>
          </cell>
          <cell r="L279" t="str">
            <v>MESS</v>
          </cell>
        </row>
        <row r="280">
          <cell r="A280">
            <v>1328</v>
          </cell>
          <cell r="B280" t="str">
            <v>JUGO QUIÑONEZ JOSE CARLOS</v>
          </cell>
          <cell r="C280">
            <v>1968</v>
          </cell>
          <cell r="D280">
            <v>1997</v>
          </cell>
          <cell r="E280">
            <v>4255</v>
          </cell>
          <cell r="F280">
            <v>1276</v>
          </cell>
          <cell r="I280">
            <v>5531</v>
          </cell>
          <cell r="J280" t="str">
            <v>E</v>
          </cell>
          <cell r="K280" t="str">
            <v>IELEC</v>
          </cell>
          <cell r="L280" t="str">
            <v>PTOS</v>
          </cell>
        </row>
        <row r="281">
          <cell r="A281">
            <v>1331</v>
          </cell>
          <cell r="B281" t="str">
            <v>CAMPOS GARCIA FRANCISCO ALFREDO</v>
          </cell>
          <cell r="C281">
            <v>1975</v>
          </cell>
          <cell r="D281">
            <v>1997</v>
          </cell>
          <cell r="E281">
            <v>3000</v>
          </cell>
          <cell r="I281">
            <v>3000</v>
          </cell>
          <cell r="J281" t="str">
            <v>E</v>
          </cell>
          <cell r="K281" t="str">
            <v>IMEL</v>
          </cell>
          <cell r="L281" t="str">
            <v>PTOS</v>
          </cell>
        </row>
        <row r="282">
          <cell r="A282">
            <v>1334</v>
          </cell>
          <cell r="B282" t="str">
            <v>TABOADA GOMEZ JUAN PABLO ISRAEL</v>
          </cell>
          <cell r="C282">
            <v>1971</v>
          </cell>
          <cell r="D282">
            <v>1997</v>
          </cell>
          <cell r="E282">
            <v>3745</v>
          </cell>
          <cell r="I282">
            <v>3745</v>
          </cell>
          <cell r="J282" t="str">
            <v>F</v>
          </cell>
          <cell r="K282" t="str">
            <v>IIND</v>
          </cell>
          <cell r="L282" t="str">
            <v>LOG</v>
          </cell>
        </row>
        <row r="283">
          <cell r="A283">
            <v>1335</v>
          </cell>
          <cell r="B283" t="str">
            <v>VERA NORIEGA JAIME ROBERTO</v>
          </cell>
          <cell r="C283">
            <v>1953</v>
          </cell>
          <cell r="D283">
            <v>1997</v>
          </cell>
          <cell r="E283">
            <v>10200</v>
          </cell>
          <cell r="I283">
            <v>10200</v>
          </cell>
          <cell r="J283" t="str">
            <v>D</v>
          </cell>
          <cell r="K283" t="str">
            <v>DIB</v>
          </cell>
          <cell r="L283" t="str">
            <v>DIVEM</v>
          </cell>
        </row>
        <row r="284">
          <cell r="A284">
            <v>1343</v>
          </cell>
          <cell r="B284" t="str">
            <v>ZAGAZETA ARZUBIALDE CARLOS SOLON</v>
          </cell>
          <cell r="C284">
            <v>1967</v>
          </cell>
          <cell r="D284">
            <v>1999</v>
          </cell>
          <cell r="E284">
            <v>2500</v>
          </cell>
          <cell r="F284">
            <v>500</v>
          </cell>
          <cell r="I284">
            <v>3000</v>
          </cell>
          <cell r="J284" t="str">
            <v>G</v>
          </cell>
          <cell r="K284" t="str">
            <v>IADM</v>
          </cell>
          <cell r="L284" t="str">
            <v>LTMS</v>
          </cell>
        </row>
        <row r="285">
          <cell r="A285">
            <v>1349</v>
          </cell>
          <cell r="B285" t="str">
            <v xml:space="preserve">VALDIVIA VOTO-BERNALES SEBASTIAN  </v>
          </cell>
          <cell r="C285">
            <v>1971</v>
          </cell>
          <cell r="D285">
            <v>1997</v>
          </cell>
          <cell r="E285">
            <v>2990</v>
          </cell>
          <cell r="F285">
            <v>449</v>
          </cell>
          <cell r="I285">
            <v>3439</v>
          </cell>
          <cell r="J285" t="str">
            <v>E</v>
          </cell>
          <cell r="K285" t="str">
            <v>ADM</v>
          </cell>
          <cell r="L285" t="str">
            <v>MARR</v>
          </cell>
        </row>
        <row r="286">
          <cell r="A286">
            <v>1357</v>
          </cell>
          <cell r="B286" t="str">
            <v xml:space="preserve">BAILON ARIAS ROGELIO  </v>
          </cell>
          <cell r="C286">
            <v>1971</v>
          </cell>
          <cell r="D286">
            <v>1997</v>
          </cell>
          <cell r="E286">
            <v>795</v>
          </cell>
          <cell r="I286">
            <v>795</v>
          </cell>
          <cell r="J286" t="str">
            <v>G</v>
          </cell>
          <cell r="K286" t="str">
            <v>PRG</v>
          </cell>
          <cell r="L286" t="str">
            <v>LIQUID</v>
          </cell>
        </row>
        <row r="287">
          <cell r="A287">
            <v>1358</v>
          </cell>
          <cell r="B287" t="str">
            <v>LOZA MOSCOSO HENRY MARIANO</v>
          </cell>
          <cell r="C287">
            <v>1971</v>
          </cell>
          <cell r="D287">
            <v>1998</v>
          </cell>
          <cell r="E287">
            <v>1733.33</v>
          </cell>
          <cell r="F287">
            <v>346.67</v>
          </cell>
          <cell r="I287">
            <v>2080</v>
          </cell>
          <cell r="J287" t="str">
            <v>G</v>
          </cell>
          <cell r="K287" t="str">
            <v>ISIS</v>
          </cell>
          <cell r="L287" t="str">
            <v>CHIN</v>
          </cell>
        </row>
        <row r="288">
          <cell r="A288">
            <v>1362</v>
          </cell>
          <cell r="B288" t="str">
            <v>GOICOCHEA CHUZON JUAN ANTONIO</v>
          </cell>
          <cell r="C288">
            <v>1954</v>
          </cell>
          <cell r="D288">
            <v>1997</v>
          </cell>
          <cell r="E288">
            <v>2307</v>
          </cell>
          <cell r="F288">
            <v>692.3</v>
          </cell>
          <cell r="I288">
            <v>2999.3</v>
          </cell>
          <cell r="J288" t="str">
            <v>G</v>
          </cell>
          <cell r="K288" t="str">
            <v>TOP</v>
          </cell>
          <cell r="L288" t="str">
            <v>ANTM</v>
          </cell>
        </row>
        <row r="289">
          <cell r="A289">
            <v>1367</v>
          </cell>
          <cell r="B289" t="str">
            <v xml:space="preserve">MONTERO ALVAREZ CALDERO SANDRA  </v>
          </cell>
          <cell r="C289">
            <v>1969</v>
          </cell>
          <cell r="D289">
            <v>1997</v>
          </cell>
          <cell r="E289">
            <v>1680</v>
          </cell>
          <cell r="I289">
            <v>1680</v>
          </cell>
          <cell r="J289" t="str">
            <v>F</v>
          </cell>
          <cell r="K289" t="str">
            <v>PSI</v>
          </cell>
          <cell r="L289" t="str">
            <v>RRHH</v>
          </cell>
        </row>
        <row r="290">
          <cell r="A290">
            <v>1369</v>
          </cell>
          <cell r="B290" t="str">
            <v>OLAVIDE PROAÑO RAFAEL JOSE</v>
          </cell>
          <cell r="C290">
            <v>1954</v>
          </cell>
          <cell r="D290">
            <v>1998</v>
          </cell>
          <cell r="E290">
            <v>3360</v>
          </cell>
          <cell r="F290">
            <v>840</v>
          </cell>
          <cell r="I290">
            <v>4200</v>
          </cell>
          <cell r="J290" t="str">
            <v>E</v>
          </cell>
          <cell r="K290" t="str">
            <v>TADM</v>
          </cell>
          <cell r="L290" t="str">
            <v>LTCOS</v>
          </cell>
        </row>
        <row r="291">
          <cell r="A291">
            <v>1370</v>
          </cell>
          <cell r="B291" t="str">
            <v xml:space="preserve">MARQUIÑO QUEZADA RONALD  </v>
          </cell>
          <cell r="C291">
            <v>1972</v>
          </cell>
          <cell r="D291">
            <v>1998</v>
          </cell>
          <cell r="E291">
            <v>1000</v>
          </cell>
          <cell r="F291">
            <v>200</v>
          </cell>
          <cell r="I291">
            <v>1200</v>
          </cell>
          <cell r="J291" t="str">
            <v>H</v>
          </cell>
          <cell r="K291" t="str">
            <v>MEC</v>
          </cell>
          <cell r="L291" t="str">
            <v>LIQUID</v>
          </cell>
        </row>
        <row r="292">
          <cell r="A292">
            <v>1371</v>
          </cell>
          <cell r="B292" t="str">
            <v>DE LA CRUZ OBREGON JORGE CARLOS</v>
          </cell>
          <cell r="C292">
            <v>1956</v>
          </cell>
          <cell r="D292">
            <v>1998</v>
          </cell>
          <cell r="E292">
            <v>2805.55</v>
          </cell>
          <cell r="F292">
            <v>729.45</v>
          </cell>
          <cell r="I292">
            <v>3535</v>
          </cell>
          <cell r="J292" t="str">
            <v>H</v>
          </cell>
          <cell r="K292" t="str">
            <v>MEC</v>
          </cell>
          <cell r="L292" t="str">
            <v>BROC</v>
          </cell>
        </row>
        <row r="293">
          <cell r="A293">
            <v>1377</v>
          </cell>
          <cell r="B293" t="str">
            <v>PRIETTO RUBIO VICTOR ALBERTO</v>
          </cell>
          <cell r="C293">
            <v>1948</v>
          </cell>
          <cell r="D293">
            <v>1999</v>
          </cell>
          <cell r="E293">
            <v>1800</v>
          </cell>
          <cell r="I293">
            <v>1800</v>
          </cell>
          <cell r="J293" t="str">
            <v>G</v>
          </cell>
          <cell r="K293" t="str">
            <v>CTD</v>
          </cell>
          <cell r="L293" t="str">
            <v>SED 16</v>
          </cell>
        </row>
        <row r="294">
          <cell r="A294">
            <v>1380</v>
          </cell>
          <cell r="B294" t="str">
            <v>LOVATON MUJICA MIGUEL ANGEL</v>
          </cell>
          <cell r="C294">
            <v>1945</v>
          </cell>
          <cell r="D294">
            <v>1999</v>
          </cell>
          <cell r="E294">
            <v>9000</v>
          </cell>
          <cell r="I294">
            <v>9000</v>
          </cell>
          <cell r="J294" t="str">
            <v>D</v>
          </cell>
          <cell r="K294" t="str">
            <v>ICIV</v>
          </cell>
          <cell r="L294" t="str">
            <v>BROC</v>
          </cell>
        </row>
        <row r="295">
          <cell r="A295">
            <v>1384</v>
          </cell>
          <cell r="B295" t="str">
            <v>BEINGOLEA MORE JUSTO FERNANDO</v>
          </cell>
          <cell r="C295">
            <v>1964</v>
          </cell>
          <cell r="D295">
            <v>1998</v>
          </cell>
          <cell r="E295">
            <v>3500</v>
          </cell>
          <cell r="I295">
            <v>3500</v>
          </cell>
          <cell r="J295" t="str">
            <v>F</v>
          </cell>
          <cell r="K295" t="str">
            <v>ICIV</v>
          </cell>
          <cell r="L295" t="str">
            <v>LIQUID</v>
          </cell>
        </row>
        <row r="296">
          <cell r="A296">
            <v>1390</v>
          </cell>
          <cell r="B296" t="str">
            <v>NAVARRO ARIZOLA MARCO ANTONIO</v>
          </cell>
          <cell r="C296">
            <v>1968</v>
          </cell>
          <cell r="D296">
            <v>2000</v>
          </cell>
          <cell r="E296">
            <v>3500</v>
          </cell>
          <cell r="F296">
            <v>1225</v>
          </cell>
          <cell r="I296">
            <v>4725</v>
          </cell>
          <cell r="J296" t="str">
            <v>G</v>
          </cell>
          <cell r="K296" t="str">
            <v>TSEG</v>
          </cell>
          <cell r="L296" t="str">
            <v>ACHA</v>
          </cell>
        </row>
        <row r="297">
          <cell r="A297">
            <v>1391</v>
          </cell>
          <cell r="B297" t="str">
            <v>RISSO DELGADO GERONIMO JOSE</v>
          </cell>
          <cell r="C297">
            <v>1969</v>
          </cell>
          <cell r="D297">
            <v>1998</v>
          </cell>
          <cell r="E297">
            <v>2000</v>
          </cell>
          <cell r="I297">
            <v>2000</v>
          </cell>
          <cell r="J297" t="str">
            <v>E</v>
          </cell>
          <cell r="K297" t="str">
            <v>IIND</v>
          </cell>
          <cell r="L297" t="str">
            <v>SEDMT</v>
          </cell>
        </row>
        <row r="298">
          <cell r="A298">
            <v>1392</v>
          </cell>
          <cell r="B298" t="str">
            <v>DUFFOO ORDEIX PABLO JOSE</v>
          </cell>
          <cell r="C298">
            <v>1970</v>
          </cell>
          <cell r="D298">
            <v>1998</v>
          </cell>
          <cell r="E298">
            <v>3000</v>
          </cell>
          <cell r="F298">
            <v>900</v>
          </cell>
          <cell r="I298">
            <v>3900</v>
          </cell>
          <cell r="J298" t="str">
            <v>H</v>
          </cell>
          <cell r="K298" t="str">
            <v>MMAQ</v>
          </cell>
          <cell r="L298" t="str">
            <v>BROC</v>
          </cell>
        </row>
        <row r="299">
          <cell r="A299">
            <v>1395</v>
          </cell>
          <cell r="B299" t="str">
            <v>VARGAS MACHUCA RIOS CESAR AUGUSTO</v>
          </cell>
          <cell r="C299">
            <v>1968</v>
          </cell>
          <cell r="D299">
            <v>1998</v>
          </cell>
          <cell r="E299">
            <v>2500</v>
          </cell>
          <cell r="F299">
            <v>750</v>
          </cell>
          <cell r="I299">
            <v>3250</v>
          </cell>
          <cell r="J299" t="str">
            <v>G</v>
          </cell>
          <cell r="K299" t="str">
            <v>IMEL</v>
          </cell>
          <cell r="L299" t="str">
            <v>LTMS</v>
          </cell>
        </row>
        <row r="300">
          <cell r="A300">
            <v>1403</v>
          </cell>
          <cell r="B300" t="str">
            <v>LA PLATA ZAPATA FRANCISCO JAVIER</v>
          </cell>
          <cell r="C300">
            <v>1949</v>
          </cell>
          <cell r="D300">
            <v>1998</v>
          </cell>
          <cell r="E300">
            <v>2000</v>
          </cell>
          <cell r="F300">
            <v>1000</v>
          </cell>
          <cell r="I300">
            <v>3000</v>
          </cell>
          <cell r="J300" t="str">
            <v>F</v>
          </cell>
          <cell r="K300" t="str">
            <v>TELC</v>
          </cell>
          <cell r="L300" t="str">
            <v>LTMS</v>
          </cell>
        </row>
        <row r="301">
          <cell r="A301">
            <v>1404</v>
          </cell>
          <cell r="B301" t="str">
            <v>LAZO CANEPA CARLOS FERNANDO</v>
          </cell>
          <cell r="C301">
            <v>1968</v>
          </cell>
          <cell r="D301">
            <v>1998</v>
          </cell>
          <cell r="E301">
            <v>2300</v>
          </cell>
          <cell r="F301">
            <v>690</v>
          </cell>
          <cell r="I301">
            <v>2990</v>
          </cell>
          <cell r="J301" t="str">
            <v>G</v>
          </cell>
          <cell r="K301" t="str">
            <v>TADM</v>
          </cell>
          <cell r="L301" t="str">
            <v>LTMS</v>
          </cell>
        </row>
        <row r="302">
          <cell r="A302">
            <v>1405</v>
          </cell>
          <cell r="B302" t="str">
            <v>VICTORIA PALACIO GERMAN ERNESTO</v>
          </cell>
          <cell r="C302">
            <v>1971</v>
          </cell>
          <cell r="D302">
            <v>1998</v>
          </cell>
          <cell r="E302">
            <v>1700</v>
          </cell>
          <cell r="I302">
            <v>1700</v>
          </cell>
          <cell r="J302" t="str">
            <v>G</v>
          </cell>
          <cell r="K302" t="str">
            <v>ARQ</v>
          </cell>
          <cell r="L302" t="str">
            <v>LIQUID</v>
          </cell>
        </row>
        <row r="303">
          <cell r="A303">
            <v>1407</v>
          </cell>
          <cell r="B303" t="str">
            <v>AGUINAGA CASTRO NATALIA OTILIA</v>
          </cell>
          <cell r="C303">
            <v>1972</v>
          </cell>
          <cell r="D303">
            <v>1998</v>
          </cell>
          <cell r="E303">
            <v>2000</v>
          </cell>
          <cell r="I303">
            <v>2000</v>
          </cell>
          <cell r="J303" t="str">
            <v>G</v>
          </cell>
          <cell r="K303" t="str">
            <v>ICIV</v>
          </cell>
          <cell r="L303" t="str">
            <v>LIQUID</v>
          </cell>
        </row>
        <row r="304">
          <cell r="A304">
            <v>1412</v>
          </cell>
          <cell r="B304" t="str">
            <v xml:space="preserve">RAMOS FLORES FRANKO  </v>
          </cell>
          <cell r="C304">
            <v>1964</v>
          </cell>
          <cell r="D304">
            <v>1998</v>
          </cell>
          <cell r="E304">
            <v>2000</v>
          </cell>
          <cell r="F304">
            <v>600</v>
          </cell>
          <cell r="I304">
            <v>2600</v>
          </cell>
          <cell r="J304" t="str">
            <v>F</v>
          </cell>
          <cell r="K304" t="str">
            <v>TOP</v>
          </cell>
          <cell r="L304" t="str">
            <v>LIQUID</v>
          </cell>
        </row>
        <row r="305">
          <cell r="A305">
            <v>1418</v>
          </cell>
          <cell r="B305" t="str">
            <v>ESTRADA CUNYA EDY ALBERTO</v>
          </cell>
          <cell r="C305">
            <v>1971</v>
          </cell>
          <cell r="D305">
            <v>1998</v>
          </cell>
          <cell r="E305">
            <v>2000</v>
          </cell>
          <cell r="I305">
            <v>2000</v>
          </cell>
          <cell r="J305" t="str">
            <v>G</v>
          </cell>
          <cell r="K305" t="str">
            <v>PRG</v>
          </cell>
          <cell r="L305" t="str">
            <v>CEQSV</v>
          </cell>
        </row>
        <row r="306">
          <cell r="A306">
            <v>1425</v>
          </cell>
          <cell r="B306" t="str">
            <v>DIAZ QUISPE JESUS ANTONIO</v>
          </cell>
          <cell r="C306">
            <v>1969</v>
          </cell>
          <cell r="D306">
            <v>1999</v>
          </cell>
          <cell r="E306">
            <v>3000</v>
          </cell>
          <cell r="I306">
            <v>3000</v>
          </cell>
          <cell r="J306" t="str">
            <v>F</v>
          </cell>
          <cell r="K306" t="str">
            <v>IMEL</v>
          </cell>
          <cell r="L306" t="str">
            <v>PTOS</v>
          </cell>
        </row>
        <row r="307">
          <cell r="A307">
            <v>1429</v>
          </cell>
          <cell r="B307" t="str">
            <v>GARCIA SILUPU VICTOR HUGO</v>
          </cell>
          <cell r="C307">
            <v>1959</v>
          </cell>
          <cell r="D307">
            <v>1999</v>
          </cell>
          <cell r="E307">
            <v>1300</v>
          </cell>
          <cell r="I307">
            <v>1300</v>
          </cell>
          <cell r="J307" t="str">
            <v>G</v>
          </cell>
          <cell r="K307" t="str">
            <v>TADM</v>
          </cell>
          <cell r="L307" t="str">
            <v>ADMOP</v>
          </cell>
        </row>
        <row r="308">
          <cell r="A308">
            <v>1430</v>
          </cell>
          <cell r="B308" t="str">
            <v>VIDAL TORRES NAPOLEON ALEJANDRO</v>
          </cell>
          <cell r="C308">
            <v>1953</v>
          </cell>
          <cell r="D308">
            <v>1998</v>
          </cell>
          <cell r="E308">
            <v>8181.82</v>
          </cell>
          <cell r="F308">
            <v>818.18</v>
          </cell>
          <cell r="I308">
            <v>9000</v>
          </cell>
          <cell r="J308" t="str">
            <v>D</v>
          </cell>
          <cell r="K308" t="str">
            <v>IMEL</v>
          </cell>
          <cell r="L308" t="str">
            <v>MARR</v>
          </cell>
        </row>
        <row r="309">
          <cell r="A309">
            <v>1436</v>
          </cell>
          <cell r="B309" t="str">
            <v>CORTEZ CORONEL TOMAS ERNESTO</v>
          </cell>
          <cell r="C309">
            <v>1956</v>
          </cell>
          <cell r="D309">
            <v>1998</v>
          </cell>
          <cell r="E309">
            <v>1500</v>
          </cell>
          <cell r="F309">
            <v>500</v>
          </cell>
          <cell r="I309">
            <v>2000</v>
          </cell>
          <cell r="J309" t="str">
            <v>H</v>
          </cell>
          <cell r="K309" t="str">
            <v>DIB</v>
          </cell>
          <cell r="L309" t="str">
            <v>ANTM</v>
          </cell>
        </row>
        <row r="310">
          <cell r="A310">
            <v>1437</v>
          </cell>
          <cell r="B310" t="str">
            <v>RAMOS COAQUIRA LEONCIO TEODORO</v>
          </cell>
          <cell r="C310">
            <v>1961</v>
          </cell>
          <cell r="D310">
            <v>1998</v>
          </cell>
          <cell r="E310">
            <v>923</v>
          </cell>
          <cell r="F310">
            <v>277</v>
          </cell>
          <cell r="I310">
            <v>1200</v>
          </cell>
          <cell r="J310" t="str">
            <v>G</v>
          </cell>
          <cell r="K310">
            <v>0</v>
          </cell>
          <cell r="L310" t="str">
            <v>LOG</v>
          </cell>
        </row>
        <row r="311">
          <cell r="A311">
            <v>1441</v>
          </cell>
          <cell r="B311" t="str">
            <v>MENDOZA WOODMAN JORGE EDUARDO</v>
          </cell>
          <cell r="C311">
            <v>1965</v>
          </cell>
          <cell r="D311">
            <v>1998</v>
          </cell>
          <cell r="E311">
            <v>10250</v>
          </cell>
          <cell r="I311">
            <v>10250</v>
          </cell>
          <cell r="J311" t="str">
            <v>C</v>
          </cell>
          <cell r="K311" t="str">
            <v>IIND</v>
          </cell>
          <cell r="L311" t="str">
            <v>FIN</v>
          </cell>
        </row>
        <row r="312">
          <cell r="A312">
            <v>1445</v>
          </cell>
          <cell r="B312" t="str">
            <v>CUERVAS AMOROS MARIA CECILIA</v>
          </cell>
          <cell r="C312">
            <v>1971</v>
          </cell>
          <cell r="D312">
            <v>1998</v>
          </cell>
          <cell r="E312">
            <v>2130</v>
          </cell>
          <cell r="I312">
            <v>2130</v>
          </cell>
          <cell r="J312" t="str">
            <v>F</v>
          </cell>
          <cell r="K312" t="str">
            <v>SEC</v>
          </cell>
          <cell r="L312" t="str">
            <v>CONCES</v>
          </cell>
        </row>
        <row r="313">
          <cell r="A313">
            <v>1461</v>
          </cell>
          <cell r="B313" t="str">
            <v>JIMENEZ MONTENEGRO VICTOR ALEJANDR</v>
          </cell>
          <cell r="C313">
            <v>1961</v>
          </cell>
          <cell r="D313">
            <v>1998</v>
          </cell>
          <cell r="E313">
            <v>6334.61</v>
          </cell>
          <cell r="F313">
            <v>1900.39</v>
          </cell>
          <cell r="I313">
            <v>8235</v>
          </cell>
          <cell r="J313" t="str">
            <v>D</v>
          </cell>
          <cell r="K313" t="str">
            <v>IIND</v>
          </cell>
          <cell r="L313" t="str">
            <v>ACHA</v>
          </cell>
        </row>
        <row r="314">
          <cell r="A314">
            <v>1463</v>
          </cell>
          <cell r="B314" t="str">
            <v>GARCIA ENCISO DINO STEVENS</v>
          </cell>
          <cell r="C314">
            <v>1971</v>
          </cell>
          <cell r="D314">
            <v>1998</v>
          </cell>
          <cell r="E314">
            <v>700</v>
          </cell>
          <cell r="I314">
            <v>700</v>
          </cell>
          <cell r="J314" t="str">
            <v>G</v>
          </cell>
          <cell r="K314">
            <v>0</v>
          </cell>
          <cell r="L314" t="str">
            <v>PTOS</v>
          </cell>
        </row>
        <row r="315">
          <cell r="A315">
            <v>1465</v>
          </cell>
          <cell r="B315" t="str">
            <v>ANTAYHUA BARZOLA ARTURO FRANCISCO</v>
          </cell>
          <cell r="C315">
            <v>1962</v>
          </cell>
          <cell r="D315">
            <v>1998</v>
          </cell>
          <cell r="E315">
            <v>3500</v>
          </cell>
          <cell r="I315">
            <v>3500</v>
          </cell>
          <cell r="J315" t="str">
            <v>F</v>
          </cell>
          <cell r="K315" t="str">
            <v>IMIN</v>
          </cell>
          <cell r="L315" t="str">
            <v>BROC</v>
          </cell>
        </row>
        <row r="316">
          <cell r="A316">
            <v>1468</v>
          </cell>
          <cell r="B316" t="str">
            <v>FIERRO RIVERA ELEAZAR GENNER</v>
          </cell>
          <cell r="C316">
            <v>1959</v>
          </cell>
          <cell r="D316">
            <v>1999</v>
          </cell>
          <cell r="E316">
            <v>2750</v>
          </cell>
          <cell r="F316">
            <v>750</v>
          </cell>
          <cell r="I316">
            <v>3500</v>
          </cell>
          <cell r="J316" t="str">
            <v>F</v>
          </cell>
          <cell r="K316" t="str">
            <v>IMIN</v>
          </cell>
          <cell r="L316" t="str">
            <v>ANTM</v>
          </cell>
        </row>
        <row r="317">
          <cell r="A317">
            <v>1470</v>
          </cell>
          <cell r="B317" t="str">
            <v>YANTAS BARRERA JORGE DIONICIO</v>
          </cell>
          <cell r="C317">
            <v>1946</v>
          </cell>
          <cell r="D317">
            <v>1998</v>
          </cell>
          <cell r="E317">
            <v>2500</v>
          </cell>
          <cell r="F317">
            <v>625</v>
          </cell>
          <cell r="I317">
            <v>3125</v>
          </cell>
          <cell r="J317" t="str">
            <v>G</v>
          </cell>
          <cell r="K317" t="str">
            <v>TVOL</v>
          </cell>
          <cell r="L317" t="str">
            <v>BROC</v>
          </cell>
        </row>
        <row r="318">
          <cell r="A318">
            <v>1471</v>
          </cell>
          <cell r="B318" t="str">
            <v>TARQUI DEL CASTILLO JULIO FELICIANO</v>
          </cell>
          <cell r="C318">
            <v>1975</v>
          </cell>
          <cell r="D318">
            <v>1998</v>
          </cell>
          <cell r="E318">
            <v>2300</v>
          </cell>
          <cell r="I318">
            <v>2300</v>
          </cell>
          <cell r="J318" t="str">
            <v>F</v>
          </cell>
          <cell r="K318" t="str">
            <v>CTD</v>
          </cell>
          <cell r="L318" t="str">
            <v>CTB</v>
          </cell>
        </row>
        <row r="319">
          <cell r="A319">
            <v>1472</v>
          </cell>
          <cell r="B319" t="str">
            <v>OLIVERA SANCHEZ MIGUEL ANGEL</v>
          </cell>
          <cell r="C319">
            <v>1968</v>
          </cell>
          <cell r="D319">
            <v>1998</v>
          </cell>
          <cell r="E319">
            <v>2000</v>
          </cell>
          <cell r="I319">
            <v>2000</v>
          </cell>
          <cell r="J319" t="str">
            <v>G</v>
          </cell>
          <cell r="K319" t="str">
            <v>ICIV</v>
          </cell>
          <cell r="L319" t="str">
            <v>PTOS</v>
          </cell>
        </row>
        <row r="320">
          <cell r="A320">
            <v>1474</v>
          </cell>
          <cell r="B320" t="str">
            <v>ZAMORA CHAVEZ DOMIDEL EDUARDO</v>
          </cell>
          <cell r="C320">
            <v>1968</v>
          </cell>
          <cell r="D320">
            <v>1999</v>
          </cell>
          <cell r="E320">
            <v>3000</v>
          </cell>
          <cell r="F320">
            <v>900</v>
          </cell>
          <cell r="I320">
            <v>3900</v>
          </cell>
          <cell r="J320" t="str">
            <v>F</v>
          </cell>
          <cell r="K320" t="str">
            <v>IME</v>
          </cell>
          <cell r="L320" t="str">
            <v>OXI99</v>
          </cell>
        </row>
        <row r="321">
          <cell r="A321">
            <v>1476</v>
          </cell>
          <cell r="B321" t="str">
            <v xml:space="preserve">CIRIANI FUSTER GABRIEL  </v>
          </cell>
          <cell r="C321">
            <v>1969</v>
          </cell>
          <cell r="D321">
            <v>1998</v>
          </cell>
          <cell r="E321">
            <v>3043.48</v>
          </cell>
          <cell r="F321">
            <v>456.52</v>
          </cell>
          <cell r="I321">
            <v>3500</v>
          </cell>
          <cell r="J321" t="str">
            <v>E</v>
          </cell>
          <cell r="K321" t="str">
            <v>ADM</v>
          </cell>
          <cell r="L321" t="str">
            <v>SED7</v>
          </cell>
        </row>
        <row r="322">
          <cell r="A322">
            <v>1481</v>
          </cell>
          <cell r="B322" t="str">
            <v>CALLE LOPEZ JOSE VICENTE</v>
          </cell>
          <cell r="C322">
            <v>1973</v>
          </cell>
          <cell r="D322">
            <v>1998</v>
          </cell>
          <cell r="E322">
            <v>2000</v>
          </cell>
          <cell r="F322">
            <v>200</v>
          </cell>
          <cell r="I322">
            <v>2200</v>
          </cell>
          <cell r="J322" t="str">
            <v>F</v>
          </cell>
          <cell r="K322" t="str">
            <v>CTD</v>
          </cell>
          <cell r="L322" t="str">
            <v>LATRIP</v>
          </cell>
        </row>
        <row r="323">
          <cell r="A323">
            <v>1483</v>
          </cell>
          <cell r="B323" t="str">
            <v>BILBAO PAREDES PEDRO ALEJANDRO</v>
          </cell>
          <cell r="C323">
            <v>1933</v>
          </cell>
          <cell r="D323">
            <v>1998</v>
          </cell>
          <cell r="E323">
            <v>2000</v>
          </cell>
          <cell r="F323">
            <v>500</v>
          </cell>
          <cell r="I323">
            <v>2500</v>
          </cell>
          <cell r="J323" t="str">
            <v>F</v>
          </cell>
          <cell r="K323" t="str">
            <v>TOP</v>
          </cell>
          <cell r="L323" t="str">
            <v>BROC</v>
          </cell>
        </row>
        <row r="324">
          <cell r="A324">
            <v>1484</v>
          </cell>
          <cell r="B324" t="str">
            <v>CUBA CABEZAS AUGUSTO ERNESTO</v>
          </cell>
          <cell r="C324">
            <v>1971</v>
          </cell>
          <cell r="D324">
            <v>1998</v>
          </cell>
          <cell r="E324">
            <v>8409</v>
          </cell>
          <cell r="F324">
            <v>841</v>
          </cell>
          <cell r="I324">
            <v>9250</v>
          </cell>
          <cell r="J324" t="str">
            <v>E</v>
          </cell>
          <cell r="K324" t="str">
            <v>ICIV</v>
          </cell>
          <cell r="L324" t="str">
            <v>LIQUID</v>
          </cell>
        </row>
        <row r="325">
          <cell r="A325">
            <v>1485</v>
          </cell>
          <cell r="B325" t="str">
            <v>ZORRILLA DIAZ JORGE ANTONIO</v>
          </cell>
          <cell r="C325">
            <v>1969</v>
          </cell>
          <cell r="D325">
            <v>1998</v>
          </cell>
          <cell r="E325">
            <v>2500</v>
          </cell>
          <cell r="I325">
            <v>2500</v>
          </cell>
          <cell r="J325" t="str">
            <v>F</v>
          </cell>
          <cell r="K325" t="str">
            <v>ICIV</v>
          </cell>
          <cell r="L325" t="str">
            <v>SED 16</v>
          </cell>
        </row>
        <row r="326">
          <cell r="A326">
            <v>1486</v>
          </cell>
          <cell r="B326" t="str">
            <v>COTTLE VAN OORDT LAURENCE JAMES</v>
          </cell>
          <cell r="C326">
            <v>1952</v>
          </cell>
          <cell r="D326">
            <v>1998</v>
          </cell>
          <cell r="E326">
            <v>15970</v>
          </cell>
          <cell r="I326">
            <v>15970</v>
          </cell>
          <cell r="J326" t="str">
            <v>C</v>
          </cell>
          <cell r="K326" t="str">
            <v>ARQ</v>
          </cell>
          <cell r="L326" t="str">
            <v>GMI</v>
          </cell>
        </row>
        <row r="327">
          <cell r="A327">
            <v>1487</v>
          </cell>
          <cell r="B327" t="str">
            <v>DEL AGUILA QUISPE CARLOS ENRIQUE</v>
          </cell>
          <cell r="C327">
            <v>1974</v>
          </cell>
          <cell r="D327">
            <v>1998</v>
          </cell>
          <cell r="E327">
            <v>550</v>
          </cell>
          <cell r="I327">
            <v>550</v>
          </cell>
          <cell r="J327" t="str">
            <v>G</v>
          </cell>
          <cell r="K327" t="str">
            <v>MEC</v>
          </cell>
          <cell r="L327" t="str">
            <v>CEQAL</v>
          </cell>
        </row>
        <row r="328">
          <cell r="A328">
            <v>1490</v>
          </cell>
          <cell r="B328" t="str">
            <v>FURBRINGER DUMAS JEAN MARIE</v>
          </cell>
          <cell r="C328">
            <v>1963</v>
          </cell>
          <cell r="D328">
            <v>1998</v>
          </cell>
          <cell r="E328">
            <v>11300</v>
          </cell>
          <cell r="I328">
            <v>11300</v>
          </cell>
          <cell r="J328" t="str">
            <v>H</v>
          </cell>
          <cell r="K328" t="str">
            <v>IFIS</v>
          </cell>
          <cell r="L328" t="str">
            <v>CCA</v>
          </cell>
        </row>
        <row r="329">
          <cell r="A329">
            <v>1491</v>
          </cell>
          <cell r="B329" t="str">
            <v>CUELLAR MARTINEZ ANTONIO FERNANDO</v>
          </cell>
          <cell r="C329">
            <v>1953</v>
          </cell>
          <cell r="D329">
            <v>1998</v>
          </cell>
          <cell r="E329">
            <v>7800</v>
          </cell>
          <cell r="I329">
            <v>7800</v>
          </cell>
          <cell r="J329" t="str">
            <v>D</v>
          </cell>
          <cell r="K329" t="str">
            <v>IME</v>
          </cell>
          <cell r="L329" t="str">
            <v>CEQMT</v>
          </cell>
        </row>
        <row r="330">
          <cell r="A330">
            <v>1492</v>
          </cell>
          <cell r="B330" t="str">
            <v xml:space="preserve">SOLIS ARROYO ORESTES </v>
          </cell>
          <cell r="C330">
            <v>1943</v>
          </cell>
          <cell r="D330">
            <v>1998</v>
          </cell>
          <cell r="E330">
            <v>3645.84</v>
          </cell>
          <cell r="F330">
            <v>729.16</v>
          </cell>
          <cell r="I330">
            <v>4375</v>
          </cell>
          <cell r="J330" t="str">
            <v>E</v>
          </cell>
          <cell r="K330" t="str">
            <v>CTD</v>
          </cell>
          <cell r="L330" t="str">
            <v>LTCOS</v>
          </cell>
        </row>
        <row r="331">
          <cell r="A331">
            <v>1497</v>
          </cell>
          <cell r="B331" t="str">
            <v>NIMA NIMA JOSE BERNARDO</v>
          </cell>
          <cell r="C331">
            <v>1974</v>
          </cell>
          <cell r="D331">
            <v>1998</v>
          </cell>
          <cell r="E331">
            <v>2500</v>
          </cell>
          <cell r="F331">
            <v>500</v>
          </cell>
          <cell r="I331">
            <v>3000</v>
          </cell>
          <cell r="J331" t="str">
            <v>G</v>
          </cell>
          <cell r="K331" t="str">
            <v>ICIV</v>
          </cell>
          <cell r="L331" t="str">
            <v>PUQUI</v>
          </cell>
        </row>
        <row r="332">
          <cell r="A332">
            <v>1499</v>
          </cell>
          <cell r="B332" t="str">
            <v>PINEDO DIAZ MIGUEL ALONSO</v>
          </cell>
          <cell r="C332">
            <v>1961</v>
          </cell>
          <cell r="D332">
            <v>1998</v>
          </cell>
          <cell r="E332">
            <v>1692.31</v>
          </cell>
          <cell r="F332">
            <v>592.30999999999995</v>
          </cell>
          <cell r="I332">
            <v>2284.62</v>
          </cell>
          <cell r="J332" t="str">
            <v>H</v>
          </cell>
          <cell r="K332" t="str">
            <v>TSIS</v>
          </cell>
          <cell r="L332" t="str">
            <v>LIQUID</v>
          </cell>
        </row>
        <row r="333">
          <cell r="A333">
            <v>1500</v>
          </cell>
          <cell r="B333" t="str">
            <v>BECERRA CAMARA MARCO ANTONIO</v>
          </cell>
          <cell r="C333">
            <v>1968</v>
          </cell>
          <cell r="D333">
            <v>1998</v>
          </cell>
          <cell r="E333">
            <v>5400</v>
          </cell>
          <cell r="F333">
            <v>810</v>
          </cell>
          <cell r="I333">
            <v>6210</v>
          </cell>
          <cell r="J333" t="str">
            <v>E</v>
          </cell>
          <cell r="K333" t="str">
            <v>ICIV</v>
          </cell>
          <cell r="L333" t="str">
            <v>SED7</v>
          </cell>
        </row>
        <row r="334">
          <cell r="A334">
            <v>1503</v>
          </cell>
          <cell r="B334" t="str">
            <v>NUÑEZ RAMIS JUANA MARIA</v>
          </cell>
          <cell r="C334">
            <v>1952</v>
          </cell>
          <cell r="D334">
            <v>1998</v>
          </cell>
          <cell r="E334">
            <v>8400</v>
          </cell>
          <cell r="I334">
            <v>8400</v>
          </cell>
          <cell r="J334" t="str">
            <v>D</v>
          </cell>
          <cell r="K334" t="str">
            <v>ICIV</v>
          </cell>
          <cell r="L334" t="str">
            <v>PTOS</v>
          </cell>
        </row>
        <row r="335">
          <cell r="A335">
            <v>1504</v>
          </cell>
          <cell r="B335" t="str">
            <v>ALARCON RAMIREZ CARMEN ROSA</v>
          </cell>
          <cell r="C335">
            <v>1958</v>
          </cell>
          <cell r="D335">
            <v>1998</v>
          </cell>
          <cell r="E335">
            <v>1750</v>
          </cell>
          <cell r="F335">
            <v>350</v>
          </cell>
          <cell r="I335">
            <v>2100</v>
          </cell>
          <cell r="J335" t="str">
            <v>F</v>
          </cell>
          <cell r="K335" t="str">
            <v>SEC</v>
          </cell>
          <cell r="L335" t="str">
            <v>BROC</v>
          </cell>
        </row>
        <row r="336">
          <cell r="A336">
            <v>1505</v>
          </cell>
          <cell r="B336" t="str">
            <v>ALMENARA BATTIFORA FERNANDO JOSE</v>
          </cell>
          <cell r="C336">
            <v>1950</v>
          </cell>
          <cell r="D336">
            <v>1998</v>
          </cell>
          <cell r="E336">
            <v>8580</v>
          </cell>
          <cell r="I336">
            <v>8580</v>
          </cell>
          <cell r="J336" t="str">
            <v>A</v>
          </cell>
          <cell r="K336" t="str">
            <v>ICIV</v>
          </cell>
          <cell r="L336" t="str">
            <v>BRASIL</v>
          </cell>
        </row>
        <row r="337">
          <cell r="A337">
            <v>1506</v>
          </cell>
          <cell r="B337" t="str">
            <v>PINILLOS VEGA ALBERTO JAIME</v>
          </cell>
          <cell r="C337">
            <v>1946</v>
          </cell>
          <cell r="D337">
            <v>1998</v>
          </cell>
          <cell r="E337">
            <v>7750</v>
          </cell>
          <cell r="I337">
            <v>7750</v>
          </cell>
          <cell r="J337" t="str">
            <v>C</v>
          </cell>
          <cell r="K337" t="str">
            <v>IME</v>
          </cell>
          <cell r="L337" t="str">
            <v>BRASIL</v>
          </cell>
        </row>
        <row r="338">
          <cell r="A338">
            <v>1511</v>
          </cell>
          <cell r="B338" t="str">
            <v>MACAVILCA MANCO JOSE LUIS</v>
          </cell>
          <cell r="C338">
            <v>1967</v>
          </cell>
          <cell r="D338">
            <v>1998</v>
          </cell>
          <cell r="E338">
            <v>4000</v>
          </cell>
          <cell r="I338">
            <v>4000</v>
          </cell>
          <cell r="J338" t="str">
            <v>E</v>
          </cell>
          <cell r="K338" t="str">
            <v>ICIV</v>
          </cell>
          <cell r="L338" t="str">
            <v>LIQUID</v>
          </cell>
        </row>
        <row r="339">
          <cell r="A339">
            <v>1512</v>
          </cell>
          <cell r="B339" t="str">
            <v>BEHR CASSINELLI JAVIER ALBERTO</v>
          </cell>
          <cell r="C339">
            <v>1970</v>
          </cell>
          <cell r="D339">
            <v>1998</v>
          </cell>
          <cell r="E339">
            <v>10000</v>
          </cell>
          <cell r="I339">
            <v>10000</v>
          </cell>
          <cell r="J339" t="str">
            <v>D</v>
          </cell>
          <cell r="K339" t="str">
            <v>IIND</v>
          </cell>
          <cell r="L339" t="str">
            <v>PE</v>
          </cell>
        </row>
        <row r="340">
          <cell r="A340">
            <v>1513</v>
          </cell>
          <cell r="B340" t="str">
            <v>RODRIGUEZ DE LAS CASAS MANUEL AUGUSTO</v>
          </cell>
          <cell r="C340">
            <v>1964</v>
          </cell>
          <cell r="D340">
            <v>1998</v>
          </cell>
          <cell r="E340">
            <v>2800</v>
          </cell>
          <cell r="F340">
            <v>840</v>
          </cell>
          <cell r="I340">
            <v>3640</v>
          </cell>
          <cell r="J340" t="str">
            <v>F</v>
          </cell>
          <cell r="K340" t="str">
            <v>IMEL</v>
          </cell>
          <cell r="L340" t="str">
            <v>LT23KV</v>
          </cell>
        </row>
        <row r="341">
          <cell r="A341">
            <v>1514</v>
          </cell>
          <cell r="B341" t="str">
            <v>OVIEDO ANASTACIO GERMAN MARCELINO</v>
          </cell>
          <cell r="C341">
            <v>1967</v>
          </cell>
          <cell r="D341">
            <v>2000</v>
          </cell>
          <cell r="E341">
            <v>3000</v>
          </cell>
          <cell r="F341">
            <v>450</v>
          </cell>
          <cell r="I341">
            <v>3450</v>
          </cell>
          <cell r="J341" t="str">
            <v>F</v>
          </cell>
          <cell r="K341" t="str">
            <v>IELEC</v>
          </cell>
          <cell r="L341" t="str">
            <v>LTCOS</v>
          </cell>
        </row>
        <row r="342">
          <cell r="A342">
            <v>1515</v>
          </cell>
          <cell r="B342" t="str">
            <v>ZAMORA CHAVEZ ROGER ERNESTO</v>
          </cell>
          <cell r="C342">
            <v>1971</v>
          </cell>
          <cell r="D342">
            <v>1998</v>
          </cell>
          <cell r="E342">
            <v>3130.43</v>
          </cell>
          <cell r="F342">
            <v>469.57</v>
          </cell>
          <cell r="I342">
            <v>3600</v>
          </cell>
          <cell r="J342" t="str">
            <v>F</v>
          </cell>
          <cell r="K342" t="str">
            <v>IMEL</v>
          </cell>
          <cell r="L342" t="str">
            <v>MESS</v>
          </cell>
        </row>
        <row r="343">
          <cell r="A343">
            <v>1520</v>
          </cell>
          <cell r="B343" t="str">
            <v xml:space="preserve">POMA RICALDI MARCELINO  </v>
          </cell>
          <cell r="C343">
            <v>1966</v>
          </cell>
          <cell r="D343">
            <v>1998</v>
          </cell>
          <cell r="E343">
            <v>4000</v>
          </cell>
          <cell r="F343">
            <v>1200</v>
          </cell>
          <cell r="I343">
            <v>5200</v>
          </cell>
          <cell r="J343" t="str">
            <v>E</v>
          </cell>
          <cell r="K343" t="str">
            <v>ICIV</v>
          </cell>
          <cell r="L343" t="str">
            <v>TORAT</v>
          </cell>
        </row>
        <row r="344">
          <cell r="A344">
            <v>1524</v>
          </cell>
          <cell r="B344" t="str">
            <v>SANDOVAL DE LOS RIOS ROCIO IRENE</v>
          </cell>
          <cell r="C344">
            <v>1974</v>
          </cell>
          <cell r="D344">
            <v>1999</v>
          </cell>
          <cell r="E344">
            <v>3000</v>
          </cell>
          <cell r="I344">
            <v>3000</v>
          </cell>
          <cell r="J344" t="str">
            <v>G</v>
          </cell>
          <cell r="K344" t="str">
            <v>ISIS</v>
          </cell>
          <cell r="L344" t="str">
            <v>INFOR</v>
          </cell>
        </row>
        <row r="345">
          <cell r="A345">
            <v>1525</v>
          </cell>
          <cell r="B345" t="str">
            <v>PUH PONCE LUIS MIGUEL</v>
          </cell>
          <cell r="C345">
            <v>1958</v>
          </cell>
          <cell r="D345">
            <v>1999</v>
          </cell>
          <cell r="E345">
            <v>3000</v>
          </cell>
          <cell r="F345">
            <v>1050</v>
          </cell>
          <cell r="I345">
            <v>4050</v>
          </cell>
          <cell r="J345" t="str">
            <v>E</v>
          </cell>
          <cell r="K345" t="str">
            <v>CTD</v>
          </cell>
          <cell r="L345" t="str">
            <v>TORAT</v>
          </cell>
        </row>
        <row r="346">
          <cell r="A346">
            <v>1528</v>
          </cell>
          <cell r="B346" t="str">
            <v>TAMAYO MENDOZA JUAN BERNARDO</v>
          </cell>
          <cell r="C346">
            <v>1961</v>
          </cell>
          <cell r="D346">
            <v>1999</v>
          </cell>
          <cell r="E346">
            <v>3450</v>
          </cell>
          <cell r="F346">
            <v>345</v>
          </cell>
          <cell r="I346">
            <v>3795</v>
          </cell>
          <cell r="J346" t="str">
            <v>E</v>
          </cell>
          <cell r="K346" t="str">
            <v>ICIV</v>
          </cell>
          <cell r="L346" t="str">
            <v>SEDMT</v>
          </cell>
        </row>
        <row r="347">
          <cell r="A347">
            <v>1529</v>
          </cell>
          <cell r="B347" t="str">
            <v>TORIBIO PANDO PEDRO ANGEL</v>
          </cell>
          <cell r="C347">
            <v>1964</v>
          </cell>
          <cell r="D347">
            <v>1999</v>
          </cell>
          <cell r="E347">
            <v>3450</v>
          </cell>
          <cell r="F347">
            <v>345</v>
          </cell>
          <cell r="I347">
            <v>3795</v>
          </cell>
          <cell r="J347" t="str">
            <v>E</v>
          </cell>
          <cell r="K347" t="str">
            <v>IME</v>
          </cell>
          <cell r="L347" t="str">
            <v>SEDMT</v>
          </cell>
        </row>
        <row r="348">
          <cell r="A348">
            <v>1530</v>
          </cell>
          <cell r="B348" t="str">
            <v>GALVEZ TRIGOSO MANUEL ROBERTO</v>
          </cell>
          <cell r="C348">
            <v>1946</v>
          </cell>
          <cell r="D348">
            <v>1999</v>
          </cell>
          <cell r="E348">
            <v>5000</v>
          </cell>
          <cell r="F348">
            <v>500</v>
          </cell>
          <cell r="I348">
            <v>5500</v>
          </cell>
          <cell r="J348" t="str">
            <v>D</v>
          </cell>
          <cell r="K348" t="str">
            <v>ICIV</v>
          </cell>
          <cell r="L348" t="str">
            <v>SEDMT</v>
          </cell>
        </row>
        <row r="349">
          <cell r="A349">
            <v>1531</v>
          </cell>
          <cell r="B349" t="str">
            <v>ALBORNOZ RAMIREZ FELIX ANCELMO</v>
          </cell>
          <cell r="C349">
            <v>1960</v>
          </cell>
          <cell r="D349">
            <v>1999</v>
          </cell>
          <cell r="E349">
            <v>3550</v>
          </cell>
          <cell r="F349">
            <v>355</v>
          </cell>
          <cell r="I349">
            <v>3905</v>
          </cell>
          <cell r="J349" t="str">
            <v>E</v>
          </cell>
          <cell r="K349" t="str">
            <v>ISAN</v>
          </cell>
          <cell r="L349" t="str">
            <v>SEDMT</v>
          </cell>
        </row>
        <row r="350">
          <cell r="A350">
            <v>1533</v>
          </cell>
          <cell r="B350" t="str">
            <v>POMAJULCA LOPEZ IVAN FRANCISCO</v>
          </cell>
          <cell r="C350">
            <v>1973</v>
          </cell>
          <cell r="D350">
            <v>1999</v>
          </cell>
          <cell r="E350">
            <v>4200</v>
          </cell>
          <cell r="I350">
            <v>4200</v>
          </cell>
          <cell r="J350" t="str">
            <v>E</v>
          </cell>
          <cell r="K350" t="str">
            <v>ISIS</v>
          </cell>
          <cell r="L350" t="str">
            <v>INFOR</v>
          </cell>
        </row>
        <row r="351">
          <cell r="A351">
            <v>1534</v>
          </cell>
          <cell r="B351" t="str">
            <v>IZQUIERDO RAMIREZ JORGE LUIS</v>
          </cell>
          <cell r="C351">
            <v>1973</v>
          </cell>
          <cell r="D351">
            <v>1999</v>
          </cell>
          <cell r="E351">
            <v>2272</v>
          </cell>
          <cell r="F351">
            <v>1136</v>
          </cell>
          <cell r="I351">
            <v>3408</v>
          </cell>
          <cell r="J351" t="str">
            <v>E</v>
          </cell>
          <cell r="K351" t="str">
            <v>ICIV</v>
          </cell>
          <cell r="L351" t="str">
            <v>ANTM</v>
          </cell>
        </row>
        <row r="352">
          <cell r="A352">
            <v>1536</v>
          </cell>
          <cell r="B352" t="str">
            <v>AMENABAR VELARDE ALEJANDRO VALENTIN</v>
          </cell>
          <cell r="C352">
            <v>1944</v>
          </cell>
          <cell r="D352">
            <v>1999</v>
          </cell>
          <cell r="E352">
            <v>13200</v>
          </cell>
          <cell r="I352">
            <v>13200</v>
          </cell>
          <cell r="J352" t="str">
            <v>C</v>
          </cell>
          <cell r="K352" t="str">
            <v>IGEOL</v>
          </cell>
          <cell r="L352" t="str">
            <v>RALCO</v>
          </cell>
        </row>
        <row r="353">
          <cell r="A353">
            <v>1537</v>
          </cell>
          <cell r="B353" t="str">
            <v xml:space="preserve">MEDINA GARYA EGELICO CRECENT  </v>
          </cell>
          <cell r="C353">
            <v>1963</v>
          </cell>
          <cell r="D353">
            <v>1999</v>
          </cell>
          <cell r="E353">
            <v>800</v>
          </cell>
          <cell r="I353">
            <v>800</v>
          </cell>
          <cell r="J353" t="str">
            <v>F</v>
          </cell>
          <cell r="K353" t="str">
            <v>MEC</v>
          </cell>
          <cell r="L353" t="str">
            <v>EDIFGM</v>
          </cell>
        </row>
        <row r="354">
          <cell r="A354">
            <v>1538</v>
          </cell>
          <cell r="B354" t="str">
            <v xml:space="preserve">PASTOR MORALES LUIS  </v>
          </cell>
          <cell r="C354">
            <v>1975</v>
          </cell>
          <cell r="D354">
            <v>1999</v>
          </cell>
          <cell r="E354">
            <v>1500</v>
          </cell>
          <cell r="F354">
            <v>375</v>
          </cell>
          <cell r="I354">
            <v>1875</v>
          </cell>
          <cell r="J354" t="str">
            <v>H</v>
          </cell>
          <cell r="K354">
            <v>0</v>
          </cell>
          <cell r="L354" t="str">
            <v>LTMS</v>
          </cell>
        </row>
        <row r="355">
          <cell r="A355">
            <v>1541</v>
          </cell>
          <cell r="B355" t="str">
            <v xml:space="preserve">SERNA SILVA MILTHON  </v>
          </cell>
          <cell r="C355">
            <v>1972</v>
          </cell>
          <cell r="D355">
            <v>1999</v>
          </cell>
          <cell r="E355">
            <v>2500</v>
          </cell>
          <cell r="F355">
            <v>750</v>
          </cell>
          <cell r="I355">
            <v>3250</v>
          </cell>
          <cell r="J355" t="str">
            <v>F</v>
          </cell>
          <cell r="K355" t="str">
            <v>IELEC</v>
          </cell>
          <cell r="L355" t="str">
            <v>LTMS</v>
          </cell>
        </row>
        <row r="356">
          <cell r="A356">
            <v>1543</v>
          </cell>
          <cell r="B356" t="str">
            <v>BOERO ESCOBAL JOSE HUMBERTO</v>
          </cell>
          <cell r="C356">
            <v>1937</v>
          </cell>
          <cell r="D356">
            <v>1999</v>
          </cell>
          <cell r="E356">
            <v>3500</v>
          </cell>
          <cell r="F356">
            <v>700</v>
          </cell>
          <cell r="I356">
            <v>4200</v>
          </cell>
          <cell r="J356" t="str">
            <v>G</v>
          </cell>
          <cell r="K356" t="str">
            <v>TSEG</v>
          </cell>
          <cell r="L356" t="str">
            <v>MESS</v>
          </cell>
        </row>
        <row r="357">
          <cell r="A357">
            <v>1547</v>
          </cell>
          <cell r="B357" t="str">
            <v>MAGUIÑO FLORES ALEX JHONY</v>
          </cell>
          <cell r="C357">
            <v>1962</v>
          </cell>
          <cell r="D357">
            <v>1999</v>
          </cell>
          <cell r="E357">
            <v>1150</v>
          </cell>
          <cell r="I357">
            <v>1150</v>
          </cell>
          <cell r="J357" t="str">
            <v>H</v>
          </cell>
          <cell r="K357">
            <v>0</v>
          </cell>
          <cell r="L357" t="str">
            <v>LIQUID</v>
          </cell>
        </row>
        <row r="358">
          <cell r="A358">
            <v>1548</v>
          </cell>
          <cell r="B358" t="str">
            <v>RAVINES GAMARRA ABEL FERNANDO</v>
          </cell>
          <cell r="C358">
            <v>1966</v>
          </cell>
          <cell r="D358">
            <v>1999</v>
          </cell>
          <cell r="E358">
            <v>1150</v>
          </cell>
          <cell r="I358">
            <v>1150</v>
          </cell>
          <cell r="J358" t="str">
            <v>H</v>
          </cell>
          <cell r="K358" t="str">
            <v>MEC</v>
          </cell>
          <cell r="L358" t="str">
            <v>CEQMT</v>
          </cell>
        </row>
        <row r="359">
          <cell r="A359">
            <v>1549</v>
          </cell>
          <cell r="B359" t="str">
            <v>TORRES CALVO MIGUEL ANGEL VICENTE</v>
          </cell>
          <cell r="C359">
            <v>1964</v>
          </cell>
          <cell r="D359">
            <v>1999</v>
          </cell>
          <cell r="E359">
            <v>2300</v>
          </cell>
          <cell r="F359">
            <v>690</v>
          </cell>
          <cell r="I359">
            <v>2990</v>
          </cell>
          <cell r="J359" t="str">
            <v>H</v>
          </cell>
          <cell r="K359" t="str">
            <v>TCONT</v>
          </cell>
          <cell r="L359" t="str">
            <v>LTMS</v>
          </cell>
        </row>
        <row r="360">
          <cell r="A360">
            <v>1551</v>
          </cell>
          <cell r="B360" t="str">
            <v>VILELA PORRAS EDGAR WALTER</v>
          </cell>
          <cell r="C360">
            <v>1955</v>
          </cell>
          <cell r="D360">
            <v>1999</v>
          </cell>
          <cell r="E360">
            <v>2500</v>
          </cell>
          <cell r="I360">
            <v>2500</v>
          </cell>
          <cell r="J360" t="str">
            <v>F</v>
          </cell>
          <cell r="K360" t="str">
            <v>EDUC</v>
          </cell>
          <cell r="L360" t="str">
            <v>CEQGG</v>
          </cell>
        </row>
        <row r="361">
          <cell r="A361">
            <v>1553</v>
          </cell>
          <cell r="B361" t="str">
            <v>QUIROZ GONZALEZ ROSA MARGARITA</v>
          </cell>
          <cell r="C361">
            <v>1960</v>
          </cell>
          <cell r="D361">
            <v>1999</v>
          </cell>
          <cell r="E361">
            <v>4400</v>
          </cell>
          <cell r="F361">
            <v>900</v>
          </cell>
          <cell r="I361">
            <v>5300</v>
          </cell>
          <cell r="J361" t="str">
            <v>E</v>
          </cell>
          <cell r="K361" t="str">
            <v>ICIV</v>
          </cell>
          <cell r="L361" t="str">
            <v>MARR</v>
          </cell>
        </row>
        <row r="362">
          <cell r="A362">
            <v>1558</v>
          </cell>
          <cell r="B362" t="str">
            <v>SILGADO CONSIGLIERI ENRIQUE DAVID</v>
          </cell>
          <cell r="C362">
            <v>1958</v>
          </cell>
          <cell r="D362">
            <v>1999</v>
          </cell>
          <cell r="E362">
            <v>13000</v>
          </cell>
          <cell r="I362">
            <v>13000</v>
          </cell>
          <cell r="J362" t="str">
            <v>C</v>
          </cell>
          <cell r="K362" t="str">
            <v>IIND</v>
          </cell>
          <cell r="L362" t="str">
            <v>LOG</v>
          </cell>
        </row>
        <row r="363">
          <cell r="A363">
            <v>1559</v>
          </cell>
          <cell r="B363" t="str">
            <v>NORES DEL CARPIO MARCO ANTONIO</v>
          </cell>
          <cell r="C363">
            <v>1976</v>
          </cell>
          <cell r="D363">
            <v>1999</v>
          </cell>
          <cell r="E363">
            <v>1100</v>
          </cell>
          <cell r="I363">
            <v>1100</v>
          </cell>
          <cell r="J363" t="str">
            <v>H</v>
          </cell>
          <cell r="K363" t="str">
            <v>MMAQ</v>
          </cell>
          <cell r="L363" t="str">
            <v>CEQMT</v>
          </cell>
        </row>
        <row r="364">
          <cell r="A364">
            <v>1561</v>
          </cell>
          <cell r="B364" t="str">
            <v>NIETO PASCO GIANNINA BEATRIZ</v>
          </cell>
          <cell r="C364">
            <v>1971</v>
          </cell>
          <cell r="D364">
            <v>1999</v>
          </cell>
          <cell r="E364">
            <v>1210</v>
          </cell>
          <cell r="I364">
            <v>1210</v>
          </cell>
          <cell r="J364" t="str">
            <v>H</v>
          </cell>
          <cell r="K364" t="str">
            <v>PRG</v>
          </cell>
          <cell r="L364" t="str">
            <v>MESS</v>
          </cell>
        </row>
        <row r="365">
          <cell r="A365">
            <v>1562</v>
          </cell>
          <cell r="B365" t="str">
            <v xml:space="preserve">HUMPPIRE CASTILLO ZENON  </v>
          </cell>
          <cell r="C365">
            <v>1956</v>
          </cell>
          <cell r="D365">
            <v>1999</v>
          </cell>
          <cell r="E365">
            <v>2500</v>
          </cell>
          <cell r="F365">
            <v>500</v>
          </cell>
          <cell r="I365">
            <v>3000</v>
          </cell>
          <cell r="J365" t="str">
            <v>G</v>
          </cell>
          <cell r="K365" t="str">
            <v>IELEC</v>
          </cell>
          <cell r="L365" t="str">
            <v>LTMS</v>
          </cell>
        </row>
        <row r="366">
          <cell r="A366">
            <v>1564</v>
          </cell>
          <cell r="B366" t="str">
            <v>MARTINEZ CELESTINO VICENTE REYNALDO</v>
          </cell>
          <cell r="C366">
            <v>1957</v>
          </cell>
          <cell r="D366">
            <v>1999</v>
          </cell>
          <cell r="E366">
            <v>3000</v>
          </cell>
          <cell r="F366">
            <v>350</v>
          </cell>
          <cell r="I366">
            <v>3350</v>
          </cell>
          <cell r="J366" t="str">
            <v>E</v>
          </cell>
          <cell r="K366" t="str">
            <v>TCONT</v>
          </cell>
          <cell r="L366" t="str">
            <v>LIQUID</v>
          </cell>
        </row>
        <row r="367">
          <cell r="A367">
            <v>1565</v>
          </cell>
          <cell r="B367" t="str">
            <v>LLERENA MIRANDA VICTOR HUGO</v>
          </cell>
          <cell r="C367">
            <v>1956</v>
          </cell>
          <cell r="D367">
            <v>1999</v>
          </cell>
          <cell r="E367">
            <v>7000</v>
          </cell>
          <cell r="I367">
            <v>7000</v>
          </cell>
          <cell r="J367" t="str">
            <v>E</v>
          </cell>
          <cell r="K367" t="str">
            <v>IMEL</v>
          </cell>
          <cell r="L367" t="str">
            <v>ANTM</v>
          </cell>
        </row>
        <row r="368">
          <cell r="A368">
            <v>1570</v>
          </cell>
          <cell r="B368" t="str">
            <v>AMAYA LEON AUGUSTO ELEUTER</v>
          </cell>
          <cell r="C368">
            <v>1966</v>
          </cell>
          <cell r="D368">
            <v>2000</v>
          </cell>
          <cell r="E368">
            <v>3500</v>
          </cell>
          <cell r="I368">
            <v>3500</v>
          </cell>
          <cell r="J368" t="str">
            <v>F</v>
          </cell>
          <cell r="K368" t="str">
            <v>TSEG</v>
          </cell>
          <cell r="L368" t="str">
            <v>ANTM</v>
          </cell>
        </row>
        <row r="369">
          <cell r="A369">
            <v>1575</v>
          </cell>
          <cell r="B369" t="str">
            <v>MONTEJO SANCHEZ FERNANDO RAMIRO</v>
          </cell>
          <cell r="C369">
            <v>1958</v>
          </cell>
          <cell r="D369">
            <v>2000</v>
          </cell>
          <cell r="E369">
            <v>2600</v>
          </cell>
          <cell r="F369">
            <v>875</v>
          </cell>
          <cell r="I369">
            <v>3475</v>
          </cell>
          <cell r="J369" t="str">
            <v>G</v>
          </cell>
          <cell r="K369" t="str">
            <v>TSEG</v>
          </cell>
          <cell r="L369" t="str">
            <v>ACHA</v>
          </cell>
        </row>
        <row r="370">
          <cell r="A370">
            <v>1578</v>
          </cell>
          <cell r="B370" t="str">
            <v>SERRANO GOMEZ COSME AURELIO</v>
          </cell>
          <cell r="C370">
            <v>1960</v>
          </cell>
          <cell r="D370">
            <v>1999</v>
          </cell>
          <cell r="E370">
            <v>6500</v>
          </cell>
          <cell r="I370">
            <v>6500</v>
          </cell>
          <cell r="J370" t="str">
            <v>E</v>
          </cell>
          <cell r="K370" t="str">
            <v>IGEOL</v>
          </cell>
          <cell r="L370" t="str">
            <v>ANTM</v>
          </cell>
        </row>
        <row r="371">
          <cell r="A371">
            <v>1580</v>
          </cell>
          <cell r="B371" t="str">
            <v>MACEDO CASTILLO JUAN JOSE</v>
          </cell>
          <cell r="C371">
            <v>1972</v>
          </cell>
          <cell r="D371">
            <v>1999</v>
          </cell>
          <cell r="E371">
            <v>2500</v>
          </cell>
          <cell r="F371">
            <v>500</v>
          </cell>
          <cell r="I371">
            <v>3000</v>
          </cell>
          <cell r="J371" t="str">
            <v>G</v>
          </cell>
          <cell r="K371" t="str">
            <v>IELEC</v>
          </cell>
          <cell r="L371" t="str">
            <v>LTCOS</v>
          </cell>
        </row>
        <row r="372">
          <cell r="A372">
            <v>1581</v>
          </cell>
          <cell r="B372" t="str">
            <v>LUNA FIGUEROA LEONIDAS CRISTOBAL</v>
          </cell>
          <cell r="C372">
            <v>1964</v>
          </cell>
          <cell r="D372">
            <v>1999</v>
          </cell>
          <cell r="E372">
            <v>2500</v>
          </cell>
          <cell r="F372">
            <v>500</v>
          </cell>
          <cell r="I372">
            <v>3000</v>
          </cell>
          <cell r="J372" t="str">
            <v>G</v>
          </cell>
          <cell r="K372" t="str">
            <v>IELEC</v>
          </cell>
          <cell r="L372" t="str">
            <v>LTMS</v>
          </cell>
        </row>
        <row r="373">
          <cell r="A373">
            <v>1582</v>
          </cell>
          <cell r="B373" t="str">
            <v xml:space="preserve">ALIAGA CEDRON ALDO  </v>
          </cell>
          <cell r="C373">
            <v>1967</v>
          </cell>
          <cell r="D373">
            <v>1999</v>
          </cell>
          <cell r="E373">
            <v>2200</v>
          </cell>
          <cell r="F373">
            <v>440</v>
          </cell>
          <cell r="I373">
            <v>2640</v>
          </cell>
          <cell r="J373" t="str">
            <v>G</v>
          </cell>
          <cell r="K373" t="str">
            <v>IELEC</v>
          </cell>
          <cell r="L373" t="str">
            <v>LTMS</v>
          </cell>
        </row>
        <row r="374">
          <cell r="A374">
            <v>1589</v>
          </cell>
          <cell r="B374" t="str">
            <v xml:space="preserve">ROZAS PUERTAS ROSMERY  </v>
          </cell>
          <cell r="C374">
            <v>1973</v>
          </cell>
          <cell r="D374">
            <v>1999</v>
          </cell>
          <cell r="E374">
            <v>2500</v>
          </cell>
          <cell r="F374">
            <v>500</v>
          </cell>
          <cell r="I374">
            <v>3000</v>
          </cell>
          <cell r="J374" t="str">
            <v>G</v>
          </cell>
          <cell r="K374" t="str">
            <v>IELEC</v>
          </cell>
          <cell r="L374" t="str">
            <v>LTMS</v>
          </cell>
        </row>
        <row r="375">
          <cell r="A375">
            <v>1590</v>
          </cell>
          <cell r="B375" t="str">
            <v>ARAUJO LESCANO PATRICIA JANET</v>
          </cell>
          <cell r="C375">
            <v>1972</v>
          </cell>
          <cell r="D375">
            <v>1999</v>
          </cell>
          <cell r="E375">
            <v>2000</v>
          </cell>
          <cell r="F375">
            <v>400</v>
          </cell>
          <cell r="I375">
            <v>2400</v>
          </cell>
          <cell r="J375" t="str">
            <v>E</v>
          </cell>
          <cell r="K375" t="str">
            <v>CTD</v>
          </cell>
          <cell r="L375" t="str">
            <v>LTMS</v>
          </cell>
        </row>
        <row r="376">
          <cell r="A376">
            <v>1591</v>
          </cell>
          <cell r="B376" t="str">
            <v xml:space="preserve">GAVANCHO CHAVEZ FERNANDO  </v>
          </cell>
          <cell r="C376">
            <v>1971</v>
          </cell>
          <cell r="D376">
            <v>1999</v>
          </cell>
          <cell r="E376">
            <v>2200</v>
          </cell>
          <cell r="F376">
            <v>440</v>
          </cell>
          <cell r="I376">
            <v>2640</v>
          </cell>
          <cell r="J376" t="str">
            <v>G</v>
          </cell>
          <cell r="K376" t="str">
            <v>IELEC</v>
          </cell>
          <cell r="L376" t="str">
            <v>LTMS</v>
          </cell>
        </row>
        <row r="377">
          <cell r="A377">
            <v>1593</v>
          </cell>
          <cell r="B377" t="str">
            <v>PALOMINO PAREDES EDWARD EMMANUEL</v>
          </cell>
          <cell r="C377">
            <v>1968</v>
          </cell>
          <cell r="D377">
            <v>1999</v>
          </cell>
          <cell r="E377">
            <v>2500</v>
          </cell>
          <cell r="F377">
            <v>500</v>
          </cell>
          <cell r="I377">
            <v>3000</v>
          </cell>
          <cell r="J377" t="str">
            <v>G</v>
          </cell>
          <cell r="K377" t="str">
            <v>ICIV</v>
          </cell>
          <cell r="L377" t="str">
            <v>LIQUID</v>
          </cell>
        </row>
        <row r="378">
          <cell r="A378">
            <v>1595</v>
          </cell>
          <cell r="B378" t="str">
            <v>SALAZAR SALAZAR VICTOR ALFREDO</v>
          </cell>
          <cell r="C378">
            <v>1941</v>
          </cell>
          <cell r="D378">
            <v>1999</v>
          </cell>
          <cell r="E378">
            <v>7850</v>
          </cell>
          <cell r="F378">
            <v>5855</v>
          </cell>
          <cell r="I378">
            <v>13705</v>
          </cell>
          <cell r="J378" t="str">
            <v>D</v>
          </cell>
          <cell r="K378" t="str">
            <v>IMEL</v>
          </cell>
          <cell r="L378" t="str">
            <v>BROC</v>
          </cell>
        </row>
        <row r="379">
          <cell r="A379">
            <v>1599</v>
          </cell>
          <cell r="B379" t="str">
            <v>ESPINOSA JENSSEN MANUEL EDUARDO</v>
          </cell>
          <cell r="C379">
            <v>1968</v>
          </cell>
          <cell r="D379">
            <v>1999</v>
          </cell>
          <cell r="E379">
            <v>4060</v>
          </cell>
          <cell r="F379">
            <v>1371</v>
          </cell>
          <cell r="I379">
            <v>5431</v>
          </cell>
          <cell r="J379" t="str">
            <v>E</v>
          </cell>
          <cell r="K379" t="str">
            <v>ICIV</v>
          </cell>
          <cell r="L379" t="str">
            <v>ANTM</v>
          </cell>
        </row>
        <row r="380">
          <cell r="A380">
            <v>1602</v>
          </cell>
          <cell r="B380" t="str">
            <v xml:space="preserve">CHUQUINAUPA LOZANO REYNER  </v>
          </cell>
          <cell r="C380">
            <v>1972</v>
          </cell>
          <cell r="D380">
            <v>1999</v>
          </cell>
          <cell r="E380">
            <v>2000</v>
          </cell>
          <cell r="F380">
            <v>400</v>
          </cell>
          <cell r="I380">
            <v>2400</v>
          </cell>
          <cell r="J380" t="str">
            <v>F</v>
          </cell>
          <cell r="K380" t="str">
            <v>CTD</v>
          </cell>
          <cell r="L380" t="str">
            <v>LTMS</v>
          </cell>
        </row>
        <row r="381">
          <cell r="A381">
            <v>1605</v>
          </cell>
          <cell r="B381" t="str">
            <v>PICHIULE JIMENEZ CARLOS GUSTAVO</v>
          </cell>
          <cell r="C381">
            <v>1957</v>
          </cell>
          <cell r="D381">
            <v>1999</v>
          </cell>
          <cell r="E381">
            <v>2500</v>
          </cell>
          <cell r="F381">
            <v>750</v>
          </cell>
          <cell r="I381">
            <v>3250</v>
          </cell>
          <cell r="J381" t="str">
            <v>F</v>
          </cell>
          <cell r="K381" t="str">
            <v>TOP</v>
          </cell>
          <cell r="L381" t="str">
            <v>LTMS</v>
          </cell>
        </row>
        <row r="382">
          <cell r="A382">
            <v>1609</v>
          </cell>
          <cell r="B382" t="str">
            <v>GALVEZ MARTINEZ ORLANDO JAVIER</v>
          </cell>
          <cell r="C382">
            <v>1971</v>
          </cell>
          <cell r="D382">
            <v>1999</v>
          </cell>
          <cell r="E382">
            <v>1550</v>
          </cell>
          <cell r="F382">
            <v>155</v>
          </cell>
          <cell r="I382">
            <v>1705</v>
          </cell>
          <cell r="J382" t="str">
            <v>F</v>
          </cell>
          <cell r="K382" t="str">
            <v>ADM</v>
          </cell>
          <cell r="L382" t="str">
            <v>LIQUID</v>
          </cell>
        </row>
        <row r="383">
          <cell r="A383">
            <v>1614</v>
          </cell>
          <cell r="B383" t="str">
            <v>PEREZ MORALES JOSE WALTER</v>
          </cell>
          <cell r="C383">
            <v>1960</v>
          </cell>
          <cell r="D383">
            <v>2000</v>
          </cell>
          <cell r="E383">
            <v>2500</v>
          </cell>
          <cell r="F383">
            <v>375</v>
          </cell>
          <cell r="I383">
            <v>2875</v>
          </cell>
          <cell r="J383" t="str">
            <v>G</v>
          </cell>
          <cell r="K383" t="str">
            <v>TOP</v>
          </cell>
          <cell r="L383" t="str">
            <v>LTCOS</v>
          </cell>
        </row>
        <row r="384">
          <cell r="A384">
            <v>1615</v>
          </cell>
          <cell r="B384" t="str">
            <v>CASTILLON ELESCANO RUBEN OSCAR</v>
          </cell>
          <cell r="C384">
            <v>1965</v>
          </cell>
          <cell r="D384">
            <v>1999</v>
          </cell>
          <cell r="E384">
            <v>3200</v>
          </cell>
          <cell r="F384">
            <v>640</v>
          </cell>
          <cell r="I384">
            <v>3840</v>
          </cell>
          <cell r="J384" t="str">
            <v>F</v>
          </cell>
          <cell r="K384" t="str">
            <v>IME</v>
          </cell>
          <cell r="L384" t="str">
            <v>LTMS</v>
          </cell>
        </row>
        <row r="385">
          <cell r="A385">
            <v>1616</v>
          </cell>
          <cell r="B385" t="str">
            <v>LLACSA LOZANO APOLINARIO FERNANDO</v>
          </cell>
          <cell r="C385">
            <v>1955</v>
          </cell>
          <cell r="D385">
            <v>1999</v>
          </cell>
          <cell r="E385">
            <v>1750</v>
          </cell>
          <cell r="F385">
            <v>350</v>
          </cell>
          <cell r="I385">
            <v>2100</v>
          </cell>
          <cell r="J385" t="str">
            <v>G</v>
          </cell>
          <cell r="K385">
            <v>0</v>
          </cell>
          <cell r="L385" t="str">
            <v>LTMS</v>
          </cell>
        </row>
        <row r="386">
          <cell r="A386">
            <v>1624</v>
          </cell>
          <cell r="B386" t="str">
            <v>GOYZUETA RODRIGUEZ CESAR AUGUSTO</v>
          </cell>
          <cell r="C386">
            <v>1963</v>
          </cell>
          <cell r="D386">
            <v>1999</v>
          </cell>
          <cell r="E386">
            <v>3500</v>
          </cell>
          <cell r="F386">
            <v>1050</v>
          </cell>
          <cell r="I386">
            <v>4550</v>
          </cell>
          <cell r="J386" t="str">
            <v>F</v>
          </cell>
          <cell r="K386" t="str">
            <v>IQUIM</v>
          </cell>
          <cell r="L386" t="str">
            <v>ANTM</v>
          </cell>
        </row>
        <row r="387">
          <cell r="A387">
            <v>1626</v>
          </cell>
          <cell r="B387" t="str">
            <v>PEÑA QUIROZ HUGO JORGE</v>
          </cell>
          <cell r="C387">
            <v>1958</v>
          </cell>
          <cell r="D387">
            <v>1999</v>
          </cell>
          <cell r="E387">
            <v>3000</v>
          </cell>
          <cell r="F387">
            <v>600</v>
          </cell>
          <cell r="I387">
            <v>3600</v>
          </cell>
          <cell r="J387" t="str">
            <v>F</v>
          </cell>
          <cell r="K387" t="str">
            <v>IMIN</v>
          </cell>
          <cell r="L387" t="str">
            <v>LTMS</v>
          </cell>
        </row>
        <row r="388">
          <cell r="A388">
            <v>1627</v>
          </cell>
          <cell r="B388" t="str">
            <v xml:space="preserve">SALAS GUILLEN ERWIN  </v>
          </cell>
          <cell r="C388">
            <v>1975</v>
          </cell>
          <cell r="D388">
            <v>1999</v>
          </cell>
          <cell r="E388">
            <v>2200</v>
          </cell>
          <cell r="F388">
            <v>660</v>
          </cell>
          <cell r="I388">
            <v>2860</v>
          </cell>
          <cell r="J388" t="str">
            <v>F</v>
          </cell>
          <cell r="K388" t="str">
            <v>PRG</v>
          </cell>
          <cell r="L388" t="str">
            <v>ANTM</v>
          </cell>
        </row>
        <row r="389">
          <cell r="A389">
            <v>1632</v>
          </cell>
          <cell r="B389" t="str">
            <v>TAMAYO OBANDO FREDY CHARLES</v>
          </cell>
          <cell r="C389">
            <v>1952</v>
          </cell>
          <cell r="D389">
            <v>1999</v>
          </cell>
          <cell r="E389">
            <v>5000</v>
          </cell>
          <cell r="F389">
            <v>1750</v>
          </cell>
          <cell r="I389">
            <v>6750</v>
          </cell>
          <cell r="J389" t="str">
            <v>E</v>
          </cell>
          <cell r="K389" t="str">
            <v>IGEOL</v>
          </cell>
          <cell r="L389" t="str">
            <v>BROC</v>
          </cell>
        </row>
        <row r="390">
          <cell r="A390">
            <v>1634</v>
          </cell>
          <cell r="B390" t="str">
            <v>ZEBALLOS RIVERA CARLOS ALBERTO</v>
          </cell>
          <cell r="C390">
            <v>1971</v>
          </cell>
          <cell r="D390">
            <v>1999</v>
          </cell>
          <cell r="E390">
            <v>2500</v>
          </cell>
          <cell r="F390">
            <v>500</v>
          </cell>
          <cell r="I390">
            <v>3000</v>
          </cell>
          <cell r="J390" t="str">
            <v>G</v>
          </cell>
          <cell r="K390" t="str">
            <v>IMEL</v>
          </cell>
          <cell r="L390" t="str">
            <v>LTMS</v>
          </cell>
        </row>
        <row r="391">
          <cell r="A391">
            <v>1635</v>
          </cell>
          <cell r="B391" t="str">
            <v>MORMONTOY MORALES IVANOV BELISARIO</v>
          </cell>
          <cell r="C391">
            <v>1973</v>
          </cell>
          <cell r="D391">
            <v>1999</v>
          </cell>
          <cell r="E391">
            <v>2500</v>
          </cell>
          <cell r="F391">
            <v>500</v>
          </cell>
          <cell r="I391">
            <v>3000</v>
          </cell>
          <cell r="J391" t="str">
            <v>G</v>
          </cell>
          <cell r="K391" t="str">
            <v>IELEC</v>
          </cell>
          <cell r="L391" t="str">
            <v>LTMS</v>
          </cell>
        </row>
        <row r="392">
          <cell r="A392">
            <v>1636</v>
          </cell>
          <cell r="B392" t="str">
            <v xml:space="preserve">HUARHUA ZAPATA RAUL  </v>
          </cell>
          <cell r="C392">
            <v>1965</v>
          </cell>
          <cell r="D392">
            <v>1999</v>
          </cell>
          <cell r="E392">
            <v>2500</v>
          </cell>
          <cell r="F392">
            <v>500</v>
          </cell>
          <cell r="I392">
            <v>3000</v>
          </cell>
          <cell r="J392" t="str">
            <v>H</v>
          </cell>
          <cell r="K392" t="str">
            <v>IELEC</v>
          </cell>
          <cell r="L392" t="str">
            <v>LTMS</v>
          </cell>
        </row>
        <row r="393">
          <cell r="A393">
            <v>1643</v>
          </cell>
          <cell r="B393" t="str">
            <v>RONQUILLO LLANOS LUIS GUSTAVO</v>
          </cell>
          <cell r="C393">
            <v>1967</v>
          </cell>
          <cell r="D393">
            <v>1999</v>
          </cell>
          <cell r="E393">
            <v>2500</v>
          </cell>
          <cell r="F393">
            <v>750</v>
          </cell>
          <cell r="I393">
            <v>3250</v>
          </cell>
          <cell r="J393" t="str">
            <v>G</v>
          </cell>
          <cell r="K393" t="str">
            <v>ICIV</v>
          </cell>
          <cell r="L393" t="str">
            <v>LTCOS</v>
          </cell>
        </row>
        <row r="394">
          <cell r="A394">
            <v>1644</v>
          </cell>
          <cell r="B394" t="str">
            <v xml:space="preserve">PEÑA VALDEIGLESIAS IVAN  </v>
          </cell>
          <cell r="C394">
            <v>1975</v>
          </cell>
          <cell r="D394">
            <v>1999</v>
          </cell>
          <cell r="E394">
            <v>2500</v>
          </cell>
          <cell r="F394">
            <v>500</v>
          </cell>
          <cell r="I394">
            <v>3000</v>
          </cell>
          <cell r="J394" t="str">
            <v>G</v>
          </cell>
          <cell r="K394" t="str">
            <v>IELEC</v>
          </cell>
          <cell r="L394" t="str">
            <v>LTMS</v>
          </cell>
        </row>
        <row r="395">
          <cell r="A395">
            <v>1646</v>
          </cell>
          <cell r="B395" t="str">
            <v>CAMPOS MORETTI ALFONSO ROBERTO</v>
          </cell>
          <cell r="C395">
            <v>1970</v>
          </cell>
          <cell r="D395">
            <v>1999</v>
          </cell>
          <cell r="E395">
            <v>2500</v>
          </cell>
          <cell r="F395">
            <v>500</v>
          </cell>
          <cell r="I395">
            <v>3000</v>
          </cell>
          <cell r="J395" t="str">
            <v>E</v>
          </cell>
          <cell r="K395" t="str">
            <v>CONS</v>
          </cell>
          <cell r="L395" t="str">
            <v>LTMS</v>
          </cell>
        </row>
        <row r="396">
          <cell r="A396">
            <v>1648</v>
          </cell>
          <cell r="B396" t="str">
            <v>FERNANDEZ DEJO WILLIAM OSWALDO</v>
          </cell>
          <cell r="C396">
            <v>1970</v>
          </cell>
          <cell r="D396">
            <v>1999</v>
          </cell>
          <cell r="E396">
            <v>3846.16</v>
          </cell>
          <cell r="F396">
            <v>1346.16</v>
          </cell>
          <cell r="I396">
            <v>5192.32</v>
          </cell>
          <cell r="J396" t="str">
            <v>E</v>
          </cell>
          <cell r="K396" t="str">
            <v>ECON</v>
          </cell>
          <cell r="L396" t="str">
            <v>TORAT</v>
          </cell>
        </row>
        <row r="397">
          <cell r="A397">
            <v>1649</v>
          </cell>
          <cell r="B397" t="str">
            <v>OVIEDO ALVA BEN CRISTIAN</v>
          </cell>
          <cell r="C397">
            <v>1976</v>
          </cell>
          <cell r="D397">
            <v>1999</v>
          </cell>
          <cell r="E397">
            <v>2000</v>
          </cell>
          <cell r="I397">
            <v>2000</v>
          </cell>
          <cell r="J397" t="str">
            <v>F</v>
          </cell>
          <cell r="K397" t="str">
            <v>CTD</v>
          </cell>
          <cell r="L397" t="str">
            <v>FIN</v>
          </cell>
        </row>
        <row r="398">
          <cell r="A398">
            <v>1650</v>
          </cell>
          <cell r="B398" t="str">
            <v>NEYRA LASTRA SEGUNDO EDUARDO</v>
          </cell>
          <cell r="C398">
            <v>1949</v>
          </cell>
          <cell r="D398">
            <v>1999</v>
          </cell>
          <cell r="E398">
            <v>2650</v>
          </cell>
          <cell r="F398">
            <v>530</v>
          </cell>
          <cell r="I398">
            <v>3180</v>
          </cell>
          <cell r="J398" t="str">
            <v>F</v>
          </cell>
          <cell r="K398" t="str">
            <v>TOP</v>
          </cell>
          <cell r="L398" t="str">
            <v>LTMS</v>
          </cell>
        </row>
        <row r="399">
          <cell r="A399">
            <v>1651</v>
          </cell>
          <cell r="B399" t="str">
            <v>BUITRON QUINDE CESAR AUGUSTO</v>
          </cell>
          <cell r="C399">
            <v>1958</v>
          </cell>
          <cell r="D399">
            <v>1999</v>
          </cell>
          <cell r="E399">
            <v>2500</v>
          </cell>
          <cell r="F399">
            <v>500</v>
          </cell>
          <cell r="I399">
            <v>3000</v>
          </cell>
          <cell r="J399" t="str">
            <v>F</v>
          </cell>
          <cell r="K399" t="str">
            <v>TOP</v>
          </cell>
          <cell r="L399" t="str">
            <v>LTMS</v>
          </cell>
        </row>
        <row r="400">
          <cell r="A400">
            <v>1652</v>
          </cell>
          <cell r="B400" t="str">
            <v xml:space="preserve">ABE MIRANDA ENRIQUE  </v>
          </cell>
          <cell r="C400">
            <v>1954</v>
          </cell>
          <cell r="D400">
            <v>1999</v>
          </cell>
          <cell r="E400">
            <v>3500</v>
          </cell>
          <cell r="F400">
            <v>700</v>
          </cell>
          <cell r="I400">
            <v>4200</v>
          </cell>
          <cell r="J400" t="str">
            <v>E</v>
          </cell>
          <cell r="K400" t="str">
            <v>TELC</v>
          </cell>
          <cell r="L400" t="str">
            <v>LTMS</v>
          </cell>
        </row>
        <row r="401">
          <cell r="A401">
            <v>1653</v>
          </cell>
          <cell r="B401" t="str">
            <v>ARAMBULO LOPEZ GEOVANI OSWALDO</v>
          </cell>
          <cell r="C401">
            <v>1975</v>
          </cell>
          <cell r="D401">
            <v>1999</v>
          </cell>
          <cell r="E401">
            <v>1700</v>
          </cell>
          <cell r="F401">
            <v>340</v>
          </cell>
          <cell r="I401">
            <v>2040</v>
          </cell>
          <cell r="J401" t="str">
            <v>G</v>
          </cell>
          <cell r="K401" t="str">
            <v>ICIV</v>
          </cell>
          <cell r="L401" t="str">
            <v>LTMS</v>
          </cell>
        </row>
        <row r="402">
          <cell r="A402">
            <v>1659</v>
          </cell>
          <cell r="B402" t="str">
            <v xml:space="preserve">TRAUCO DE LA CRUZ ANTERO  </v>
          </cell>
          <cell r="C402">
            <v>1957</v>
          </cell>
          <cell r="D402">
            <v>1999</v>
          </cell>
          <cell r="E402">
            <v>3500</v>
          </cell>
          <cell r="F402">
            <v>700</v>
          </cell>
          <cell r="I402">
            <v>4200</v>
          </cell>
          <cell r="J402" t="str">
            <v>E</v>
          </cell>
          <cell r="K402" t="str">
            <v>MEC</v>
          </cell>
          <cell r="L402" t="str">
            <v>LTMS</v>
          </cell>
        </row>
        <row r="403">
          <cell r="A403">
            <v>1660</v>
          </cell>
          <cell r="B403" t="str">
            <v>CABREJOS PEREYRA JOSE VICTOR</v>
          </cell>
          <cell r="C403">
            <v>1968</v>
          </cell>
          <cell r="D403">
            <v>1999</v>
          </cell>
          <cell r="E403">
            <v>3010</v>
          </cell>
          <cell r="F403">
            <v>903</v>
          </cell>
          <cell r="I403">
            <v>3913</v>
          </cell>
          <cell r="J403" t="str">
            <v>s/c</v>
          </cell>
          <cell r="K403" t="str">
            <v>ICIV</v>
          </cell>
          <cell r="L403" t="str">
            <v>PUQUI</v>
          </cell>
        </row>
        <row r="404">
          <cell r="A404">
            <v>1661</v>
          </cell>
          <cell r="B404" t="str">
            <v>ORNA LOPEZ LUIS ALBERTO</v>
          </cell>
          <cell r="C404">
            <v>1976</v>
          </cell>
          <cell r="D404">
            <v>1999</v>
          </cell>
          <cell r="E404">
            <v>1050</v>
          </cell>
          <cell r="F404">
            <v>315</v>
          </cell>
          <cell r="I404">
            <v>1365</v>
          </cell>
          <cell r="J404" t="str">
            <v>s/c</v>
          </cell>
          <cell r="K404" t="str">
            <v>TELC</v>
          </cell>
          <cell r="L404" t="str">
            <v>PUQUI</v>
          </cell>
        </row>
        <row r="405">
          <cell r="A405">
            <v>1662</v>
          </cell>
          <cell r="B405" t="str">
            <v>VALLEJOS TEJADA LUIS MIGUEL</v>
          </cell>
          <cell r="C405">
            <v>1961</v>
          </cell>
          <cell r="D405">
            <v>1999</v>
          </cell>
          <cell r="E405">
            <v>2000</v>
          </cell>
          <cell r="F405">
            <v>500</v>
          </cell>
          <cell r="I405">
            <v>2500</v>
          </cell>
          <cell r="J405" t="str">
            <v>s/c</v>
          </cell>
          <cell r="K405" t="str">
            <v>CTD</v>
          </cell>
          <cell r="L405" t="str">
            <v>PUQUI</v>
          </cell>
        </row>
        <row r="406">
          <cell r="A406">
            <v>1665</v>
          </cell>
          <cell r="B406" t="str">
            <v>BROADLEY TEANBY JOHN JAMES</v>
          </cell>
          <cell r="C406">
            <v>1944</v>
          </cell>
          <cell r="D406">
            <v>1999</v>
          </cell>
          <cell r="E406">
            <v>12500</v>
          </cell>
          <cell r="F406">
            <v>4375</v>
          </cell>
          <cell r="I406">
            <v>16875</v>
          </cell>
          <cell r="J406" t="str">
            <v>C</v>
          </cell>
          <cell r="K406" t="str">
            <v>IMIN</v>
          </cell>
          <cell r="L406" t="str">
            <v>BROC</v>
          </cell>
        </row>
        <row r="407">
          <cell r="A407">
            <v>1666</v>
          </cell>
          <cell r="B407" t="str">
            <v>PRADO BUSTAMANTE JAVIER MANUEL</v>
          </cell>
          <cell r="C407">
            <v>1964</v>
          </cell>
          <cell r="D407">
            <v>1999</v>
          </cell>
          <cell r="E407">
            <v>14190</v>
          </cell>
          <cell r="I407">
            <v>14190</v>
          </cell>
          <cell r="J407" t="str">
            <v>C</v>
          </cell>
          <cell r="K407" t="str">
            <v>ECON</v>
          </cell>
          <cell r="L407" t="str">
            <v>FIN</v>
          </cell>
        </row>
        <row r="408">
          <cell r="A408">
            <v>1672</v>
          </cell>
          <cell r="B408" t="str">
            <v xml:space="preserve">ESPINOZA ESCAJADILLO MIGDONIO  </v>
          </cell>
          <cell r="C408">
            <v>1953</v>
          </cell>
          <cell r="D408">
            <v>1999</v>
          </cell>
          <cell r="E408">
            <v>3000</v>
          </cell>
          <cell r="F408">
            <v>600</v>
          </cell>
          <cell r="I408">
            <v>3600</v>
          </cell>
          <cell r="J408" t="str">
            <v>E</v>
          </cell>
          <cell r="K408" t="str">
            <v>CONS</v>
          </cell>
          <cell r="L408" t="str">
            <v>LTMS</v>
          </cell>
        </row>
        <row r="409">
          <cell r="A409">
            <v>1674</v>
          </cell>
          <cell r="B409" t="str">
            <v>BECERRA GARCIA JULIO CESAR</v>
          </cell>
          <cell r="C409">
            <v>1933</v>
          </cell>
          <cell r="D409">
            <v>1999</v>
          </cell>
          <cell r="E409">
            <v>10800</v>
          </cell>
          <cell r="I409">
            <v>10800</v>
          </cell>
          <cell r="J409" t="str">
            <v>D</v>
          </cell>
          <cell r="K409" t="str">
            <v>ICIV</v>
          </cell>
          <cell r="L409" t="str">
            <v>PTOS</v>
          </cell>
        </row>
        <row r="410">
          <cell r="A410">
            <v>1675</v>
          </cell>
          <cell r="B410" t="str">
            <v>BASAURI VERA TUDELA MONICA ELIZABETH</v>
          </cell>
          <cell r="C410">
            <v>1978</v>
          </cell>
          <cell r="D410">
            <v>1999</v>
          </cell>
          <cell r="E410">
            <v>1400</v>
          </cell>
          <cell r="F410">
            <v>140</v>
          </cell>
          <cell r="I410">
            <v>1540</v>
          </cell>
          <cell r="J410" t="str">
            <v>G</v>
          </cell>
          <cell r="K410" t="str">
            <v>SEC</v>
          </cell>
          <cell r="L410" t="str">
            <v>SED7</v>
          </cell>
        </row>
        <row r="411">
          <cell r="A411">
            <v>1677</v>
          </cell>
          <cell r="B411" t="str">
            <v>TOLENTINO GABINO FAUSTO ODON</v>
          </cell>
          <cell r="C411">
            <v>1940</v>
          </cell>
          <cell r="D411">
            <v>1999</v>
          </cell>
          <cell r="E411">
            <v>7500</v>
          </cell>
          <cell r="I411">
            <v>7500</v>
          </cell>
          <cell r="J411" t="str">
            <v>E</v>
          </cell>
          <cell r="K411" t="str">
            <v>ICIV</v>
          </cell>
          <cell r="L411" t="str">
            <v>LIQUID</v>
          </cell>
        </row>
        <row r="412">
          <cell r="A412">
            <v>1681</v>
          </cell>
          <cell r="B412" t="str">
            <v>MIRANDA SOTO CARLOS ALBERTO</v>
          </cell>
          <cell r="C412">
            <v>1954</v>
          </cell>
          <cell r="D412">
            <v>1999</v>
          </cell>
          <cell r="E412">
            <v>3200</v>
          </cell>
          <cell r="F412">
            <v>640</v>
          </cell>
          <cell r="I412">
            <v>3840</v>
          </cell>
          <cell r="J412" t="str">
            <v>H</v>
          </cell>
          <cell r="K412" t="str">
            <v>TELC</v>
          </cell>
          <cell r="L412" t="str">
            <v>MESS</v>
          </cell>
        </row>
        <row r="413">
          <cell r="A413">
            <v>1682</v>
          </cell>
          <cell r="B413" t="str">
            <v xml:space="preserve">PEZO TURPO DANIEL  </v>
          </cell>
          <cell r="C413">
            <v>1970</v>
          </cell>
          <cell r="D413">
            <v>2000</v>
          </cell>
          <cell r="E413">
            <v>2800</v>
          </cell>
          <cell r="F413">
            <v>560</v>
          </cell>
          <cell r="I413">
            <v>3360</v>
          </cell>
          <cell r="J413" t="str">
            <v>G</v>
          </cell>
          <cell r="K413" t="str">
            <v>IELEC</v>
          </cell>
          <cell r="L413" t="str">
            <v>LTMS</v>
          </cell>
        </row>
        <row r="414">
          <cell r="A414">
            <v>1683</v>
          </cell>
          <cell r="B414" t="str">
            <v>CALONGE SANCHEZ RODOLFO ADOLFO</v>
          </cell>
          <cell r="C414">
            <v>1961</v>
          </cell>
          <cell r="D414">
            <v>1999</v>
          </cell>
          <cell r="E414">
            <v>4000</v>
          </cell>
          <cell r="I414">
            <v>4000</v>
          </cell>
          <cell r="J414" t="str">
            <v>E</v>
          </cell>
          <cell r="K414" t="str">
            <v>CTD</v>
          </cell>
          <cell r="L414" t="str">
            <v>SED 16</v>
          </cell>
        </row>
        <row r="415">
          <cell r="A415">
            <v>1685</v>
          </cell>
          <cell r="B415" t="str">
            <v xml:space="preserve">DEL CORRAL OLAYA ALBERTO  </v>
          </cell>
          <cell r="C415">
            <v>1942</v>
          </cell>
          <cell r="D415">
            <v>1999</v>
          </cell>
          <cell r="E415">
            <v>18000</v>
          </cell>
          <cell r="F415">
            <v>2700</v>
          </cell>
          <cell r="I415">
            <v>20700</v>
          </cell>
          <cell r="J415" t="str">
            <v>B</v>
          </cell>
          <cell r="K415" t="str">
            <v>ICIV</v>
          </cell>
          <cell r="L415" t="str">
            <v>TORAT</v>
          </cell>
        </row>
        <row r="416">
          <cell r="A416">
            <v>1686</v>
          </cell>
          <cell r="B416" t="str">
            <v>ARRIETA OCAMPO JUAN JOSE DEL CARMEN</v>
          </cell>
          <cell r="C416">
            <v>1954</v>
          </cell>
          <cell r="D416">
            <v>1999</v>
          </cell>
          <cell r="E416">
            <v>20000</v>
          </cell>
          <cell r="I416">
            <v>20000</v>
          </cell>
          <cell r="J416" t="str">
            <v>B</v>
          </cell>
          <cell r="K416" t="str">
            <v>SOC</v>
          </cell>
          <cell r="L416" t="str">
            <v>RRHH</v>
          </cell>
        </row>
        <row r="417">
          <cell r="A417">
            <v>1687</v>
          </cell>
          <cell r="B417" t="str">
            <v>OLIVEROS LAZO ENRIQUE OSWALDO</v>
          </cell>
          <cell r="C417">
            <v>1973</v>
          </cell>
          <cell r="D417">
            <v>2000</v>
          </cell>
          <cell r="E417">
            <v>2000</v>
          </cell>
          <cell r="I417">
            <v>2000</v>
          </cell>
          <cell r="J417" t="str">
            <v>G</v>
          </cell>
          <cell r="K417" t="str">
            <v>IME</v>
          </cell>
          <cell r="L417" t="str">
            <v>LTMS</v>
          </cell>
        </row>
        <row r="418">
          <cell r="A418">
            <v>1688</v>
          </cell>
          <cell r="B418" t="str">
            <v>GUTIERREZ HERRERA VLADIMIR MARTIN</v>
          </cell>
          <cell r="C418">
            <v>1975</v>
          </cell>
          <cell r="D418">
            <v>2000</v>
          </cell>
          <cell r="E418">
            <v>1700</v>
          </cell>
          <cell r="I418">
            <v>1700</v>
          </cell>
          <cell r="J418" t="str">
            <v>F</v>
          </cell>
          <cell r="K418" t="str">
            <v>CTD</v>
          </cell>
          <cell r="L418" t="str">
            <v>SED7</v>
          </cell>
        </row>
        <row r="419">
          <cell r="A419">
            <v>1689</v>
          </cell>
          <cell r="B419" t="str">
            <v>CASTRO BERNEDO ATANASIO RINO</v>
          </cell>
          <cell r="C419">
            <v>1951</v>
          </cell>
          <cell r="D419">
            <v>2000</v>
          </cell>
          <cell r="E419">
            <v>2400</v>
          </cell>
          <cell r="I419">
            <v>2400</v>
          </cell>
          <cell r="J419" t="str">
            <v>G</v>
          </cell>
          <cell r="K419" t="str">
            <v>IELEC</v>
          </cell>
          <cell r="L419" t="str">
            <v>LIQUID</v>
          </cell>
        </row>
        <row r="420">
          <cell r="A420">
            <v>1690</v>
          </cell>
          <cell r="B420" t="str">
            <v>VALDIVIA CARDENAS LUIS ERNESTO</v>
          </cell>
          <cell r="C420">
            <v>1947</v>
          </cell>
          <cell r="D420">
            <v>2000</v>
          </cell>
          <cell r="E420">
            <v>15500</v>
          </cell>
          <cell r="I420">
            <v>15500</v>
          </cell>
          <cell r="J420" t="str">
            <v>C</v>
          </cell>
          <cell r="K420" t="str">
            <v>IMEL</v>
          </cell>
          <cell r="L420" t="str">
            <v>LTANT</v>
          </cell>
        </row>
        <row r="421">
          <cell r="A421">
            <v>1691</v>
          </cell>
          <cell r="B421" t="str">
            <v xml:space="preserve">BUSTAMANTE PAMO HAMYLTON </v>
          </cell>
          <cell r="C421">
            <v>1972</v>
          </cell>
          <cell r="D421">
            <v>2000</v>
          </cell>
          <cell r="E421">
            <v>2500</v>
          </cell>
          <cell r="F421">
            <v>500</v>
          </cell>
          <cell r="I421">
            <v>3000</v>
          </cell>
          <cell r="J421" t="str">
            <v>F</v>
          </cell>
          <cell r="K421" t="str">
            <v>IELEC</v>
          </cell>
          <cell r="L421" t="str">
            <v>LTMS</v>
          </cell>
        </row>
        <row r="422">
          <cell r="A422">
            <v>1692</v>
          </cell>
          <cell r="B422" t="str">
            <v xml:space="preserve">TITO TITO FAUSTO </v>
          </cell>
          <cell r="C422">
            <v>1952</v>
          </cell>
          <cell r="D422">
            <v>2000</v>
          </cell>
          <cell r="E422">
            <v>2500</v>
          </cell>
          <cell r="F422">
            <v>375</v>
          </cell>
          <cell r="I422">
            <v>2875</v>
          </cell>
          <cell r="J422" t="str">
            <v>F</v>
          </cell>
          <cell r="K422" t="str">
            <v>TOP</v>
          </cell>
          <cell r="L422" t="str">
            <v>LTCOS</v>
          </cell>
        </row>
        <row r="423">
          <cell r="A423">
            <v>1693</v>
          </cell>
          <cell r="B423" t="str">
            <v>RIVAS RIGLOS ENRIQUE OMAR</v>
          </cell>
          <cell r="C423">
            <v>1963</v>
          </cell>
          <cell r="D423">
            <v>2000</v>
          </cell>
          <cell r="E423">
            <v>3500</v>
          </cell>
          <cell r="F423">
            <v>1225</v>
          </cell>
          <cell r="I423">
            <v>4725</v>
          </cell>
          <cell r="J423" t="str">
            <v>G</v>
          </cell>
          <cell r="K423" t="str">
            <v>TSEG</v>
          </cell>
          <cell r="L423" t="str">
            <v>ACHA</v>
          </cell>
        </row>
        <row r="424">
          <cell r="A424">
            <v>1694</v>
          </cell>
          <cell r="B424" t="str">
            <v>CORROCHANO CHICHIZOLA RAFAEL EDUARDO</v>
          </cell>
          <cell r="C424">
            <v>1979</v>
          </cell>
          <cell r="D424">
            <v>2000</v>
          </cell>
          <cell r="E424">
            <v>1955</v>
          </cell>
          <cell r="I424">
            <v>1955</v>
          </cell>
          <cell r="J424" t="str">
            <v>H</v>
          </cell>
          <cell r="K424" t="str">
            <v>ADM</v>
          </cell>
          <cell r="L424" t="str">
            <v>DCHOL</v>
          </cell>
        </row>
        <row r="425">
          <cell r="A425">
            <v>1695</v>
          </cell>
          <cell r="B425" t="str">
            <v xml:space="preserve">ZUBIATE ROMERO RICARDO </v>
          </cell>
          <cell r="C425">
            <v>1957</v>
          </cell>
          <cell r="D425">
            <v>2000</v>
          </cell>
          <cell r="E425">
            <v>14000</v>
          </cell>
          <cell r="I425">
            <v>14000</v>
          </cell>
          <cell r="J425" t="str">
            <v>C</v>
          </cell>
          <cell r="K425" t="str">
            <v>IME</v>
          </cell>
          <cell r="L425" t="str">
            <v>DIVEM</v>
          </cell>
        </row>
        <row r="426">
          <cell r="A426">
            <v>1696</v>
          </cell>
          <cell r="B426" t="str">
            <v xml:space="preserve">ALVAREZ PERALTA WILFREDO </v>
          </cell>
          <cell r="C426">
            <v>1974</v>
          </cell>
          <cell r="D426">
            <v>2000</v>
          </cell>
          <cell r="E426">
            <v>2730</v>
          </cell>
          <cell r="F426">
            <v>819</v>
          </cell>
          <cell r="I426">
            <v>3549</v>
          </cell>
          <cell r="J426" t="str">
            <v>F</v>
          </cell>
          <cell r="K426" t="str">
            <v>ICIV</v>
          </cell>
          <cell r="L426" t="str">
            <v>ACHA</v>
          </cell>
        </row>
        <row r="427">
          <cell r="A427">
            <v>1697</v>
          </cell>
          <cell r="B427" t="str">
            <v>CUEVA SORIANO ENZO FERNANDO</v>
          </cell>
          <cell r="C427">
            <v>1976</v>
          </cell>
          <cell r="D427">
            <v>2000</v>
          </cell>
          <cell r="E427">
            <v>1500</v>
          </cell>
          <cell r="I427">
            <v>1500</v>
          </cell>
          <cell r="J427" t="str">
            <v>G</v>
          </cell>
          <cell r="K427" t="str">
            <v>ISIS</v>
          </cell>
          <cell r="L427" t="str">
            <v>INFOR</v>
          </cell>
        </row>
      </sheetData>
      <sheetData sheetId="1" refreshError="1">
        <row r="3">
          <cell r="M3">
            <v>3.5</v>
          </cell>
        </row>
      </sheetData>
      <sheetData sheetId="2"/>
      <sheetData sheetId="3"/>
      <sheetData sheetId="4"/>
      <sheetData sheetId="5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dominiigrupoinmobiliario.com/" TargetMode="External"/><Relationship Id="rId3" Type="http://schemas.openxmlformats.org/officeDocument/2006/relationships/hyperlink" Target="http://www.casaideal.com.pe/" TargetMode="External"/><Relationship Id="rId7" Type="http://schemas.openxmlformats.org/officeDocument/2006/relationships/hyperlink" Target="http://www.inversionesgdp.com/" TargetMode="External"/><Relationship Id="rId12" Type="http://schemas.openxmlformats.org/officeDocument/2006/relationships/comments" Target="../comments1.xml"/><Relationship Id="rId2" Type="http://schemas.openxmlformats.org/officeDocument/2006/relationships/hyperlink" Target="http://www.mcinmobiliaria.com.pe/" TargetMode="External"/><Relationship Id="rId1" Type="http://schemas.openxmlformats.org/officeDocument/2006/relationships/hyperlink" Target="http://www.dominiigrupoinmobiliario.com/" TargetMode="External"/><Relationship Id="rId6" Type="http://schemas.openxmlformats.org/officeDocument/2006/relationships/hyperlink" Target="http://www.ciudaris.com/" TargetMode="External"/><Relationship Id="rId11" Type="http://schemas.openxmlformats.org/officeDocument/2006/relationships/vmlDrawing" Target="../drawings/vmlDrawing1.vml"/><Relationship Id="rId5" Type="http://schemas.openxmlformats.org/officeDocument/2006/relationships/hyperlink" Target="http://www.edificacionesinmobiliarias.com/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imagina.com.pe/" TargetMode="External"/><Relationship Id="rId9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J80"/>
  <sheetViews>
    <sheetView showGridLines="0" view="pageBreakPreview" topLeftCell="A19" zoomScale="70" zoomScaleNormal="100" zoomScaleSheetLayoutView="70" workbookViewId="0">
      <selection activeCell="K82" sqref="K82"/>
    </sheetView>
  </sheetViews>
  <sheetFormatPr baseColWidth="10" defaultColWidth="11.42578125" defaultRowHeight="12.75"/>
  <cols>
    <col min="1" max="1" width="16.42578125" style="746" customWidth="1"/>
    <col min="2" max="3" width="11.42578125" style="746"/>
    <col min="4" max="4" width="11.42578125" style="746" customWidth="1"/>
    <col min="5" max="5" width="11.42578125" style="746"/>
    <col min="6" max="6" width="14.7109375" style="746" customWidth="1"/>
    <col min="7" max="16384" width="11.42578125" style="746"/>
  </cols>
  <sheetData>
    <row r="1" spans="1:8" ht="27" customHeight="1">
      <c r="A1" s="1004" t="s">
        <v>739</v>
      </c>
      <c r="B1" s="1005"/>
      <c r="C1" s="1005"/>
      <c r="D1" s="1005"/>
      <c r="E1" s="1005"/>
      <c r="F1" s="1005"/>
      <c r="G1" s="1005"/>
      <c r="H1" s="1006"/>
    </row>
    <row r="2" spans="1:8">
      <c r="A2" s="804" t="s">
        <v>72</v>
      </c>
      <c r="B2" s="805" t="s">
        <v>461</v>
      </c>
      <c r="C2" s="805"/>
      <c r="D2" s="805"/>
      <c r="E2" s="805"/>
      <c r="F2" s="805"/>
      <c r="G2" s="806"/>
      <c r="H2" s="807"/>
    </row>
    <row r="3" spans="1:8">
      <c r="A3" s="804" t="s">
        <v>73</v>
      </c>
      <c r="B3" s="805" t="s">
        <v>462</v>
      </c>
      <c r="C3" s="805"/>
      <c r="D3" s="805"/>
      <c r="E3" s="805"/>
      <c r="F3" s="805"/>
      <c r="G3" s="806"/>
      <c r="H3" s="807"/>
    </row>
    <row r="4" spans="1:8">
      <c r="A4" s="804" t="s">
        <v>74</v>
      </c>
      <c r="B4" s="808" t="s">
        <v>540</v>
      </c>
      <c r="C4" s="805"/>
      <c r="D4" s="805"/>
      <c r="E4" s="805"/>
      <c r="F4" s="804" t="s">
        <v>75</v>
      </c>
      <c r="G4" s="805" t="s">
        <v>463</v>
      </c>
      <c r="H4" s="805"/>
    </row>
    <row r="5" spans="1:8">
      <c r="A5" s="809" t="s">
        <v>76</v>
      </c>
      <c r="B5" s="805" t="s">
        <v>465</v>
      </c>
      <c r="C5" s="805"/>
      <c r="D5" s="806" t="s">
        <v>77</v>
      </c>
      <c r="E5" s="810" t="s">
        <v>466</v>
      </c>
      <c r="F5" s="806" t="s">
        <v>78</v>
      </c>
      <c r="G5" s="805"/>
      <c r="H5" s="805"/>
    </row>
    <row r="6" spans="1:8">
      <c r="A6" s="804"/>
      <c r="B6" s="806" t="s">
        <v>79</v>
      </c>
      <c r="C6" s="805"/>
      <c r="D6" s="805"/>
      <c r="E6" s="805"/>
      <c r="F6" s="806"/>
      <c r="G6" s="806"/>
      <c r="H6" s="806"/>
    </row>
    <row r="7" spans="1:8">
      <c r="A7" s="748" t="s">
        <v>0</v>
      </c>
      <c r="B7" s="745"/>
      <c r="C7" s="749"/>
      <c r="D7" s="749"/>
      <c r="E7" s="750"/>
      <c r="F7" s="750"/>
      <c r="G7" s="750"/>
      <c r="H7" s="750"/>
    </row>
    <row r="8" spans="1:8">
      <c r="A8" s="752" t="s">
        <v>80</v>
      </c>
      <c r="B8" s="749"/>
      <c r="C8" s="749"/>
      <c r="D8" s="749"/>
      <c r="E8" s="752" t="s">
        <v>81</v>
      </c>
      <c r="F8" s="750"/>
      <c r="G8" s="750"/>
      <c r="H8" s="750"/>
    </row>
    <row r="9" spans="1:8">
      <c r="A9" s="707" t="s">
        <v>1</v>
      </c>
      <c r="B9" s="749"/>
      <c r="C9" s="800">
        <v>1076</v>
      </c>
      <c r="D9" s="754"/>
      <c r="E9" s="814" t="s">
        <v>663</v>
      </c>
      <c r="F9" s="815"/>
      <c r="G9" s="822">
        <v>1</v>
      </c>
      <c r="H9" s="745"/>
    </row>
    <row r="10" spans="1:8">
      <c r="A10" s="707" t="s">
        <v>82</v>
      </c>
      <c r="B10" s="755"/>
      <c r="C10" s="801">
        <v>0</v>
      </c>
      <c r="D10" s="757"/>
      <c r="E10" s="814" t="s">
        <v>664</v>
      </c>
      <c r="F10" s="815"/>
      <c r="G10" s="822">
        <v>11</v>
      </c>
      <c r="H10" s="750"/>
    </row>
    <row r="11" spans="1:8" ht="13.5" thickBot="1">
      <c r="A11" s="707" t="s">
        <v>83</v>
      </c>
      <c r="B11" s="754"/>
      <c r="C11" s="802">
        <v>0</v>
      </c>
      <c r="D11" s="759"/>
      <c r="E11" s="814" t="s">
        <v>665</v>
      </c>
      <c r="F11" s="815"/>
      <c r="G11" s="822">
        <v>9</v>
      </c>
      <c r="H11" s="750"/>
    </row>
    <row r="12" spans="1:8" ht="13.5" thickBot="1">
      <c r="A12" s="707" t="s">
        <v>84</v>
      </c>
      <c r="B12" s="755"/>
      <c r="C12" s="803">
        <f>C9-C10-C11</f>
        <v>1076</v>
      </c>
      <c r="D12" s="759"/>
      <c r="E12" s="758" t="s">
        <v>85</v>
      </c>
      <c r="F12" s="750"/>
      <c r="G12" s="827">
        <f>'CUADRO DE VENTAS'!D200</f>
        <v>84</v>
      </c>
      <c r="H12" s="760"/>
    </row>
    <row r="13" spans="1:8" ht="13.5" thickBot="1">
      <c r="A13" s="761"/>
      <c r="B13" s="755"/>
      <c r="C13" s="753"/>
      <c r="D13" s="759"/>
      <c r="E13" s="758" t="s">
        <v>86</v>
      </c>
      <c r="F13" s="750"/>
      <c r="G13" s="827">
        <f>G14+G15</f>
        <v>62</v>
      </c>
      <c r="H13" s="760"/>
    </row>
    <row r="14" spans="1:8">
      <c r="A14" s="761"/>
      <c r="B14" s="755"/>
      <c r="C14" s="756"/>
      <c r="D14" s="759"/>
      <c r="E14" s="758" t="s">
        <v>87</v>
      </c>
      <c r="F14" s="750"/>
      <c r="G14" s="823">
        <f>'CUADRO DE VENTAS'!D207</f>
        <v>54</v>
      </c>
      <c r="H14" s="750"/>
    </row>
    <row r="15" spans="1:8" ht="13.5" thickBot="1">
      <c r="A15" s="707" t="s">
        <v>567</v>
      </c>
      <c r="B15" s="708"/>
      <c r="C15" s="811">
        <f>'CUADRO DE VENTAS'!E211</f>
        <v>7087.66</v>
      </c>
      <c r="D15" s="759"/>
      <c r="E15" s="758" t="s">
        <v>88</v>
      </c>
      <c r="F15" s="750"/>
      <c r="G15" s="823">
        <f>'CUADRO DE VENTAS'!D208</f>
        <v>8</v>
      </c>
      <c r="H15" s="750"/>
    </row>
    <row r="16" spans="1:8" ht="13.5" thickBot="1">
      <c r="A16" s="707" t="s">
        <v>568</v>
      </c>
      <c r="B16" s="708"/>
      <c r="C16" s="811">
        <f>C18-C17-C15</f>
        <v>337.6200000000008</v>
      </c>
      <c r="D16" s="759"/>
      <c r="E16" s="758" t="s">
        <v>464</v>
      </c>
      <c r="F16" s="750"/>
      <c r="G16" s="827">
        <f>'CUADRO DE VENTAS'!D210</f>
        <v>24</v>
      </c>
      <c r="H16" s="750"/>
    </row>
    <row r="17" spans="1:8" ht="13.5" thickBot="1">
      <c r="A17" s="707" t="s">
        <v>569</v>
      </c>
      <c r="B17" s="708"/>
      <c r="C17" s="812">
        <f>CONSTRUCCION!C6</f>
        <v>1880.43</v>
      </c>
      <c r="D17" s="759"/>
      <c r="E17" s="758" t="s">
        <v>666</v>
      </c>
      <c r="F17" s="750"/>
      <c r="G17" s="827">
        <v>8</v>
      </c>
      <c r="H17" s="750"/>
    </row>
    <row r="18" spans="1:8" ht="13.5" thickBot="1">
      <c r="A18" s="707" t="s">
        <v>89</v>
      </c>
      <c r="B18" s="755"/>
      <c r="C18" s="813">
        <f>CONSTRUCCION!C9</f>
        <v>9305.7100000000009</v>
      </c>
      <c r="D18" s="757"/>
      <c r="E18" s="758" t="s">
        <v>119</v>
      </c>
      <c r="F18" s="750"/>
      <c r="G18" s="828">
        <f>G12+G13+G16+G17</f>
        <v>178</v>
      </c>
      <c r="H18" s="750"/>
    </row>
    <row r="19" spans="1:8" ht="13.5" thickBot="1">
      <c r="A19" s="761"/>
      <c r="B19" s="755"/>
      <c r="C19" s="757"/>
      <c r="D19" s="755"/>
      <c r="E19" s="745"/>
      <c r="F19" s="745"/>
      <c r="G19" s="745"/>
      <c r="H19" s="745"/>
    </row>
    <row r="20" spans="1:8" ht="13.5" thickBot="1">
      <c r="A20" s="818" t="s">
        <v>90</v>
      </c>
      <c r="B20" s="817"/>
      <c r="C20" s="816"/>
      <c r="D20" s="816"/>
      <c r="E20" s="816"/>
      <c r="F20" s="816"/>
      <c r="G20" s="816"/>
      <c r="H20" s="816"/>
    </row>
    <row r="21" spans="1:8">
      <c r="A21" s="762"/>
      <c r="B21" s="763"/>
      <c r="C21" s="757"/>
      <c r="D21" s="755"/>
      <c r="E21" s="745"/>
      <c r="F21" s="745"/>
      <c r="G21" s="745"/>
      <c r="H21" s="745"/>
    </row>
    <row r="22" spans="1:8">
      <c r="A22" s="764"/>
      <c r="B22" s="821"/>
      <c r="C22" s="821"/>
      <c r="D22" s="821" t="s">
        <v>91</v>
      </c>
      <c r="E22" s="821" t="s">
        <v>668</v>
      </c>
      <c r="F22" s="821" t="s">
        <v>92</v>
      </c>
      <c r="G22" s="821" t="s">
        <v>57</v>
      </c>
      <c r="H22" s="745"/>
    </row>
    <row r="23" spans="1:8">
      <c r="A23" s="764"/>
      <c r="B23" s="831" t="s">
        <v>694</v>
      </c>
      <c r="C23" s="832"/>
      <c r="D23" s="833">
        <f>SUM(D24:D25)</f>
        <v>81</v>
      </c>
      <c r="E23" s="834">
        <f>SUM(E24:E25)</f>
        <v>5800</v>
      </c>
      <c r="F23" s="834">
        <f>((F24*D24)+(F25*D25))/D23</f>
        <v>1254.7053668859498</v>
      </c>
      <c r="G23" s="834">
        <f>SUM(G24:G25)</f>
        <v>7284620</v>
      </c>
      <c r="H23" s="865">
        <f>G23/$G$32</f>
        <v>0.8654342841528756</v>
      </c>
    </row>
    <row r="24" spans="1:8">
      <c r="A24" s="764"/>
      <c r="B24" s="820" t="s">
        <v>571</v>
      </c>
      <c r="C24" s="745"/>
      <c r="D24" s="765">
        <f>81-6</f>
        <v>75</v>
      </c>
      <c r="E24" s="862">
        <f>'CUADRO DE VENTAS'!E201</f>
        <v>4472</v>
      </c>
      <c r="F24" s="862">
        <f t="shared" ref="F24:F25" si="0">G24/E24</f>
        <v>1254.1010733452595</v>
      </c>
      <c r="G24" s="766">
        <f>'CUADRO DE VENTAS'!J201</f>
        <v>5608340</v>
      </c>
      <c r="H24" s="865"/>
    </row>
    <row r="25" spans="1:8">
      <c r="A25" s="764"/>
      <c r="B25" s="820" t="s">
        <v>572</v>
      </c>
      <c r="C25" s="745"/>
      <c r="D25" s="765">
        <v>6</v>
      </c>
      <c r="E25" s="862">
        <f>'CUADRO DE VENTAS'!E202</f>
        <v>1328</v>
      </c>
      <c r="F25" s="862">
        <f t="shared" si="0"/>
        <v>1262.2590361445782</v>
      </c>
      <c r="G25" s="766">
        <f>'CUADRO DE VENTAS'!J202</f>
        <v>1676280</v>
      </c>
      <c r="H25" s="865"/>
    </row>
    <row r="26" spans="1:8">
      <c r="A26" s="764"/>
      <c r="B26" s="832" t="s">
        <v>667</v>
      </c>
      <c r="C26" s="832"/>
      <c r="D26" s="833">
        <v>8</v>
      </c>
      <c r="E26" s="834">
        <f>'CUADRO DE VENTAS'!E203</f>
        <v>452.68</v>
      </c>
      <c r="F26" s="834">
        <f>G26/E26</f>
        <v>1000</v>
      </c>
      <c r="G26" s="834">
        <f>'CUADRO DE VENTAS'!J203</f>
        <v>452680</v>
      </c>
      <c r="H26" s="865">
        <f>G26/$G$32</f>
        <v>5.3779715585757906E-2</v>
      </c>
    </row>
    <row r="27" spans="1:8">
      <c r="A27" s="764"/>
      <c r="B27" s="832" t="s">
        <v>42</v>
      </c>
      <c r="C27" s="832"/>
      <c r="D27" s="833">
        <f>SUM(D28:D29)</f>
        <v>62</v>
      </c>
      <c r="E27" s="834">
        <f>SUM(E28:E29)</f>
        <v>849.74</v>
      </c>
      <c r="F27" s="834">
        <f>((F28*D28)+(F29*D29))/D27</f>
        <v>715.24912292175259</v>
      </c>
      <c r="G27" s="834">
        <f>SUM(G28:G29)</f>
        <v>608000</v>
      </c>
      <c r="H27" s="865">
        <f>G27/$G$32</f>
        <v>7.2232188468986491E-2</v>
      </c>
    </row>
    <row r="28" spans="1:8">
      <c r="A28" s="764"/>
      <c r="B28" s="820" t="s">
        <v>87</v>
      </c>
      <c r="C28" s="815"/>
      <c r="D28" s="829">
        <f>G14</f>
        <v>54</v>
      </c>
      <c r="E28" s="791">
        <f>'CUADRO DE VENTAS'!E206</f>
        <v>749.74</v>
      </c>
      <c r="F28" s="862">
        <f>G28/E28</f>
        <v>718.24899298423452</v>
      </c>
      <c r="G28" s="791">
        <f>'CUADRO DE VENTAS'!J207</f>
        <v>538500</v>
      </c>
      <c r="H28" s="866"/>
    </row>
    <row r="29" spans="1:8">
      <c r="A29" s="764"/>
      <c r="B29" s="820" t="s">
        <v>695</v>
      </c>
      <c r="C29" s="815"/>
      <c r="D29" s="829">
        <f>G15</f>
        <v>8</v>
      </c>
      <c r="E29" s="791">
        <f>'CUADRO DE VENTAS'!F206</f>
        <v>100</v>
      </c>
      <c r="F29" s="862">
        <f t="shared" ref="F29:F31" si="1">G29/E29</f>
        <v>695</v>
      </c>
      <c r="G29" s="791">
        <f>'CUADRO DE VENTAS'!J208</f>
        <v>69500</v>
      </c>
      <c r="H29" s="866"/>
    </row>
    <row r="30" spans="1:8">
      <c r="A30" s="764"/>
      <c r="B30" s="835" t="s">
        <v>190</v>
      </c>
      <c r="C30" s="831"/>
      <c r="D30" s="833">
        <f>D31</f>
        <v>24</v>
      </c>
      <c r="E30" s="834">
        <f>E31</f>
        <v>85.239999999999981</v>
      </c>
      <c r="F30" s="834">
        <f>F31</f>
        <v>844.67386203660271</v>
      </c>
      <c r="G30" s="834">
        <f>G31</f>
        <v>72000</v>
      </c>
      <c r="H30" s="865">
        <f>G30/$G$32</f>
        <v>8.553811792379979E-3</v>
      </c>
    </row>
    <row r="31" spans="1:8">
      <c r="A31" s="764"/>
      <c r="B31" s="830" t="s">
        <v>669</v>
      </c>
      <c r="C31" s="750"/>
      <c r="D31" s="829">
        <f>G16</f>
        <v>24</v>
      </c>
      <c r="E31" s="791">
        <f>'CUADRO DE VENTAS'!E210</f>
        <v>85.239999999999981</v>
      </c>
      <c r="F31" s="862">
        <f t="shared" si="1"/>
        <v>844.67386203660271</v>
      </c>
      <c r="G31" s="791">
        <f>'CUADRO DE VENTAS'!J210</f>
        <v>72000</v>
      </c>
      <c r="H31" s="866"/>
    </row>
    <row r="32" spans="1:8">
      <c r="A32" s="764"/>
      <c r="B32" s="821" t="s">
        <v>93</v>
      </c>
      <c r="C32" s="821"/>
      <c r="D32" s="836">
        <f>D23+D26+D27+D30</f>
        <v>175</v>
      </c>
      <c r="E32" s="863">
        <f>E23+E26+E27+E30</f>
        <v>7187.66</v>
      </c>
      <c r="F32" s="863">
        <f t="shared" ref="F32:G32" si="2">F23+F26+F27+F30</f>
        <v>3814.6283518443051</v>
      </c>
      <c r="G32" s="863">
        <f t="shared" si="2"/>
        <v>8417300</v>
      </c>
      <c r="H32" s="864">
        <f>SUM(H23:H31)</f>
        <v>1</v>
      </c>
    </row>
    <row r="33" spans="1:9" ht="13.5" thickBot="1">
      <c r="A33" s="750"/>
      <c r="B33" s="750"/>
      <c r="C33" s="750"/>
      <c r="D33" s="750"/>
      <c r="E33" s="750"/>
      <c r="F33" s="750"/>
      <c r="G33" s="750"/>
      <c r="H33" s="750"/>
    </row>
    <row r="34" spans="1:9" ht="13.5" thickBot="1">
      <c r="A34" s="818" t="s">
        <v>94</v>
      </c>
      <c r="B34" s="817"/>
      <c r="C34" s="816"/>
      <c r="D34" s="816"/>
      <c r="E34" s="816"/>
      <c r="F34" s="816"/>
      <c r="G34" s="816"/>
      <c r="H34" s="816"/>
    </row>
    <row r="35" spans="1:9">
      <c r="A35" s="745"/>
      <c r="B35" s="745"/>
      <c r="C35" s="745"/>
      <c r="D35" s="745"/>
      <c r="E35" s="745"/>
      <c r="F35" s="745"/>
      <c r="G35" s="824" t="s">
        <v>71</v>
      </c>
      <c r="H35" s="767" t="s">
        <v>699</v>
      </c>
    </row>
    <row r="36" spans="1:9" ht="13.5" thickBot="1">
      <c r="A36" s="745"/>
      <c r="B36" s="745"/>
      <c r="C36" s="745"/>
      <c r="D36" s="745"/>
      <c r="E36" s="745"/>
      <c r="F36" s="745"/>
      <c r="G36" s="745"/>
      <c r="H36" s="745"/>
    </row>
    <row r="37" spans="1:9" ht="13.5" thickBot="1">
      <c r="A37" s="745"/>
      <c r="B37" s="747" t="s">
        <v>95</v>
      </c>
      <c r="C37" s="764" t="s">
        <v>405</v>
      </c>
      <c r="F37" s="768">
        <f>'EGRESOS DETALLADO'!H7+'EGRESOS DETALLADO'!H8</f>
        <v>2104998.881028939</v>
      </c>
      <c r="G37" s="825">
        <f>+F37/$F$59</f>
        <v>0.2894584919566387</v>
      </c>
      <c r="H37" s="769">
        <f>+F37/C9</f>
        <v>1956.3186626663003</v>
      </c>
    </row>
    <row r="38" spans="1:9">
      <c r="A38" s="745"/>
      <c r="B38" s="745"/>
      <c r="C38" s="745"/>
      <c r="D38" s="745"/>
      <c r="E38" s="745"/>
      <c r="F38" s="750"/>
      <c r="G38" s="770"/>
      <c r="H38" s="745"/>
    </row>
    <row r="39" spans="1:9">
      <c r="A39" s="771"/>
      <c r="B39" s="772" t="s">
        <v>96</v>
      </c>
      <c r="C39" s="773"/>
      <c r="D39" s="773"/>
      <c r="E39" s="773"/>
      <c r="F39" s="773"/>
      <c r="G39" s="774"/>
      <c r="H39" s="773"/>
    </row>
    <row r="40" spans="1:9">
      <c r="A40" s="745"/>
      <c r="B40" s="745"/>
      <c r="C40" s="750" t="s">
        <v>406</v>
      </c>
      <c r="D40" s="750"/>
      <c r="E40" s="750"/>
      <c r="F40" s="887">
        <f>SUM(F41:F46)</f>
        <v>4180109.3566936008</v>
      </c>
      <c r="G40" s="826">
        <f>+F40/$F$59</f>
        <v>0.5748070279310189</v>
      </c>
      <c r="H40" s="775">
        <f>+F40/C18</f>
        <v>449.19832626350922</v>
      </c>
    </row>
    <row r="41" spans="1:9">
      <c r="A41" s="745"/>
      <c r="B41" s="745"/>
      <c r="C41" s="758" t="s">
        <v>439</v>
      </c>
      <c r="D41" s="750"/>
      <c r="E41" s="776"/>
      <c r="F41" s="876">
        <f>CONSTRUCCION!I21-CONSTRUCCION!I17+CONSTRUCCION!I37-CONSTRUCCION!I31-CONSTRUCCION!I32</f>
        <v>2634197.0248000007</v>
      </c>
      <c r="G41" s="778"/>
      <c r="H41" s="775"/>
    </row>
    <row r="42" spans="1:9">
      <c r="A42" s="745"/>
      <c r="B42" s="745"/>
      <c r="C42" s="758" t="s">
        <v>440</v>
      </c>
      <c r="D42" s="750"/>
      <c r="E42" s="776"/>
      <c r="F42" s="876">
        <f>CONSTRUCCION!I17+CONSTRUCCION!I31+CONSTRUCCION!I32</f>
        <v>1357327.9220000003</v>
      </c>
      <c r="G42" s="778"/>
      <c r="H42" s="750"/>
    </row>
    <row r="43" spans="1:9">
      <c r="A43" s="745"/>
      <c r="B43" s="745"/>
      <c r="C43" s="758" t="s">
        <v>225</v>
      </c>
      <c r="D43" s="750"/>
      <c r="E43" s="776"/>
      <c r="F43" s="876">
        <f>'EGRESOS DETALLADO'!H45</f>
        <v>142780</v>
      </c>
      <c r="G43" s="778"/>
      <c r="H43" s="750"/>
    </row>
    <row r="44" spans="1:9">
      <c r="A44" s="745"/>
      <c r="B44" s="745"/>
      <c r="C44" s="758" t="s">
        <v>391</v>
      </c>
      <c r="D44" s="750"/>
      <c r="E44" s="776"/>
      <c r="F44" s="876">
        <f>CONSTRUCCION!I60</f>
        <v>8268.6098936000017</v>
      </c>
      <c r="G44" s="778"/>
      <c r="H44" s="750"/>
    </row>
    <row r="45" spans="1:9">
      <c r="A45" s="745"/>
      <c r="B45" s="745"/>
      <c r="C45" s="758" t="s">
        <v>399</v>
      </c>
      <c r="D45" s="750"/>
      <c r="E45" s="776"/>
      <c r="F45" s="876">
        <f>CONSTRUCCION!I61</f>
        <v>7080</v>
      </c>
      <c r="G45" s="778"/>
      <c r="H45" s="750"/>
    </row>
    <row r="46" spans="1:9">
      <c r="A46" s="745"/>
      <c r="B46" s="745"/>
      <c r="C46" s="758" t="s">
        <v>402</v>
      </c>
      <c r="D46" s="750"/>
      <c r="E46" s="779"/>
      <c r="F46" s="877">
        <f>CONSTRUCCION!I62</f>
        <v>30455.8</v>
      </c>
      <c r="G46" s="778"/>
      <c r="H46" s="750"/>
      <c r="I46" s="780"/>
    </row>
    <row r="47" spans="1:9" ht="13.5" thickBot="1">
      <c r="A47" s="745"/>
      <c r="B47" s="745"/>
      <c r="C47" s="758" t="s">
        <v>441</v>
      </c>
      <c r="D47" s="750"/>
      <c r="E47" s="776"/>
      <c r="F47" s="777">
        <f>CONSTRUCCION!I22+CONSTRUCCION!I23+CONSTRUCCION!I38+CONSTRUCCION!I39+CONSTRUCCION!I50+CONSTRUCCION!I51</f>
        <v>496116.59361600003</v>
      </c>
      <c r="G47" s="778"/>
      <c r="H47" s="750"/>
    </row>
    <row r="48" spans="1:9" ht="13.5" thickBot="1">
      <c r="A48" s="745"/>
      <c r="B48" s="745"/>
      <c r="C48" s="751" t="s">
        <v>98</v>
      </c>
      <c r="D48" s="781" t="s">
        <v>99</v>
      </c>
      <c r="E48" s="751"/>
      <c r="F48" s="875">
        <f>F47+F40</f>
        <v>4676225.9503096007</v>
      </c>
      <c r="G48" s="825">
        <f>+F48/$F$59</f>
        <v>0.64302804330398511</v>
      </c>
      <c r="H48" s="750"/>
    </row>
    <row r="49" spans="1:10">
      <c r="A49" s="745"/>
      <c r="B49" s="750"/>
      <c r="C49" s="750"/>
      <c r="D49" s="750"/>
      <c r="E49" s="750"/>
      <c r="F49" s="750"/>
      <c r="G49" s="782"/>
      <c r="H49" s="750"/>
    </row>
    <row r="50" spans="1:10">
      <c r="A50" s="771"/>
      <c r="B50" s="783" t="s">
        <v>100</v>
      </c>
      <c r="C50" s="773"/>
      <c r="D50" s="773"/>
      <c r="E50" s="773"/>
      <c r="F50" s="773"/>
      <c r="G50" s="774"/>
      <c r="H50" s="773"/>
    </row>
    <row r="51" spans="1:10">
      <c r="A51" s="745"/>
      <c r="B51" s="750"/>
      <c r="C51" s="750" t="s">
        <v>101</v>
      </c>
      <c r="D51" s="750"/>
      <c r="E51" s="750"/>
      <c r="F51" s="784">
        <f>'EGRESOS DETALLADO'!H24</f>
        <v>59623.689000000006</v>
      </c>
      <c r="G51" s="787">
        <f t="shared" ref="G51:G57" si="3">+F51/$F$59</f>
        <v>8.1988561886529396E-3</v>
      </c>
      <c r="H51" s="785">
        <f>+F57/C18</f>
        <v>52.760202794210976</v>
      </c>
    </row>
    <row r="52" spans="1:10">
      <c r="A52" s="745"/>
      <c r="B52" s="750"/>
      <c r="C52" s="750" t="s">
        <v>701</v>
      </c>
      <c r="D52" s="750"/>
      <c r="E52" s="750"/>
      <c r="F52" s="784">
        <f>'EGRESOS DETALLADO'!H39+'EGRESOS DETALLADO'!H57+'EGRESOS DETALLADO'!H9+'EGRESOS DETALLADO'!H10</f>
        <v>72514.784</v>
      </c>
      <c r="G52" s="787">
        <f t="shared" si="3"/>
        <v>9.971511248947228E-3</v>
      </c>
      <c r="H52" s="750"/>
    </row>
    <row r="53" spans="1:10">
      <c r="A53" s="745"/>
      <c r="B53" s="750"/>
      <c r="C53" s="750" t="s">
        <v>102</v>
      </c>
      <c r="D53" s="750"/>
      <c r="E53" s="750"/>
      <c r="F53" s="784">
        <f>'EGRESOS DETALLADO'!H75</f>
        <v>97020</v>
      </c>
      <c r="G53" s="787">
        <f t="shared" si="3"/>
        <v>1.3341224616663825E-2</v>
      </c>
      <c r="H53" s="750"/>
    </row>
    <row r="54" spans="1:10">
      <c r="A54" s="745"/>
      <c r="B54" s="750"/>
      <c r="C54" s="750" t="s">
        <v>103</v>
      </c>
      <c r="D54" s="750"/>
      <c r="E54" s="750"/>
      <c r="F54" s="784">
        <f>'EGRESOS DETALLADO'!H63</f>
        <v>162500</v>
      </c>
      <c r="G54" s="787">
        <f t="shared" si="3"/>
        <v>2.2345382397524958E-2</v>
      </c>
      <c r="H54" s="745"/>
    </row>
    <row r="55" spans="1:10">
      <c r="A55" s="745"/>
      <c r="B55" s="750"/>
      <c r="C55" s="750" t="s">
        <v>104</v>
      </c>
      <c r="D55" s="750"/>
      <c r="E55" s="750"/>
      <c r="F55" s="784">
        <f>'EGRESOS DETALLADO'!H83</f>
        <v>99312.673744117099</v>
      </c>
      <c r="G55" s="787">
        <f t="shared" si="3"/>
        <v>1.3656490287587282E-2</v>
      </c>
      <c r="H55" s="745"/>
    </row>
    <row r="56" spans="1:10" ht="13.5" thickBot="1">
      <c r="A56" s="745"/>
      <c r="B56" s="750"/>
      <c r="C56" s="750"/>
      <c r="D56" s="750"/>
      <c r="E56" s="750"/>
      <c r="F56" s="784"/>
      <c r="G56" s="786"/>
      <c r="H56" s="745"/>
    </row>
    <row r="57" spans="1:10" ht="13.5" thickBot="1">
      <c r="A57" s="745"/>
      <c r="B57" s="750"/>
      <c r="C57" s="751" t="s">
        <v>105</v>
      </c>
      <c r="D57" s="751"/>
      <c r="E57" s="751"/>
      <c r="F57" s="768">
        <f>SUM(F51:F55)</f>
        <v>490971.14674411708</v>
      </c>
      <c r="G57" s="825">
        <f t="shared" si="3"/>
        <v>6.7513464739376222E-2</v>
      </c>
      <c r="H57" s="745"/>
    </row>
    <row r="58" spans="1:10" ht="13.5" thickBot="1">
      <c r="A58" s="745"/>
      <c r="B58" s="750"/>
      <c r="C58" s="750"/>
      <c r="D58" s="750"/>
      <c r="E58" s="750"/>
      <c r="F58" s="784"/>
      <c r="G58" s="787"/>
      <c r="H58" s="745"/>
    </row>
    <row r="59" spans="1:10" ht="13.5" thickBot="1">
      <c r="A59" s="771" t="s">
        <v>106</v>
      </c>
      <c r="B59" s="783" t="s">
        <v>107</v>
      </c>
      <c r="C59" s="773"/>
      <c r="D59" s="773"/>
      <c r="E59" s="773"/>
      <c r="F59" s="768">
        <f>+F37+F48+F57</f>
        <v>7272195.9780826569</v>
      </c>
      <c r="G59" s="825">
        <f>+F59/$F$59</f>
        <v>1</v>
      </c>
      <c r="H59" s="771"/>
      <c r="J59" s="788"/>
    </row>
    <row r="60" spans="1:10" ht="13.5" thickBot="1">
      <c r="A60" s="745"/>
      <c r="B60" s="750"/>
      <c r="C60" s="750"/>
      <c r="D60" s="750"/>
      <c r="E60" s="750"/>
      <c r="F60" s="750"/>
      <c r="G60" s="750"/>
      <c r="H60" s="745"/>
    </row>
    <row r="61" spans="1:10" ht="13.5" thickBot="1">
      <c r="A61" s="818" t="s">
        <v>108</v>
      </c>
      <c r="B61" s="819"/>
      <c r="C61" s="818"/>
      <c r="D61" s="818"/>
      <c r="E61" s="818"/>
      <c r="F61" s="818" t="s">
        <v>109</v>
      </c>
      <c r="G61" s="818"/>
      <c r="H61" s="818"/>
    </row>
    <row r="62" spans="1:10" ht="13.5" thickBot="1">
      <c r="A62" s="789"/>
      <c r="B62" s="790"/>
      <c r="C62" s="790"/>
      <c r="D62" s="790"/>
      <c r="E62" s="790"/>
      <c r="F62" s="790"/>
      <c r="G62" s="790"/>
      <c r="H62" s="789"/>
    </row>
    <row r="63" spans="1:10" ht="13.5" thickBot="1">
      <c r="A63" s="745"/>
      <c r="B63" s="751" t="s">
        <v>712</v>
      </c>
      <c r="C63" s="750"/>
      <c r="D63" s="791"/>
      <c r="E63" s="750"/>
      <c r="F63" s="792">
        <f>G32-F59</f>
        <v>1145104.0219173431</v>
      </c>
      <c r="G63" s="750"/>
      <c r="H63" s="745"/>
    </row>
    <row r="64" spans="1:10">
      <c r="A64" s="745"/>
      <c r="B64" s="750" t="s">
        <v>715</v>
      </c>
      <c r="F64" s="782">
        <f>+$F$63/G32</f>
        <v>0.13604172619692101</v>
      </c>
      <c r="G64" s="750"/>
      <c r="H64" s="745"/>
    </row>
    <row r="65" spans="1:8" ht="13.5" thickBot="1">
      <c r="A65" s="745"/>
      <c r="B65" s="751" t="s">
        <v>713</v>
      </c>
      <c r="C65" s="750"/>
      <c r="D65" s="791"/>
      <c r="E65" s="750"/>
      <c r="F65" s="943">
        <f>F63*0.28</f>
        <v>320629.1261368561</v>
      </c>
      <c r="G65" s="750"/>
      <c r="H65" s="745"/>
    </row>
    <row r="66" spans="1:8" ht="13.5" thickBot="1">
      <c r="A66" s="745"/>
      <c r="B66" s="751" t="s">
        <v>714</v>
      </c>
      <c r="C66" s="750"/>
      <c r="D66" s="791"/>
      <c r="E66" s="750"/>
      <c r="F66" s="792">
        <f>F63-F65</f>
        <v>824474.89578048699</v>
      </c>
      <c r="G66" s="750"/>
      <c r="H66" s="745"/>
    </row>
    <row r="67" spans="1:8">
      <c r="A67" s="745"/>
      <c r="B67" s="750" t="s">
        <v>110</v>
      </c>
      <c r="C67" s="750" t="s">
        <v>111</v>
      </c>
      <c r="D67" s="791"/>
      <c r="E67" s="750"/>
      <c r="F67" s="782">
        <f>+$F$66/G32</f>
        <v>9.7950042861783118E-2</v>
      </c>
      <c r="G67" s="750"/>
      <c r="H67" s="745"/>
    </row>
    <row r="68" spans="1:8">
      <c r="A68" s="745"/>
      <c r="B68" s="745"/>
      <c r="C68" s="750" t="s">
        <v>112</v>
      </c>
      <c r="D68" s="750"/>
      <c r="E68" s="750"/>
      <c r="F68" s="782">
        <f>+$F$66/$F$78</f>
        <v>0.11337358045153551</v>
      </c>
      <c r="G68" s="750"/>
      <c r="H68" s="745"/>
    </row>
    <row r="69" spans="1:8">
      <c r="A69" s="745"/>
      <c r="B69" s="745"/>
      <c r="C69" s="750" t="s">
        <v>113</v>
      </c>
      <c r="D69" s="750"/>
      <c r="E69" s="750"/>
      <c r="F69" s="782">
        <f>+$F$66/$F$74</f>
        <v>0.35252816933624254</v>
      </c>
      <c r="G69" s="750"/>
      <c r="H69" s="745"/>
    </row>
    <row r="70" spans="1:8">
      <c r="A70" s="745"/>
      <c r="G70" s="750"/>
      <c r="H70" s="745"/>
    </row>
    <row r="71" spans="1:8" ht="13.5" thickBot="1">
      <c r="A71" s="793"/>
      <c r="B71" s="793"/>
      <c r="C71" s="794"/>
      <c r="D71" s="794"/>
      <c r="E71" s="794"/>
      <c r="F71" s="794"/>
      <c r="G71" s="794"/>
      <c r="H71" s="793"/>
    </row>
    <row r="72" spans="1:8" ht="13.5" thickBot="1">
      <c r="A72" s="818" t="s">
        <v>114</v>
      </c>
      <c r="B72" s="819"/>
      <c r="C72" s="818"/>
      <c r="D72" s="818"/>
      <c r="E72" s="818"/>
      <c r="F72" s="818"/>
      <c r="G72" s="818"/>
      <c r="H72" s="818"/>
    </row>
    <row r="73" spans="1:8">
      <c r="A73" s="789"/>
      <c r="B73" s="789"/>
      <c r="C73" s="790"/>
      <c r="D73" s="790"/>
      <c r="E73" s="790"/>
      <c r="F73" s="790"/>
      <c r="G73" s="790"/>
      <c r="H73" s="789"/>
    </row>
    <row r="74" spans="1:8">
      <c r="A74" s="745"/>
      <c r="B74" s="745" t="s">
        <v>115</v>
      </c>
      <c r="C74" s="750"/>
      <c r="D74" s="750"/>
      <c r="E74" s="750"/>
      <c r="F74" s="784">
        <f>'ESTRUCTURA FIN'!I10</f>
        <v>2338748.9780826569</v>
      </c>
      <c r="G74" s="782">
        <f>+F74/$F$78</f>
        <v>0.32160147844355497</v>
      </c>
      <c r="H74" s="795"/>
    </row>
    <row r="75" spans="1:8">
      <c r="A75" s="745"/>
      <c r="B75" s="745" t="s">
        <v>702</v>
      </c>
      <c r="C75" s="750"/>
      <c r="D75" s="750"/>
      <c r="E75" s="750"/>
      <c r="F75" s="784">
        <f>'ESTRUCTURA FIN'!J10</f>
        <v>2381604</v>
      </c>
      <c r="G75" s="782">
        <f>+F75/$F$78</f>
        <v>0.32749447445830787</v>
      </c>
      <c r="H75" s="745"/>
    </row>
    <row r="76" spans="1:8">
      <c r="A76" s="745"/>
      <c r="B76" s="745" t="s">
        <v>116</v>
      </c>
      <c r="C76" s="750"/>
      <c r="D76" s="796"/>
      <c r="E76" s="750"/>
      <c r="F76" s="784">
        <f>'ESTRUCTURA FIN'!K10</f>
        <v>2551843</v>
      </c>
      <c r="G76" s="782">
        <f>+F76/$F$78</f>
        <v>0.35090404709813711</v>
      </c>
      <c r="H76" s="745"/>
    </row>
    <row r="77" spans="1:8" ht="13.5" thickBot="1">
      <c r="A77" s="745"/>
      <c r="B77" s="745"/>
      <c r="C77" s="750"/>
      <c r="D77" s="750"/>
      <c r="E77" s="750"/>
      <c r="F77" s="784"/>
      <c r="G77" s="797"/>
      <c r="H77" s="745"/>
    </row>
    <row r="78" spans="1:8" ht="13.5" thickBot="1">
      <c r="A78" s="745"/>
      <c r="B78" s="747" t="s">
        <v>117</v>
      </c>
      <c r="C78" s="750"/>
      <c r="D78" s="750"/>
      <c r="E78" s="750"/>
      <c r="F78" s="798">
        <f>F76+F75+F74</f>
        <v>7272195.9780826569</v>
      </c>
      <c r="G78" s="782">
        <f>+F78/$F$78</f>
        <v>1</v>
      </c>
      <c r="H78" s="795"/>
    </row>
    <row r="79" spans="1:8">
      <c r="C79" s="799"/>
      <c r="D79" s="799"/>
      <c r="E79" s="799"/>
      <c r="F79" s="799"/>
      <c r="G79" s="799"/>
    </row>
    <row r="80" spans="1:8">
      <c r="C80" s="799"/>
      <c r="D80" s="799"/>
      <c r="E80" s="799"/>
      <c r="F80" s="799"/>
      <c r="G80" s="799"/>
    </row>
  </sheetData>
  <mergeCells count="1">
    <mergeCell ref="A1:H1"/>
  </mergeCells>
  <phoneticPr fontId="40" type="noConversion"/>
  <printOptions horizontalCentered="1" verticalCentered="1"/>
  <pageMargins left="1.3779527559055118" right="0.98425196850393704" top="1.5748031496062993" bottom="0.98425196850393704" header="0" footer="0"/>
  <pageSetup paperSize="9" scale="65" orientation="portrait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B2:AK77"/>
  <sheetViews>
    <sheetView showGridLines="0" tabSelected="1" view="pageBreakPreview" zoomScale="70" zoomScaleNormal="100" zoomScaleSheetLayoutView="70" workbookViewId="0">
      <selection activeCell="AQ29" sqref="AQ29"/>
    </sheetView>
  </sheetViews>
  <sheetFormatPr baseColWidth="10" defaultColWidth="11.42578125" defaultRowHeight="12.75"/>
  <cols>
    <col min="1" max="1" width="4.28515625" customWidth="1"/>
    <col min="2" max="2" width="32.28515625" customWidth="1"/>
    <col min="3" max="3" width="20.140625" customWidth="1"/>
    <col min="4" max="4" width="14.28515625" customWidth="1"/>
    <col min="5" max="5" width="11.85546875" bestFit="1" customWidth="1"/>
    <col min="6" max="6" width="10.42578125" bestFit="1" customWidth="1"/>
    <col min="7" max="7" width="11.140625" bestFit="1" customWidth="1"/>
    <col min="8" max="8" width="13.42578125" customWidth="1"/>
    <col min="9" max="12" width="12.28515625" bestFit="1" customWidth="1"/>
    <col min="13" max="13" width="12.42578125" bestFit="1" customWidth="1"/>
    <col min="14" max="15" width="12.42578125" customWidth="1"/>
    <col min="16" max="16" width="12.7109375" customWidth="1"/>
    <col min="17" max="17" width="12.28515625" bestFit="1" customWidth="1"/>
    <col min="18" max="19" width="12.7109375" bestFit="1" customWidth="1"/>
    <col min="20" max="20" width="12.28515625" bestFit="1" customWidth="1"/>
    <col min="21" max="22" width="12.7109375" bestFit="1" customWidth="1"/>
    <col min="23" max="23" width="12.7109375" customWidth="1"/>
    <col min="24" max="25" width="12.42578125" customWidth="1"/>
    <col min="26" max="28" width="12.7109375" customWidth="1"/>
    <col min="29" max="29" width="12" customWidth="1"/>
    <col min="30" max="30" width="10.42578125" bestFit="1" customWidth="1"/>
    <col min="31" max="34" width="11.28515625" bestFit="1" customWidth="1"/>
    <col min="35" max="35" width="14.28515625" bestFit="1" customWidth="1"/>
    <col min="36" max="36" width="3" customWidth="1"/>
    <col min="37" max="37" width="12.85546875" bestFit="1" customWidth="1"/>
  </cols>
  <sheetData>
    <row r="2" spans="2:37" ht="18">
      <c r="B2" s="56"/>
      <c r="C2" s="356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</row>
    <row r="3" spans="2:37"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</row>
    <row r="4" spans="2:37" ht="15.75">
      <c r="B4" s="57" t="s">
        <v>746</v>
      </c>
      <c r="C4" s="57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10"/>
      <c r="AK4" s="10"/>
    </row>
    <row r="5" spans="2:37" ht="15.75">
      <c r="B5" s="60" t="s">
        <v>59</v>
      </c>
      <c r="C5" s="57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10"/>
      <c r="AK5" s="10"/>
    </row>
    <row r="6" spans="2:37" ht="13.5" thickBot="1">
      <c r="B6" s="61"/>
      <c r="C6" s="61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3"/>
      <c r="AJ6" s="10"/>
      <c r="AK6" s="10"/>
    </row>
    <row r="7" spans="2:37" ht="13.5" thickBot="1">
      <c r="B7" s="61"/>
      <c r="C7" s="61"/>
      <c r="D7" s="95">
        <v>41791</v>
      </c>
      <c r="E7" s="95">
        <v>41821</v>
      </c>
      <c r="F7" s="95">
        <v>41852</v>
      </c>
      <c r="G7" s="95">
        <v>41883</v>
      </c>
      <c r="H7" s="95">
        <v>41913</v>
      </c>
      <c r="I7" s="95">
        <v>41944</v>
      </c>
      <c r="J7" s="95">
        <v>41974</v>
      </c>
      <c r="K7" s="95">
        <v>42005</v>
      </c>
      <c r="L7" s="95">
        <v>42036</v>
      </c>
      <c r="M7" s="95">
        <v>42064</v>
      </c>
      <c r="N7" s="95">
        <v>42095</v>
      </c>
      <c r="O7" s="95">
        <v>42125</v>
      </c>
      <c r="P7" s="95">
        <v>42156</v>
      </c>
      <c r="Q7" s="95">
        <v>42186</v>
      </c>
      <c r="R7" s="95">
        <v>42217</v>
      </c>
      <c r="S7" s="95">
        <v>42248</v>
      </c>
      <c r="T7" s="95">
        <v>42278</v>
      </c>
      <c r="U7" s="95">
        <v>42309</v>
      </c>
      <c r="V7" s="95">
        <v>42339</v>
      </c>
      <c r="W7" s="95">
        <v>42370</v>
      </c>
      <c r="X7" s="95">
        <v>42401</v>
      </c>
      <c r="Y7" s="95">
        <v>42430</v>
      </c>
      <c r="Z7" s="95">
        <v>42461</v>
      </c>
      <c r="AA7" s="95">
        <v>42491</v>
      </c>
      <c r="AB7" s="95">
        <v>42522</v>
      </c>
      <c r="AC7" s="95">
        <v>42552</v>
      </c>
      <c r="AD7" s="95">
        <v>42583</v>
      </c>
      <c r="AE7" s="95">
        <v>42614</v>
      </c>
      <c r="AF7" s="95">
        <v>42644</v>
      </c>
      <c r="AG7" s="95">
        <v>42675</v>
      </c>
      <c r="AH7" s="95">
        <v>42705</v>
      </c>
      <c r="AI7" s="360" t="s">
        <v>4</v>
      </c>
      <c r="AJ7" s="10"/>
      <c r="AK7" s="10"/>
    </row>
    <row r="8" spans="2:37">
      <c r="B8" s="482" t="s">
        <v>510</v>
      </c>
      <c r="C8" s="75"/>
      <c r="D8" s="76">
        <f>'Flujo Ingresos'!C50</f>
        <v>0</v>
      </c>
      <c r="E8" s="76">
        <f>'Flujo Ingresos'!D50</f>
        <v>0</v>
      </c>
      <c r="F8" s="76">
        <f>'Flujo Ingresos'!E50</f>
        <v>0</v>
      </c>
      <c r="G8" s="76">
        <f>'Flujo Ingresos'!F50</f>
        <v>0</v>
      </c>
      <c r="H8" s="76">
        <f>'Flujo Ingresos'!G50</f>
        <v>1000</v>
      </c>
      <c r="I8" s="76">
        <f>'Flujo Ingresos'!H50</f>
        <v>31824.464831804253</v>
      </c>
      <c r="J8" s="76">
        <f>'Flujo Ingresos'!I50</f>
        <v>31824.464831804253</v>
      </c>
      <c r="K8" s="76">
        <f>'Flujo Ingresos'!J50</f>
        <v>34844.342507645233</v>
      </c>
      <c r="L8" s="76">
        <f>'Flujo Ingresos'!K50</f>
        <v>34844.342507645233</v>
      </c>
      <c r="M8" s="76">
        <f>'Flujo Ingresos'!L50</f>
        <v>34844.342507645233</v>
      </c>
      <c r="N8" s="76">
        <f>'Flujo Ingresos'!M50</f>
        <v>34844.342507645233</v>
      </c>
      <c r="O8" s="76">
        <f>'Flujo Ingresos'!N50</f>
        <v>34844.342507645233</v>
      </c>
      <c r="P8" s="76">
        <f>'Flujo Ingresos'!O50</f>
        <v>34844.342507645233</v>
      </c>
      <c r="Q8" s="76">
        <f>'Flujo Ingresos'!P50</f>
        <v>34844.342507645233</v>
      </c>
      <c r="R8" s="76">
        <f>'Flujo Ingresos'!Q50</f>
        <v>210033.96922020806</v>
      </c>
      <c r="S8" s="76">
        <f>'Flujo Ingresos'!R50</f>
        <v>344440.84139733337</v>
      </c>
      <c r="T8" s="76">
        <f>'Flujo Ingresos'!S50</f>
        <v>381718.48571733339</v>
      </c>
      <c r="U8" s="76">
        <f>'Flujo Ingresos'!T50</f>
        <v>381718.48571733339</v>
      </c>
      <c r="V8" s="76">
        <f>'Flujo Ingresos'!U50</f>
        <v>575953.44299733336</v>
      </c>
      <c r="W8" s="76">
        <f>'Flujo Ingresos'!V50</f>
        <v>575953.44299733336</v>
      </c>
      <c r="X8" s="76">
        <f>'Flujo Ingresos'!W50</f>
        <v>406156.34550399997</v>
      </c>
      <c r="Y8" s="76">
        <f>'Flujo Ingresos'!X50</f>
        <v>326199.54550399992</v>
      </c>
      <c r="Z8" s="76">
        <f>'Flujo Ingresos'!Y50</f>
        <v>35119.571865443402</v>
      </c>
      <c r="AA8" s="76">
        <f>'Flujo Ingresos'!Z50</f>
        <v>35119.571865443402</v>
      </c>
      <c r="AB8" s="76">
        <f>'Flujo Ingresos'!AA50</f>
        <v>35119.571865443402</v>
      </c>
      <c r="AC8" s="76">
        <f>'Flujo Ingresos'!AB50</f>
        <v>4022200.9761133143</v>
      </c>
      <c r="AD8" s="76">
        <f>'Flujo Ingresos'!AC50</f>
        <v>0</v>
      </c>
      <c r="AE8" s="76">
        <f>'Flujo Ingresos'!AD50</f>
        <v>84000</v>
      </c>
      <c r="AF8" s="76">
        <f>'Flujo Ingresos'!AE50</f>
        <v>0</v>
      </c>
      <c r="AG8" s="76">
        <f>'Flujo Ingresos'!AF50</f>
        <v>0</v>
      </c>
      <c r="AH8" s="76">
        <f>'Flujo Ingresos'!AG50</f>
        <v>0</v>
      </c>
      <c r="AI8" s="484">
        <f t="shared" ref="AI8:AI14" si="0">SUM(D8:AH8)</f>
        <v>7722293.5779816452</v>
      </c>
      <c r="AJ8" s="64"/>
      <c r="AK8" s="10"/>
    </row>
    <row r="9" spans="2:37">
      <c r="B9" s="594" t="s">
        <v>517</v>
      </c>
      <c r="C9" s="65"/>
      <c r="D9" s="66">
        <f>'Flujo Ingresos'!C52</f>
        <v>0</v>
      </c>
      <c r="E9" s="66">
        <f>'Flujo Ingresos'!D52</f>
        <v>0</v>
      </c>
      <c r="F9" s="66">
        <f>'Flujo Ingresos'!E52</f>
        <v>0</v>
      </c>
      <c r="G9" s="66">
        <f>'Flujo Ingresos'!F52</f>
        <v>0</v>
      </c>
      <c r="H9" s="66">
        <f>'Flujo Ingresos'!G52</f>
        <v>90</v>
      </c>
      <c r="I9" s="66">
        <f>'Flujo Ingresos'!H52</f>
        <v>2864.2018348623828</v>
      </c>
      <c r="J9" s="66">
        <f>'Flujo Ingresos'!I52</f>
        <v>2864.2018348623828</v>
      </c>
      <c r="K9" s="66">
        <f>'Flujo Ingresos'!J52</f>
        <v>3135.9908256880708</v>
      </c>
      <c r="L9" s="66">
        <f>'Flujo Ingresos'!K52</f>
        <v>3135.9908256880708</v>
      </c>
      <c r="M9" s="66">
        <f>'Flujo Ingresos'!L52</f>
        <v>3135.9908256880708</v>
      </c>
      <c r="N9" s="66">
        <f>'Flujo Ingresos'!M52</f>
        <v>3135.9908256880708</v>
      </c>
      <c r="O9" s="66">
        <f>'Flujo Ingresos'!N52</f>
        <v>3135.9908256880708</v>
      </c>
      <c r="P9" s="66">
        <f>'Flujo Ingresos'!O52</f>
        <v>3135.9908256880708</v>
      </c>
      <c r="Q9" s="66">
        <f>'Flujo Ingresos'!P52</f>
        <v>3135.9908256880708</v>
      </c>
      <c r="R9" s="66">
        <f>'Flujo Ingresos'!Q52</f>
        <v>18903.057229818725</v>
      </c>
      <c r="S9" s="66">
        <f>'Flujo Ingresos'!R52</f>
        <v>30999.67572576</v>
      </c>
      <c r="T9" s="66">
        <f>'Flujo Ingresos'!S52</f>
        <v>34354.663714560003</v>
      </c>
      <c r="U9" s="66">
        <f>'Flujo Ingresos'!T52</f>
        <v>34354.663714560003</v>
      </c>
      <c r="V9" s="66">
        <f>'Flujo Ingresos'!U52</f>
        <v>51835.80986976</v>
      </c>
      <c r="W9" s="66">
        <f>'Flujo Ingresos'!V52</f>
        <v>51835.80986976</v>
      </c>
      <c r="X9" s="66">
        <f>'Flujo Ingresos'!W52</f>
        <v>36554.071095359999</v>
      </c>
      <c r="Y9" s="66">
        <f>'Flujo Ingresos'!X52</f>
        <v>29357.959095359991</v>
      </c>
      <c r="Z9" s="66">
        <f>'Flujo Ingresos'!Y52</f>
        <v>3160.7614678899063</v>
      </c>
      <c r="AA9" s="66">
        <f>'Flujo Ingresos'!Z52</f>
        <v>3160.7614678899063</v>
      </c>
      <c r="AB9" s="66">
        <f>'Flujo Ingresos'!AA52</f>
        <v>3160.7614678899063</v>
      </c>
      <c r="AC9" s="66">
        <f>'Flujo Ingresos'!AB52</f>
        <v>361998.08785019827</v>
      </c>
      <c r="AD9" s="66">
        <f>'Flujo Ingresos'!AC52</f>
        <v>0</v>
      </c>
      <c r="AE9" s="66">
        <f>'Flujo Ingresos'!AD52</f>
        <v>7560</v>
      </c>
      <c r="AF9" s="66">
        <f>'Flujo Ingresos'!AE52</f>
        <v>0</v>
      </c>
      <c r="AG9" s="66">
        <f>'Flujo Ingresos'!AF52</f>
        <v>0</v>
      </c>
      <c r="AH9" s="66">
        <f>'Flujo Ingresos'!AG52</f>
        <v>0</v>
      </c>
      <c r="AI9" s="595">
        <f t="shared" si="0"/>
        <v>695006.42201834801</v>
      </c>
      <c r="AJ9" s="64"/>
      <c r="AK9" s="10"/>
    </row>
    <row r="10" spans="2:37" ht="13.5" thickBot="1">
      <c r="B10" s="596" t="s">
        <v>458</v>
      </c>
      <c r="C10" s="597"/>
      <c r="D10" s="593">
        <f>'Flujo Ingresos'!C54</f>
        <v>0</v>
      </c>
      <c r="E10" s="593">
        <f>'Flujo Ingresos'!D54</f>
        <v>0</v>
      </c>
      <c r="F10" s="593">
        <f>'Flujo Ingresos'!E54</f>
        <v>0</v>
      </c>
      <c r="G10" s="593">
        <f>'Flujo Ingresos'!F54</f>
        <v>0</v>
      </c>
      <c r="H10" s="593">
        <f>'Flujo Ingresos'!G54</f>
        <v>1090</v>
      </c>
      <c r="I10" s="593">
        <f>'Flujo Ingresos'!H54</f>
        <v>34688.666666666635</v>
      </c>
      <c r="J10" s="593">
        <f>'Flujo Ingresos'!I54</f>
        <v>34688.666666666635</v>
      </c>
      <c r="K10" s="593">
        <f>'Flujo Ingresos'!J54</f>
        <v>37980.333333333307</v>
      </c>
      <c r="L10" s="593">
        <f>'Flujo Ingresos'!K54</f>
        <v>37980.333333333307</v>
      </c>
      <c r="M10" s="593">
        <f>'Flujo Ingresos'!L54</f>
        <v>37980.333333333307</v>
      </c>
      <c r="N10" s="593">
        <f>'Flujo Ingresos'!M54</f>
        <v>37980.333333333307</v>
      </c>
      <c r="O10" s="593">
        <f>'Flujo Ingresos'!N54</f>
        <v>37980.333333333307</v>
      </c>
      <c r="P10" s="593">
        <f>'Flujo Ingresos'!O54</f>
        <v>37980.333333333307</v>
      </c>
      <c r="Q10" s="593">
        <f>'Flujo Ingresos'!P54</f>
        <v>37980.333333333307</v>
      </c>
      <c r="R10" s="593">
        <f>'Flujo Ingresos'!Q54</f>
        <v>228937.02645002678</v>
      </c>
      <c r="S10" s="593">
        <f>'Flujo Ingresos'!R54</f>
        <v>375440.51712309336</v>
      </c>
      <c r="T10" s="593">
        <f>'Flujo Ingresos'!S54</f>
        <v>416073.14943189337</v>
      </c>
      <c r="U10" s="593">
        <f>'Flujo Ingresos'!T54</f>
        <v>416073.14943189337</v>
      </c>
      <c r="V10" s="593">
        <f>'Flujo Ingresos'!U54</f>
        <v>627789.25286709331</v>
      </c>
      <c r="W10" s="593">
        <f>'Flujo Ingresos'!V54</f>
        <v>627789.25286709331</v>
      </c>
      <c r="X10" s="593">
        <f>'Flujo Ingresos'!W54</f>
        <v>442710.41659935995</v>
      </c>
      <c r="Y10" s="593">
        <f>'Flujo Ingresos'!X54</f>
        <v>355557.50459935993</v>
      </c>
      <c r="Z10" s="593">
        <f>'Flujo Ingresos'!Y54</f>
        <v>38280.333333333307</v>
      </c>
      <c r="AA10" s="593">
        <f>'Flujo Ingresos'!Z54</f>
        <v>38280.333333333307</v>
      </c>
      <c r="AB10" s="593">
        <f>'Flujo Ingresos'!AA54</f>
        <v>38280.333333333307</v>
      </c>
      <c r="AC10" s="593">
        <f>'Flujo Ingresos'!AB54</f>
        <v>4384199.0639635129</v>
      </c>
      <c r="AD10" s="593">
        <f>'Flujo Ingresos'!AC54</f>
        <v>0</v>
      </c>
      <c r="AE10" s="593">
        <f>'Flujo Ingresos'!AD54</f>
        <v>91560</v>
      </c>
      <c r="AF10" s="593">
        <f>'Flujo Ingresos'!AE54</f>
        <v>0</v>
      </c>
      <c r="AG10" s="593">
        <f>'Flujo Ingresos'!AF54</f>
        <v>0</v>
      </c>
      <c r="AH10" s="593">
        <f>'Flujo Ingresos'!AG54</f>
        <v>0</v>
      </c>
      <c r="AI10" s="598">
        <f t="shared" si="0"/>
        <v>8417299.9999999925</v>
      </c>
      <c r="AJ10" s="64"/>
      <c r="AK10" s="34"/>
    </row>
    <row r="11" spans="2:37">
      <c r="B11" s="594" t="s">
        <v>738</v>
      </c>
      <c r="C11" s="65"/>
      <c r="D11" s="66">
        <f>'Flujo Egresos'!C41</f>
        <v>24362.284</v>
      </c>
      <c r="E11" s="66">
        <f>'Flujo Egresos'!D41</f>
        <v>22555.71</v>
      </c>
      <c r="F11" s="66">
        <f>'Flujo Egresos'!E41</f>
        <v>14133.426000000001</v>
      </c>
      <c r="G11" s="66">
        <f>'Flujo Egresos'!F41</f>
        <v>204676.70933333336</v>
      </c>
      <c r="H11" s="66">
        <f>'Flujo Egresos'!G41</f>
        <v>18705.139000000003</v>
      </c>
      <c r="I11" s="66">
        <f>'Flujo Egresos'!H41</f>
        <v>1248127.7310289389</v>
      </c>
      <c r="J11" s="66">
        <f>'Flujo Egresos'!I41</f>
        <v>49778.339011299438</v>
      </c>
      <c r="K11" s="66">
        <f>'Flujo Egresos'!J41</f>
        <v>9300</v>
      </c>
      <c r="L11" s="66">
        <f>'Flujo Egresos'!K41</f>
        <v>159300</v>
      </c>
      <c r="M11" s="66">
        <f>'Flujo Egresos'!L41</f>
        <v>54807.296520000004</v>
      </c>
      <c r="N11" s="66">
        <f>'Flujo Egresos'!M41</f>
        <v>49788.219733333339</v>
      </c>
      <c r="O11" s="66">
        <f>'Flujo Egresos'!N41</f>
        <v>206432.45573333331</v>
      </c>
      <c r="P11" s="66">
        <f>'Flujo Egresos'!O41</f>
        <v>188761.78906666665</v>
      </c>
      <c r="Q11" s="66">
        <f>'Flujo Egresos'!P41</f>
        <v>144840.236</v>
      </c>
      <c r="R11" s="66">
        <f>'Flujo Egresos'!Q41</f>
        <v>338898.63013333338</v>
      </c>
      <c r="S11" s="66">
        <f>'Flujo Egresos'!R41</f>
        <v>301599.01813333336</v>
      </c>
      <c r="T11" s="66">
        <f>'Flujo Egresos'!S41</f>
        <v>333190.24213333341</v>
      </c>
      <c r="U11" s="66">
        <f>'Flujo Egresos'!T41</f>
        <v>336690.24213333341</v>
      </c>
      <c r="V11" s="66">
        <f>'Flujo Egresos'!U41</f>
        <v>499629.47146666673</v>
      </c>
      <c r="W11" s="66">
        <f>'Flujo Egresos'!V41</f>
        <v>498296.13813333341</v>
      </c>
      <c r="X11" s="66">
        <f>'Flujo Egresos'!W41</f>
        <v>353900.2928</v>
      </c>
      <c r="Y11" s="66">
        <f>'Flujo Egresos'!X41</f>
        <v>287973.62613333331</v>
      </c>
      <c r="Z11" s="66">
        <f>'Flujo Egresos'!Y41</f>
        <v>262536.84479999996</v>
      </c>
      <c r="AA11" s="66">
        <f>'Flujo Egresos'!Z41</f>
        <v>284222.17813333333</v>
      </c>
      <c r="AB11" s="66">
        <f>'Flujo Egresos'!AA41</f>
        <v>29605</v>
      </c>
      <c r="AC11" s="66">
        <f>'Flujo Egresos'!AB41</f>
        <v>609184.32852287753</v>
      </c>
      <c r="AD11" s="66">
        <f>'Flujo Egresos'!AC41</f>
        <v>1000</v>
      </c>
      <c r="AE11" s="66">
        <f>'Flujo Egresos'!AD41</f>
        <v>0</v>
      </c>
      <c r="AF11" s="66">
        <f>'Flujo Egresos'!AE41</f>
        <v>0</v>
      </c>
      <c r="AG11" s="66">
        <f>'Flujo Egresos'!AF41</f>
        <v>0</v>
      </c>
      <c r="AH11" s="66">
        <f>'Flujo Egresos'!AG41</f>
        <v>0</v>
      </c>
      <c r="AI11" s="484">
        <f t="shared" si="0"/>
        <v>6532295.3479497824</v>
      </c>
      <c r="AJ11" s="64"/>
      <c r="AK11" s="10"/>
    </row>
    <row r="12" spans="2:37">
      <c r="B12" s="594" t="s">
        <v>3</v>
      </c>
      <c r="C12" s="65"/>
      <c r="D12" s="66">
        <f>'Flujo Egresos'!C42</f>
        <v>760.01112000000012</v>
      </c>
      <c r="E12" s="66">
        <f>'Flujo Egresos'!D42</f>
        <v>2530.0277999999998</v>
      </c>
      <c r="F12" s="66">
        <f>'Flujo Egresos'!E42</f>
        <v>1374.0166800000002</v>
      </c>
      <c r="G12" s="66">
        <f>'Flujo Egresos'!F42</f>
        <v>1785.01668</v>
      </c>
      <c r="H12" s="66">
        <f>'Flujo Egresos'!G42</f>
        <v>1809.9250200000001</v>
      </c>
      <c r="I12" s="66">
        <f>'Flujo Egresos'!H42</f>
        <v>1038.384</v>
      </c>
      <c r="J12" s="66">
        <f>'Flujo Egresos'!I42</f>
        <v>7286.1010220338958</v>
      </c>
      <c r="K12" s="66">
        <f>'Flujo Egresos'!J42</f>
        <v>0</v>
      </c>
      <c r="L12" s="66">
        <f>'Flujo Egresos'!K42</f>
        <v>0</v>
      </c>
      <c r="M12" s="66">
        <f>'Flujo Egresos'!L42</f>
        <v>1891.3133736000002</v>
      </c>
      <c r="N12" s="66">
        <f>'Flujo Egresos'!M42</f>
        <v>7287.8795520000003</v>
      </c>
      <c r="O12" s="66">
        <f>'Flujo Egresos'!N42</f>
        <v>35483.842031999993</v>
      </c>
      <c r="P12" s="66">
        <f>'Flujo Egresos'!O42</f>
        <v>32303.122031999996</v>
      </c>
      <c r="Q12" s="66">
        <f>'Flujo Egresos'!P42</f>
        <v>24397.242480000001</v>
      </c>
      <c r="R12" s="66">
        <f>'Flujo Egresos'!Q42</f>
        <v>59327.753423999995</v>
      </c>
      <c r="S12" s="66">
        <f>'Flujo Egresos'!R42</f>
        <v>52613.823264000006</v>
      </c>
      <c r="T12" s="66">
        <f>'Flujo Egresos'!S42</f>
        <v>58300.243584000003</v>
      </c>
      <c r="U12" s="66">
        <f>'Flujo Egresos'!T42</f>
        <v>58930.243584000003</v>
      </c>
      <c r="V12" s="66">
        <f>'Flujo Egresos'!U42</f>
        <v>88259.304864000005</v>
      </c>
      <c r="W12" s="66">
        <f>'Flujo Egresos'!V42</f>
        <v>88019.304864000005</v>
      </c>
      <c r="X12" s="66">
        <f>'Flujo Egresos'!W42</f>
        <v>62028.052703999994</v>
      </c>
      <c r="Y12" s="66">
        <f>'Flujo Egresos'!X42</f>
        <v>50161.252703999999</v>
      </c>
      <c r="Z12" s="66">
        <f>'Flujo Egresos'!Y42</f>
        <v>43620.632063999998</v>
      </c>
      <c r="AA12" s="66">
        <f>'Flujo Egresos'!Z42</f>
        <v>48405.992064000005</v>
      </c>
      <c r="AB12" s="66">
        <f>'Flujo Egresos'!AA42</f>
        <v>2934.9</v>
      </c>
      <c r="AC12" s="66">
        <f>'Flujo Egresos'!AB42</f>
        <v>9352.2452212395674</v>
      </c>
      <c r="AD12" s="66">
        <f>'Flujo Egresos'!AC42</f>
        <v>0</v>
      </c>
      <c r="AE12" s="66">
        <f>'Flujo Egresos'!AD42</f>
        <v>0</v>
      </c>
      <c r="AF12" s="66">
        <f>'Flujo Egresos'!AE42</f>
        <v>0</v>
      </c>
      <c r="AG12" s="66">
        <f>'Flujo Egresos'!AF42</f>
        <v>0</v>
      </c>
      <c r="AH12" s="66">
        <f>'Flujo Egresos'!AG42</f>
        <v>0</v>
      </c>
      <c r="AI12" s="595">
        <f t="shared" si="0"/>
        <v>739900.63013287343</v>
      </c>
      <c r="AJ12" s="64"/>
      <c r="AK12" s="10"/>
    </row>
    <row r="13" spans="2:37" ht="13.5" thickBot="1">
      <c r="B13" s="483" t="s">
        <v>459</v>
      </c>
      <c r="C13" s="79"/>
      <c r="D13" s="78">
        <f>'Flujo Egresos'!C43</f>
        <v>25122.295119999999</v>
      </c>
      <c r="E13" s="78">
        <f>'Flujo Egresos'!D43</f>
        <v>25085.737799999999</v>
      </c>
      <c r="F13" s="78">
        <f>'Flujo Egresos'!E43</f>
        <v>15507.442680000002</v>
      </c>
      <c r="G13" s="78">
        <f>'Flujo Egresos'!F43</f>
        <v>206461.72601333336</v>
      </c>
      <c r="H13" s="78">
        <f>'Flujo Egresos'!G43</f>
        <v>20515.064020000002</v>
      </c>
      <c r="I13" s="78">
        <f>'Flujo Egresos'!H43</f>
        <v>1249166.115028939</v>
      </c>
      <c r="J13" s="78">
        <f>'Flujo Egresos'!I43</f>
        <v>57064.440033333332</v>
      </c>
      <c r="K13" s="78">
        <f>'Flujo Egresos'!J43</f>
        <v>9300</v>
      </c>
      <c r="L13" s="78">
        <f>'Flujo Egresos'!K43</f>
        <v>159300</v>
      </c>
      <c r="M13" s="78">
        <f>'Flujo Egresos'!L43</f>
        <v>56698.609893600005</v>
      </c>
      <c r="N13" s="78">
        <f>'Flujo Egresos'!M43</f>
        <v>57076.099285333337</v>
      </c>
      <c r="O13" s="78">
        <f>'Flujo Egresos'!N43</f>
        <v>241916.29776533329</v>
      </c>
      <c r="P13" s="78">
        <f>'Flujo Egresos'!O43</f>
        <v>221064.91109866663</v>
      </c>
      <c r="Q13" s="78">
        <f>'Flujo Egresos'!P43</f>
        <v>169237.47847999999</v>
      </c>
      <c r="R13" s="78">
        <f>'Flujo Egresos'!Q43</f>
        <v>398226.38355733338</v>
      </c>
      <c r="S13" s="78">
        <f>'Flujo Egresos'!R43</f>
        <v>354212.84139733337</v>
      </c>
      <c r="T13" s="78">
        <f>'Flujo Egresos'!S43</f>
        <v>391490.48571733339</v>
      </c>
      <c r="U13" s="78">
        <f>'Flujo Egresos'!T43</f>
        <v>395620.48571733339</v>
      </c>
      <c r="V13" s="78">
        <f>'Flujo Egresos'!U43</f>
        <v>587888.77633066673</v>
      </c>
      <c r="W13" s="78">
        <f>'Flujo Egresos'!V43</f>
        <v>586315.44299733336</v>
      </c>
      <c r="X13" s="78">
        <f>'Flujo Egresos'!W43</f>
        <v>415928.34550399997</v>
      </c>
      <c r="Y13" s="78">
        <f>'Flujo Egresos'!X43</f>
        <v>338134.87883733329</v>
      </c>
      <c r="Z13" s="78">
        <f>'Flujo Egresos'!Y43</f>
        <v>306157.47686399997</v>
      </c>
      <c r="AA13" s="78">
        <f>'Flujo Egresos'!Z43</f>
        <v>332628.17019733333</v>
      </c>
      <c r="AB13" s="78">
        <f>'Flujo Egresos'!AA43</f>
        <v>32539.9</v>
      </c>
      <c r="AC13" s="78">
        <f>'Flujo Egresos'!AB43</f>
        <v>618536.57374411705</v>
      </c>
      <c r="AD13" s="78">
        <f>'Flujo Egresos'!AC43</f>
        <v>1000</v>
      </c>
      <c r="AE13" s="78">
        <f>'Flujo Egresos'!AD43</f>
        <v>0</v>
      </c>
      <c r="AF13" s="78">
        <f>'Flujo Egresos'!AE43</f>
        <v>0</v>
      </c>
      <c r="AG13" s="78">
        <f>'Flujo Egresos'!AF43</f>
        <v>0</v>
      </c>
      <c r="AH13" s="78">
        <f>'Flujo Egresos'!AG43</f>
        <v>0</v>
      </c>
      <c r="AI13" s="598">
        <f t="shared" si="0"/>
        <v>7272195.9780826569</v>
      </c>
      <c r="AJ13" s="64"/>
      <c r="AK13" s="34"/>
    </row>
    <row r="14" spans="2:37" ht="13.5" thickBot="1">
      <c r="B14" s="483" t="s">
        <v>545</v>
      </c>
      <c r="C14" s="79"/>
      <c r="D14" s="78">
        <f>D10-D13</f>
        <v>-25122.295119999999</v>
      </c>
      <c r="E14" s="78">
        <f t="shared" ref="E14:AH14" si="1">E10-E13</f>
        <v>-25085.737799999999</v>
      </c>
      <c r="F14" s="78">
        <f t="shared" si="1"/>
        <v>-15507.442680000002</v>
      </c>
      <c r="G14" s="78">
        <f t="shared" si="1"/>
        <v>-206461.72601333336</v>
      </c>
      <c r="H14" s="78">
        <f t="shared" si="1"/>
        <v>-19425.064020000002</v>
      </c>
      <c r="I14" s="78">
        <f t="shared" si="1"/>
        <v>-1214477.4483622722</v>
      </c>
      <c r="J14" s="78">
        <f t="shared" si="1"/>
        <v>-22375.773366666697</v>
      </c>
      <c r="K14" s="78">
        <f t="shared" si="1"/>
        <v>28680.333333333307</v>
      </c>
      <c r="L14" s="78">
        <f t="shared" si="1"/>
        <v>-121319.66666666669</v>
      </c>
      <c r="M14" s="78">
        <f t="shared" si="1"/>
        <v>-18718.276560266699</v>
      </c>
      <c r="N14" s="78">
        <f t="shared" si="1"/>
        <v>-19095.765952000031</v>
      </c>
      <c r="O14" s="78">
        <f t="shared" si="1"/>
        <v>-203935.96443199998</v>
      </c>
      <c r="P14" s="78">
        <f t="shared" si="1"/>
        <v>-183084.57776533332</v>
      </c>
      <c r="Q14" s="78">
        <f t="shared" si="1"/>
        <v>-131257.14514666668</v>
      </c>
      <c r="R14" s="78">
        <f t="shared" si="1"/>
        <v>-169289.3571073066</v>
      </c>
      <c r="S14" s="78">
        <f t="shared" ref="S14:Y14" si="2">S10-S13</f>
        <v>21227.675725759997</v>
      </c>
      <c r="T14" s="78">
        <f t="shared" si="2"/>
        <v>24582.663714559982</v>
      </c>
      <c r="U14" s="78">
        <f t="shared" si="2"/>
        <v>20452.663714559982</v>
      </c>
      <c r="V14" s="78">
        <f t="shared" si="2"/>
        <v>39900.476536426577</v>
      </c>
      <c r="W14" s="78">
        <f t="shared" si="2"/>
        <v>41473.809869759949</v>
      </c>
      <c r="X14" s="78">
        <f t="shared" si="2"/>
        <v>26782.071095359977</v>
      </c>
      <c r="Y14" s="78">
        <f t="shared" si="2"/>
        <v>17422.625762026641</v>
      </c>
      <c r="Z14" s="78">
        <f t="shared" si="1"/>
        <v>-267877.14353066665</v>
      </c>
      <c r="AA14" s="78">
        <f t="shared" si="1"/>
        <v>-294347.83686400001</v>
      </c>
      <c r="AB14" s="78">
        <f t="shared" si="1"/>
        <v>5740.4333333333052</v>
      </c>
      <c r="AC14" s="78">
        <f t="shared" si="1"/>
        <v>3765662.4902193956</v>
      </c>
      <c r="AD14" s="78">
        <f t="shared" si="1"/>
        <v>-1000</v>
      </c>
      <c r="AE14" s="78">
        <f t="shared" si="1"/>
        <v>91560</v>
      </c>
      <c r="AF14" s="78">
        <f t="shared" si="1"/>
        <v>0</v>
      </c>
      <c r="AG14" s="78">
        <f t="shared" si="1"/>
        <v>0</v>
      </c>
      <c r="AH14" s="78">
        <f t="shared" si="1"/>
        <v>0</v>
      </c>
      <c r="AI14" s="485">
        <f t="shared" si="0"/>
        <v>1145104.0219173357</v>
      </c>
      <c r="AJ14" s="64"/>
      <c r="AK14" s="34"/>
    </row>
    <row r="15" spans="2:37">
      <c r="B15" s="594" t="s">
        <v>520</v>
      </c>
      <c r="C15" s="65"/>
      <c r="D15" s="66"/>
      <c r="E15" s="66"/>
      <c r="F15" s="66"/>
      <c r="G15" s="66"/>
      <c r="H15" s="66"/>
      <c r="I15" s="66"/>
      <c r="J15" s="66"/>
      <c r="K15" s="66"/>
      <c r="L15" s="66"/>
      <c r="M15" s="66"/>
      <c r="N15" s="66"/>
      <c r="O15" s="66"/>
      <c r="P15" s="66"/>
      <c r="Q15" s="66"/>
      <c r="R15" s="66"/>
      <c r="S15" s="66"/>
      <c r="T15" s="66"/>
      <c r="U15" s="66"/>
      <c r="V15" s="66"/>
      <c r="W15" s="66"/>
      <c r="X15" s="66"/>
      <c r="Y15" s="66"/>
      <c r="Z15" s="66"/>
      <c r="AA15" s="66"/>
      <c r="AB15" s="66"/>
      <c r="AC15" s="66"/>
      <c r="AD15" s="66"/>
      <c r="AE15" s="66"/>
      <c r="AF15" s="66"/>
      <c r="AG15" s="66"/>
      <c r="AH15" s="66"/>
      <c r="AI15" s="595"/>
      <c r="AJ15" s="64"/>
      <c r="AK15" s="10"/>
    </row>
    <row r="16" spans="2:37">
      <c r="B16" s="594" t="s">
        <v>519</v>
      </c>
      <c r="C16" s="65"/>
      <c r="D16" s="66">
        <f t="shared" ref="D16:AH16" si="3">D63</f>
        <v>0</v>
      </c>
      <c r="E16" s="66">
        <f t="shared" si="3"/>
        <v>0</v>
      </c>
      <c r="F16" s="66">
        <f t="shared" si="3"/>
        <v>0</v>
      </c>
      <c r="G16" s="66">
        <f t="shared" si="3"/>
        <v>0</v>
      </c>
      <c r="H16" s="66">
        <f t="shared" si="3"/>
        <v>0</v>
      </c>
      <c r="I16" s="66">
        <f t="shared" si="3"/>
        <v>0</v>
      </c>
      <c r="J16" s="66">
        <f t="shared" si="3"/>
        <v>0</v>
      </c>
      <c r="K16" s="66">
        <f t="shared" si="3"/>
        <v>0</v>
      </c>
      <c r="L16" s="66">
        <f t="shared" si="3"/>
        <v>0</v>
      </c>
      <c r="M16" s="66">
        <f t="shared" si="3"/>
        <v>0</v>
      </c>
      <c r="N16" s="66">
        <f t="shared" si="3"/>
        <v>0</v>
      </c>
      <c r="O16" s="66">
        <f t="shared" si="3"/>
        <v>0</v>
      </c>
      <c r="P16" s="66">
        <f t="shared" si="3"/>
        <v>0</v>
      </c>
      <c r="Q16" s="66">
        <f t="shared" si="3"/>
        <v>0</v>
      </c>
      <c r="R16" s="66">
        <f t="shared" si="3"/>
        <v>0</v>
      </c>
      <c r="S16" s="66">
        <f t="shared" si="3"/>
        <v>0</v>
      </c>
      <c r="T16" s="66">
        <f t="shared" si="3"/>
        <v>0</v>
      </c>
      <c r="U16" s="66">
        <f t="shared" si="3"/>
        <v>0</v>
      </c>
      <c r="V16" s="66">
        <f t="shared" si="3"/>
        <v>0</v>
      </c>
      <c r="W16" s="66">
        <f t="shared" si="3"/>
        <v>0</v>
      </c>
      <c r="X16" s="66">
        <f t="shared" si="3"/>
        <v>0</v>
      </c>
      <c r="Y16" s="66">
        <f t="shared" si="3"/>
        <v>0</v>
      </c>
      <c r="Z16" s="66">
        <f t="shared" si="3"/>
        <v>0</v>
      </c>
      <c r="AA16" s="66">
        <f t="shared" si="3"/>
        <v>0</v>
      </c>
      <c r="AB16" s="66">
        <f t="shared" si="3"/>
        <v>0</v>
      </c>
      <c r="AC16" s="66">
        <f t="shared" si="3"/>
        <v>0</v>
      </c>
      <c r="AD16" s="66">
        <f t="shared" si="3"/>
        <v>0</v>
      </c>
      <c r="AE16" s="66">
        <f t="shared" si="3"/>
        <v>0</v>
      </c>
      <c r="AF16" s="66">
        <f t="shared" si="3"/>
        <v>0</v>
      </c>
      <c r="AG16" s="66">
        <f t="shared" si="3"/>
        <v>0</v>
      </c>
      <c r="AH16" s="66">
        <f t="shared" si="3"/>
        <v>0</v>
      </c>
      <c r="AI16" s="595">
        <f>SUM(D16:AH16)</f>
        <v>0</v>
      </c>
      <c r="AJ16" s="64"/>
      <c r="AK16" s="10"/>
    </row>
    <row r="17" spans="2:37" ht="13.5" thickBot="1">
      <c r="B17" s="483" t="s">
        <v>521</v>
      </c>
      <c r="C17" s="79"/>
      <c r="D17" s="78">
        <f>D10*1.5%</f>
        <v>0</v>
      </c>
      <c r="E17" s="78">
        <f t="shared" ref="E17:AF17" si="4">E10*1.5%</f>
        <v>0</v>
      </c>
      <c r="F17" s="78">
        <f t="shared" si="4"/>
        <v>0</v>
      </c>
      <c r="G17" s="78">
        <f t="shared" si="4"/>
        <v>0</v>
      </c>
      <c r="H17" s="78">
        <f t="shared" si="4"/>
        <v>16.349999999999998</v>
      </c>
      <c r="I17" s="78">
        <f t="shared" si="4"/>
        <v>520.32999999999947</v>
      </c>
      <c r="J17" s="78">
        <f t="shared" si="4"/>
        <v>520.32999999999947</v>
      </c>
      <c r="K17" s="78">
        <f t="shared" si="4"/>
        <v>569.70499999999959</v>
      </c>
      <c r="L17" s="78">
        <f t="shared" si="4"/>
        <v>569.70499999999959</v>
      </c>
      <c r="M17" s="78">
        <f t="shared" si="4"/>
        <v>569.70499999999959</v>
      </c>
      <c r="N17" s="78">
        <f t="shared" si="4"/>
        <v>569.70499999999959</v>
      </c>
      <c r="O17" s="78">
        <f t="shared" si="4"/>
        <v>569.70499999999959</v>
      </c>
      <c r="P17" s="78">
        <f t="shared" si="4"/>
        <v>569.70499999999959</v>
      </c>
      <c r="Q17" s="78">
        <f t="shared" si="4"/>
        <v>569.70499999999959</v>
      </c>
      <c r="R17" s="78">
        <f t="shared" si="4"/>
        <v>3434.0553967504015</v>
      </c>
      <c r="S17" s="78">
        <f t="shared" si="4"/>
        <v>5631.6077568464007</v>
      </c>
      <c r="T17" s="78">
        <f t="shared" si="4"/>
        <v>6241.0972414784001</v>
      </c>
      <c r="U17" s="78">
        <f t="shared" si="4"/>
        <v>6241.0972414784001</v>
      </c>
      <c r="V17" s="78">
        <f t="shared" si="4"/>
        <v>9416.8387930064</v>
      </c>
      <c r="W17" s="78">
        <f t="shared" si="4"/>
        <v>9416.8387930064</v>
      </c>
      <c r="X17" s="78">
        <f t="shared" si="4"/>
        <v>6640.656248990399</v>
      </c>
      <c r="Y17" s="78">
        <f t="shared" si="4"/>
        <v>5333.3625689903993</v>
      </c>
      <c r="Z17" s="78">
        <f t="shared" si="4"/>
        <v>574.20499999999959</v>
      </c>
      <c r="AA17" s="78">
        <f t="shared" si="4"/>
        <v>574.20499999999959</v>
      </c>
      <c r="AB17" s="78">
        <f t="shared" si="4"/>
        <v>574.20499999999959</v>
      </c>
      <c r="AC17" s="78">
        <f t="shared" si="4"/>
        <v>65762.985959452693</v>
      </c>
      <c r="AD17" s="78">
        <f t="shared" si="4"/>
        <v>0</v>
      </c>
      <c r="AE17" s="78">
        <f t="shared" si="4"/>
        <v>1373.3999999999999</v>
      </c>
      <c r="AF17" s="78">
        <f t="shared" si="4"/>
        <v>0</v>
      </c>
      <c r="AG17" s="78">
        <f t="shared" ref="AG17:AH17" si="5">AG10*1.5%</f>
        <v>0</v>
      </c>
      <c r="AH17" s="78">
        <f t="shared" si="5"/>
        <v>0</v>
      </c>
      <c r="AI17" s="485">
        <f>SUM(D17:AH17)</f>
        <v>126259.49999999988</v>
      </c>
      <c r="AJ17" s="64"/>
      <c r="AK17" s="34"/>
    </row>
    <row r="18" spans="2:37" ht="13.5" thickBot="1">
      <c r="B18" s="58"/>
      <c r="C18" s="65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6"/>
      <c r="Q18" s="66"/>
      <c r="R18" s="66"/>
      <c r="S18" s="66"/>
      <c r="T18" s="66"/>
      <c r="U18" s="66"/>
      <c r="V18" s="66"/>
      <c r="W18" s="66"/>
      <c r="X18" s="66"/>
      <c r="Y18" s="66"/>
      <c r="Z18" s="66"/>
      <c r="AA18" s="66"/>
      <c r="AB18" s="66"/>
      <c r="AC18" s="66"/>
      <c r="AD18" s="66"/>
      <c r="AE18" s="66"/>
      <c r="AF18" s="66"/>
      <c r="AG18" s="66"/>
      <c r="AH18" s="66"/>
      <c r="AI18" s="66"/>
      <c r="AJ18" s="10"/>
      <c r="AK18" s="10"/>
    </row>
    <row r="19" spans="2:37" s="168" customFormat="1">
      <c r="B19" s="660" t="s">
        <v>549</v>
      </c>
      <c r="C19" s="661"/>
      <c r="D19" s="611">
        <f>+D10-D13-D16-D17</f>
        <v>-25122.295119999999</v>
      </c>
      <c r="E19" s="611">
        <f t="shared" ref="E19:AH19" si="6">+E10-E13-E16-E17</f>
        <v>-25085.737799999999</v>
      </c>
      <c r="F19" s="611">
        <f t="shared" si="6"/>
        <v>-15507.442680000002</v>
      </c>
      <c r="G19" s="611">
        <f t="shared" si="6"/>
        <v>-206461.72601333336</v>
      </c>
      <c r="H19" s="611">
        <f t="shared" si="6"/>
        <v>-19441.41402</v>
      </c>
      <c r="I19" s="611">
        <f>+I10-I13-I16-I17</f>
        <v>-1214997.7783622723</v>
      </c>
      <c r="J19" s="611">
        <f>+J10-J13-J16-J17</f>
        <v>-22896.103366666695</v>
      </c>
      <c r="K19" s="611">
        <f t="shared" si="6"/>
        <v>28110.628333333309</v>
      </c>
      <c r="L19" s="611">
        <f t="shared" si="6"/>
        <v>-121889.37166666669</v>
      </c>
      <c r="M19" s="611">
        <f t="shared" si="6"/>
        <v>-19287.981560266697</v>
      </c>
      <c r="N19" s="611">
        <f t="shared" si="6"/>
        <v>-19665.470952000029</v>
      </c>
      <c r="O19" s="611">
        <f>+O10-O13-O16-O17</f>
        <v>-204505.66943199997</v>
      </c>
      <c r="P19" s="611">
        <f t="shared" si="6"/>
        <v>-183654.28276533331</v>
      </c>
      <c r="Q19" s="611">
        <f t="shared" si="6"/>
        <v>-131826.85014666666</v>
      </c>
      <c r="R19" s="611">
        <f t="shared" si="6"/>
        <v>-172723.41250405699</v>
      </c>
      <c r="S19" s="611">
        <f t="shared" si="6"/>
        <v>15596.067968913596</v>
      </c>
      <c r="T19" s="611">
        <f t="shared" si="6"/>
        <v>18341.566473081581</v>
      </c>
      <c r="U19" s="611">
        <f>+U10-U13-U16-U17</f>
        <v>14211.566473081581</v>
      </c>
      <c r="V19" s="611">
        <f t="shared" si="6"/>
        <v>30483.637743420179</v>
      </c>
      <c r="W19" s="611">
        <f>+W10-W13-W16-W17</f>
        <v>32056.971076753551</v>
      </c>
      <c r="X19" s="611">
        <f t="shared" si="6"/>
        <v>20141.414846369578</v>
      </c>
      <c r="Y19" s="611">
        <f t="shared" si="6"/>
        <v>12089.26319303624</v>
      </c>
      <c r="Z19" s="611">
        <f t="shared" si="6"/>
        <v>-268451.34853066667</v>
      </c>
      <c r="AA19" s="611">
        <f t="shared" si="6"/>
        <v>-294922.04186400003</v>
      </c>
      <c r="AB19" s="611">
        <f t="shared" si="6"/>
        <v>5166.2283333333053</v>
      </c>
      <c r="AC19" s="611">
        <f>+AC10-AC13-AC16-AC17</f>
        <v>3699899.504259943</v>
      </c>
      <c r="AD19" s="611">
        <f t="shared" si="6"/>
        <v>-1000</v>
      </c>
      <c r="AE19" s="611">
        <f t="shared" si="6"/>
        <v>90186.6</v>
      </c>
      <c r="AF19" s="611">
        <f t="shared" si="6"/>
        <v>0</v>
      </c>
      <c r="AG19" s="611">
        <f t="shared" si="6"/>
        <v>0</v>
      </c>
      <c r="AH19" s="611">
        <f t="shared" si="6"/>
        <v>0</v>
      </c>
      <c r="AI19" s="612">
        <f>SUM(D19:AH19)</f>
        <v>1018844.521917337</v>
      </c>
      <c r="AJ19" s="613"/>
    </row>
    <row r="20" spans="2:37" s="168" customFormat="1" ht="13.5" thickBot="1">
      <c r="B20" s="662" t="s">
        <v>550</v>
      </c>
      <c r="C20" s="663"/>
      <c r="D20" s="614">
        <f>D19</f>
        <v>-25122.295119999999</v>
      </c>
      <c r="E20" s="614">
        <f>E19+D20</f>
        <v>-50208.032919999998</v>
      </c>
      <c r="F20" s="614">
        <f t="shared" ref="F20:AH20" si="7">F19+E20</f>
        <v>-65715.475600000005</v>
      </c>
      <c r="G20" s="614">
        <f t="shared" si="7"/>
        <v>-272177.20161333337</v>
      </c>
      <c r="H20" s="614">
        <f t="shared" si="7"/>
        <v>-291618.61563333339</v>
      </c>
      <c r="I20" s="614">
        <f t="shared" si="7"/>
        <v>-1506616.3939956056</v>
      </c>
      <c r="J20" s="614">
        <f t="shared" si="7"/>
        <v>-1529512.4973622723</v>
      </c>
      <c r="K20" s="614">
        <f t="shared" si="7"/>
        <v>-1501401.8690289389</v>
      </c>
      <c r="L20" s="614">
        <f t="shared" si="7"/>
        <v>-1623291.2406956055</v>
      </c>
      <c r="M20" s="614">
        <f t="shared" si="7"/>
        <v>-1642579.2222558723</v>
      </c>
      <c r="N20" s="614">
        <f t="shared" si="7"/>
        <v>-1662244.6932078723</v>
      </c>
      <c r="O20" s="614">
        <f t="shared" si="7"/>
        <v>-1866750.3626398724</v>
      </c>
      <c r="P20" s="614">
        <f t="shared" si="7"/>
        <v>-2050404.6454052057</v>
      </c>
      <c r="Q20" s="614">
        <f t="shared" si="7"/>
        <v>-2182231.4955518725</v>
      </c>
      <c r="R20" s="614">
        <f t="shared" si="7"/>
        <v>-2354954.9080559295</v>
      </c>
      <c r="S20" s="614">
        <f t="shared" si="7"/>
        <v>-2339358.8400870156</v>
      </c>
      <c r="T20" s="614">
        <f t="shared" si="7"/>
        <v>-2321017.2736139339</v>
      </c>
      <c r="U20" s="614">
        <f t="shared" si="7"/>
        <v>-2306805.7071408522</v>
      </c>
      <c r="V20" s="614">
        <f t="shared" si="7"/>
        <v>-2276322.0693974323</v>
      </c>
      <c r="W20" s="614">
        <f t="shared" si="7"/>
        <v>-2244265.0983206788</v>
      </c>
      <c r="X20" s="614">
        <f t="shared" si="7"/>
        <v>-2224123.6834743093</v>
      </c>
      <c r="Y20" s="614">
        <f t="shared" si="7"/>
        <v>-2212034.4202812728</v>
      </c>
      <c r="Z20" s="614">
        <f t="shared" si="7"/>
        <v>-2480485.7688119393</v>
      </c>
      <c r="AA20" s="614">
        <f t="shared" si="7"/>
        <v>-2775407.8106759395</v>
      </c>
      <c r="AB20" s="614">
        <f t="shared" si="7"/>
        <v>-2770241.582342606</v>
      </c>
      <c r="AC20" s="614">
        <f t="shared" si="7"/>
        <v>929657.92191733699</v>
      </c>
      <c r="AD20" s="614">
        <f t="shared" si="7"/>
        <v>928657.92191733699</v>
      </c>
      <c r="AE20" s="614">
        <f t="shared" si="7"/>
        <v>1018844.521917337</v>
      </c>
      <c r="AF20" s="614">
        <f t="shared" si="7"/>
        <v>1018844.521917337</v>
      </c>
      <c r="AG20" s="614">
        <f t="shared" si="7"/>
        <v>1018844.521917337</v>
      </c>
      <c r="AH20" s="614">
        <f t="shared" si="7"/>
        <v>1018844.521917337</v>
      </c>
      <c r="AI20" s="615"/>
      <c r="AJ20" s="613"/>
    </row>
    <row r="21" spans="2:37" ht="13.5" thickBot="1">
      <c r="B21" s="58"/>
      <c r="C21" s="65"/>
      <c r="D21" s="66"/>
      <c r="E21" s="66"/>
      <c r="F21" s="66"/>
      <c r="G21" s="66"/>
      <c r="H21" s="66"/>
      <c r="I21" s="66"/>
      <c r="J21" s="66"/>
      <c r="K21" s="66"/>
      <c r="L21" s="66"/>
      <c r="M21" s="66"/>
      <c r="N21" s="66"/>
      <c r="O21" s="66"/>
      <c r="P21" s="66"/>
      <c r="Q21" s="66"/>
      <c r="R21" s="66"/>
      <c r="S21" s="66"/>
      <c r="T21" s="66"/>
      <c r="U21" s="66"/>
      <c r="V21" s="66"/>
      <c r="W21" s="66"/>
      <c r="X21" s="66"/>
      <c r="Y21" s="66"/>
      <c r="Z21" s="66"/>
      <c r="AA21" s="66"/>
      <c r="AB21" s="66"/>
      <c r="AC21" s="66"/>
      <c r="AD21" s="66"/>
      <c r="AE21" s="66"/>
      <c r="AF21" s="66"/>
      <c r="AG21" s="66"/>
      <c r="AH21" s="66"/>
      <c r="AI21" s="66"/>
      <c r="AJ21" s="64"/>
      <c r="AK21" s="10"/>
    </row>
    <row r="22" spans="2:37" s="168" customFormat="1" ht="13.5" thickBot="1">
      <c r="B22" s="569" t="s">
        <v>522</v>
      </c>
      <c r="C22" s="617"/>
      <c r="D22" s="570"/>
      <c r="E22" s="570"/>
      <c r="F22" s="570"/>
      <c r="G22" s="570"/>
      <c r="H22" s="570"/>
      <c r="I22" s="570"/>
      <c r="J22" s="570"/>
      <c r="K22" s="570"/>
      <c r="L22" s="570"/>
      <c r="M22" s="570"/>
      <c r="N22" s="570"/>
      <c r="O22" s="570"/>
      <c r="P22" s="570"/>
      <c r="Q22" s="570"/>
      <c r="R22" s="570"/>
      <c r="S22" s="570"/>
      <c r="T22" s="570"/>
      <c r="U22" s="570"/>
      <c r="V22" s="570"/>
      <c r="W22" s="570"/>
      <c r="X22" s="570"/>
      <c r="Y22" s="570"/>
      <c r="Z22" s="570"/>
      <c r="AA22" s="570"/>
      <c r="AB22" s="570"/>
      <c r="AC22" s="570"/>
      <c r="AD22" s="570"/>
      <c r="AE22" s="570"/>
      <c r="AF22" s="570"/>
      <c r="AG22" s="570"/>
      <c r="AH22" s="570"/>
      <c r="AI22" s="618"/>
      <c r="AJ22" s="613"/>
    </row>
    <row r="23" spans="2:37">
      <c r="B23" s="565" t="s">
        <v>115</v>
      </c>
      <c r="C23" s="67">
        <f>(1+C33)^(1/12)-1</f>
        <v>4.6996212312411245E-4</v>
      </c>
      <c r="D23" s="659">
        <v>25200</v>
      </c>
      <c r="E23" s="659">
        <v>25100</v>
      </c>
      <c r="F23" s="659">
        <v>15500</v>
      </c>
      <c r="G23" s="659">
        <v>206400</v>
      </c>
      <c r="H23" s="659">
        <v>19500</v>
      </c>
      <c r="I23" s="659">
        <v>455000</v>
      </c>
      <c r="J23" s="659">
        <v>22900</v>
      </c>
      <c r="K23" s="659"/>
      <c r="L23" s="659">
        <v>93700</v>
      </c>
      <c r="M23" s="659">
        <v>19300</v>
      </c>
      <c r="N23" s="659">
        <v>19700</v>
      </c>
      <c r="O23" s="659">
        <v>204500</v>
      </c>
      <c r="P23" s="659">
        <v>183700</v>
      </c>
      <c r="Q23" s="659">
        <v>131800</v>
      </c>
      <c r="R23" s="659">
        <v>172700</v>
      </c>
      <c r="S23" s="66"/>
      <c r="T23" s="66"/>
      <c r="U23" s="66"/>
      <c r="V23" s="66"/>
      <c r="W23" s="66"/>
      <c r="X23" s="66"/>
      <c r="Y23" s="66"/>
      <c r="Z23" s="66"/>
      <c r="AA23" s="66"/>
      <c r="AB23" s="66"/>
      <c r="AC23" s="66"/>
      <c r="AD23" s="66"/>
      <c r="AE23" s="66"/>
      <c r="AF23" s="66"/>
      <c r="AG23" s="66"/>
      <c r="AH23" s="66"/>
      <c r="AI23" s="411">
        <f>SUM(D23:AH23)</f>
        <v>1595000</v>
      </c>
      <c r="AJ23" s="64"/>
      <c r="AK23" s="10"/>
    </row>
    <row r="24" spans="2:37" s="655" customFormat="1" hidden="1">
      <c r="B24" s="979"/>
      <c r="C24" s="980"/>
      <c r="D24" s="981"/>
      <c r="E24" s="981"/>
      <c r="F24" s="981"/>
      <c r="G24" s="981"/>
      <c r="H24" s="981"/>
      <c r="I24" s="981"/>
      <c r="J24" s="981"/>
      <c r="K24" s="981"/>
      <c r="L24" s="981"/>
      <c r="M24" s="981"/>
      <c r="N24" s="981"/>
      <c r="O24" s="981"/>
      <c r="P24" s="981"/>
      <c r="Q24" s="981"/>
      <c r="R24" s="981"/>
      <c r="S24" s="981"/>
      <c r="T24" s="981"/>
      <c r="U24" s="981"/>
      <c r="V24" s="981"/>
      <c r="W24" s="981"/>
      <c r="X24" s="981"/>
      <c r="Y24" s="981"/>
      <c r="Z24" s="981"/>
      <c r="AA24" s="981"/>
      <c r="AB24" s="981"/>
      <c r="AC24" s="981"/>
      <c r="AD24" s="981"/>
      <c r="AE24" s="981"/>
      <c r="AF24" s="981"/>
      <c r="AG24" s="981"/>
      <c r="AH24" s="981"/>
      <c r="AI24" s="982">
        <f>SUM(D24:AH24)</f>
        <v>0</v>
      </c>
      <c r="AJ24" s="983"/>
    </row>
    <row r="25" spans="2:37" ht="13.5" thickBot="1">
      <c r="B25" s="664" t="s">
        <v>523</v>
      </c>
      <c r="C25" s="566">
        <f>(1+C23)^(1/12)-1</f>
        <v>3.9155076999364269E-5</v>
      </c>
      <c r="D25" s="567"/>
      <c r="E25" s="567"/>
      <c r="F25" s="567"/>
      <c r="G25" s="567"/>
      <c r="H25" s="568"/>
      <c r="I25" s="567"/>
      <c r="J25" s="567"/>
      <c r="K25" s="567"/>
      <c r="L25" s="567"/>
      <c r="M25" s="567"/>
      <c r="N25" s="567"/>
      <c r="O25" s="567"/>
      <c r="P25" s="567"/>
      <c r="Q25" s="567"/>
      <c r="R25" s="567"/>
      <c r="S25" s="567"/>
      <c r="T25" s="567"/>
      <c r="U25" s="567"/>
      <c r="V25" s="567"/>
      <c r="W25" s="567"/>
      <c r="X25" s="567"/>
      <c r="Y25" s="567"/>
      <c r="Z25" s="567"/>
      <c r="AA25" s="567"/>
      <c r="AB25" s="567"/>
      <c r="AC25" s="567">
        <f>AI24</f>
        <v>0</v>
      </c>
      <c r="AD25" s="567"/>
      <c r="AE25" s="567">
        <f>AI23</f>
        <v>1595000</v>
      </c>
      <c r="AF25" s="567"/>
      <c r="AG25" s="593"/>
      <c r="AH25" s="593"/>
      <c r="AI25" s="411">
        <f>SUM(D25:AH25)</f>
        <v>1595000</v>
      </c>
      <c r="AJ25" s="64"/>
      <c r="AK25" s="10"/>
    </row>
    <row r="26" spans="2:37">
      <c r="B26" s="660" t="s">
        <v>546</v>
      </c>
      <c r="C26" s="665"/>
      <c r="D26" s="76">
        <f t="shared" ref="D26:AH26" si="8">D19+D23+D24-D25</f>
        <v>77.70488000000114</v>
      </c>
      <c r="E26" s="76">
        <f t="shared" si="8"/>
        <v>14.26220000000103</v>
      </c>
      <c r="F26" s="76">
        <f t="shared" si="8"/>
        <v>-7.4426800000019284</v>
      </c>
      <c r="G26" s="76">
        <f t="shared" si="8"/>
        <v>-61.726013333362062</v>
      </c>
      <c r="H26" s="76">
        <f t="shared" si="8"/>
        <v>58.585979999999836</v>
      </c>
      <c r="I26" s="76">
        <f t="shared" si="8"/>
        <v>-759997.77836227231</v>
      </c>
      <c r="J26" s="76">
        <f t="shared" si="8"/>
        <v>3.896633333304635</v>
      </c>
      <c r="K26" s="76">
        <f t="shared" si="8"/>
        <v>28110.628333333309</v>
      </c>
      <c r="L26" s="76">
        <f t="shared" si="8"/>
        <v>-28189.371666666688</v>
      </c>
      <c r="M26" s="76">
        <f t="shared" si="8"/>
        <v>12.018439733303239</v>
      </c>
      <c r="N26" s="76">
        <f t="shared" si="8"/>
        <v>34.529047999971226</v>
      </c>
      <c r="O26" s="76">
        <f t="shared" si="8"/>
        <v>-5.6694319999660365</v>
      </c>
      <c r="P26" s="76">
        <f t="shared" si="8"/>
        <v>45.717234666692093</v>
      </c>
      <c r="Q26" s="76">
        <f t="shared" si="8"/>
        <v>-26.850146666663932</v>
      </c>
      <c r="R26" s="76">
        <f t="shared" si="8"/>
        <v>-23.412504056992475</v>
      </c>
      <c r="S26" s="76">
        <f t="shared" si="8"/>
        <v>15596.067968913596</v>
      </c>
      <c r="T26" s="76">
        <f t="shared" si="8"/>
        <v>18341.566473081581</v>
      </c>
      <c r="U26" s="76">
        <f t="shared" si="8"/>
        <v>14211.566473081581</v>
      </c>
      <c r="V26" s="76">
        <f t="shared" si="8"/>
        <v>30483.637743420179</v>
      </c>
      <c r="W26" s="76">
        <f t="shared" si="8"/>
        <v>32056.971076753551</v>
      </c>
      <c r="X26" s="76">
        <f t="shared" si="8"/>
        <v>20141.414846369578</v>
      </c>
      <c r="Y26" s="76">
        <f t="shared" si="8"/>
        <v>12089.26319303624</v>
      </c>
      <c r="Z26" s="76">
        <f t="shared" si="8"/>
        <v>-268451.34853066667</v>
      </c>
      <c r="AA26" s="76">
        <f t="shared" si="8"/>
        <v>-294922.04186400003</v>
      </c>
      <c r="AB26" s="76">
        <f t="shared" si="8"/>
        <v>5166.2283333333053</v>
      </c>
      <c r="AC26" s="76">
        <f t="shared" si="8"/>
        <v>3699899.504259943</v>
      </c>
      <c r="AD26" s="76">
        <f t="shared" si="8"/>
        <v>-1000</v>
      </c>
      <c r="AE26" s="76">
        <f t="shared" si="8"/>
        <v>-1504813.4</v>
      </c>
      <c r="AF26" s="76">
        <f t="shared" si="8"/>
        <v>0</v>
      </c>
      <c r="AG26" s="76">
        <f t="shared" si="8"/>
        <v>0</v>
      </c>
      <c r="AH26" s="76">
        <f t="shared" si="8"/>
        <v>0</v>
      </c>
      <c r="AI26" s="619"/>
      <c r="AJ26" s="64"/>
      <c r="AK26" s="10"/>
    </row>
    <row r="27" spans="2:37" ht="13.5" thickBot="1">
      <c r="B27" s="666" t="s">
        <v>547</v>
      </c>
      <c r="C27" s="667"/>
      <c r="D27" s="593">
        <f>D26</f>
        <v>77.70488000000114</v>
      </c>
      <c r="E27" s="593">
        <f>E26+D27</f>
        <v>91.96708000000217</v>
      </c>
      <c r="F27" s="593">
        <f t="shared" ref="F27:K27" si="9">F26+E27</f>
        <v>84.524400000000242</v>
      </c>
      <c r="G27" s="593">
        <f t="shared" si="9"/>
        <v>22.79838666663818</v>
      </c>
      <c r="H27" s="593">
        <f t="shared" si="9"/>
        <v>81.384366666638016</v>
      </c>
      <c r="I27" s="593">
        <f t="shared" si="9"/>
        <v>-759916.39399560564</v>
      </c>
      <c r="J27" s="593">
        <f t="shared" si="9"/>
        <v>-759912.49736227235</v>
      </c>
      <c r="K27" s="593">
        <f t="shared" si="9"/>
        <v>-731801.86902893905</v>
      </c>
      <c r="L27" s="593">
        <f t="shared" ref="L27" si="10">L26+K27</f>
        <v>-759991.24069560575</v>
      </c>
      <c r="M27" s="593">
        <f t="shared" ref="M27" si="11">M26+L27</f>
        <v>-759979.22225587245</v>
      </c>
      <c r="N27" s="593">
        <f t="shared" ref="N27" si="12">N26+M27</f>
        <v>-759944.69320787245</v>
      </c>
      <c r="O27" s="593">
        <f t="shared" ref="O27" si="13">O26+N27</f>
        <v>-759950.36263987236</v>
      </c>
      <c r="P27" s="593">
        <f t="shared" ref="P27" si="14">P26+O27</f>
        <v>-759904.64540520567</v>
      </c>
      <c r="Q27" s="593">
        <f t="shared" ref="Q27" si="15">Q26+P27</f>
        <v>-759931.4955518723</v>
      </c>
      <c r="R27" s="593">
        <f t="shared" ref="R27" si="16">R26+Q27</f>
        <v>-759954.90805592923</v>
      </c>
      <c r="S27" s="593">
        <f t="shared" ref="S27" si="17">S26+R27</f>
        <v>-744358.84008701565</v>
      </c>
      <c r="T27" s="593">
        <f t="shared" ref="T27" si="18">T26+S27</f>
        <v>-726017.27361393406</v>
      </c>
      <c r="U27" s="593">
        <f t="shared" ref="U27" si="19">U26+T27</f>
        <v>-711805.70714085246</v>
      </c>
      <c r="V27" s="593">
        <f t="shared" ref="V27" si="20">V26+U27</f>
        <v>-681322.06939743226</v>
      </c>
      <c r="W27" s="593">
        <f t="shared" ref="W27" si="21">W26+V27</f>
        <v>-649265.09832067869</v>
      </c>
      <c r="X27" s="593">
        <f t="shared" ref="X27" si="22">X26+W27</f>
        <v>-629123.68347430916</v>
      </c>
      <c r="Y27" s="593">
        <f t="shared" ref="Y27" si="23">Y26+X27</f>
        <v>-617034.42028127296</v>
      </c>
      <c r="Z27" s="593">
        <f t="shared" ref="Z27" si="24">Z26+Y27</f>
        <v>-885485.76881193963</v>
      </c>
      <c r="AA27" s="593">
        <f t="shared" ref="AA27" si="25">AA26+Z27</f>
        <v>-1180407.8106759395</v>
      </c>
      <c r="AB27" s="593">
        <f t="shared" ref="AB27" si="26">AB26+AA27</f>
        <v>-1175241.5823426063</v>
      </c>
      <c r="AC27" s="593">
        <f t="shared" ref="AC27" si="27">AC26+AB27</f>
        <v>2524657.921917337</v>
      </c>
      <c r="AD27" s="593">
        <f t="shared" ref="AD27" si="28">AD26+AC27</f>
        <v>2523657.921917337</v>
      </c>
      <c r="AE27" s="593">
        <f t="shared" ref="AE27" si="29">AE26+AD27</f>
        <v>1018844.5219173371</v>
      </c>
      <c r="AF27" s="593">
        <f t="shared" ref="AF27" si="30">AF26+AE27</f>
        <v>1018844.5219173371</v>
      </c>
      <c r="AG27" s="593">
        <f t="shared" ref="AG27" si="31">AG26+AF27</f>
        <v>1018844.5219173371</v>
      </c>
      <c r="AH27" s="593">
        <f t="shared" ref="AH27" si="32">AH26+AG27</f>
        <v>1018844.5219173371</v>
      </c>
      <c r="AI27" s="620"/>
      <c r="AJ27" s="64"/>
      <c r="AK27" s="10"/>
    </row>
    <row r="28" spans="2:37" ht="13.5" thickBot="1">
      <c r="B28" s="607"/>
      <c r="C28" s="65"/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66"/>
      <c r="Y28" s="66"/>
      <c r="Z28" s="66"/>
      <c r="AA28" s="66"/>
      <c r="AB28" s="66"/>
      <c r="AC28" s="66"/>
      <c r="AD28" s="66"/>
      <c r="AE28" s="66"/>
      <c r="AF28" s="66"/>
      <c r="AG28" s="66"/>
      <c r="AH28" s="66"/>
      <c r="AI28" s="66"/>
      <c r="AJ28" s="64"/>
      <c r="AK28" s="10"/>
    </row>
    <row r="29" spans="2:37">
      <c r="B29" s="488" t="s">
        <v>497</v>
      </c>
      <c r="C29" s="75"/>
      <c r="D29" s="76"/>
      <c r="E29" s="76"/>
      <c r="F29" s="76"/>
      <c r="G29" s="76"/>
      <c r="H29" s="76"/>
      <c r="I29" s="76">
        <v>750000</v>
      </c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7">
        <f>SUM(D29:AH29)</f>
        <v>750000</v>
      </c>
    </row>
    <row r="30" spans="2:37">
      <c r="B30" s="565" t="s">
        <v>498</v>
      </c>
      <c r="C30" s="65"/>
      <c r="D30" s="66">
        <f>+D29</f>
        <v>0</v>
      </c>
      <c r="E30" s="66">
        <f>+D30+E29</f>
        <v>0</v>
      </c>
      <c r="F30" s="66">
        <f t="shared" ref="F30:H30" si="33">+E30+F29</f>
        <v>0</v>
      </c>
      <c r="G30" s="66">
        <f t="shared" si="33"/>
        <v>0</v>
      </c>
      <c r="H30" s="66">
        <f t="shared" si="33"/>
        <v>0</v>
      </c>
      <c r="I30" s="66">
        <f>+H30+I29</f>
        <v>750000</v>
      </c>
      <c r="J30" s="66">
        <f>+I30+J29-I31</f>
        <v>750000</v>
      </c>
      <c r="K30" s="66">
        <f t="shared" ref="K30:AH30" si="34">+J30+K29-J31</f>
        <v>750000</v>
      </c>
      <c r="L30" s="66">
        <f t="shared" si="34"/>
        <v>750000</v>
      </c>
      <c r="M30" s="66">
        <f t="shared" si="34"/>
        <v>750000</v>
      </c>
      <c r="N30" s="66">
        <f t="shared" si="34"/>
        <v>750000</v>
      </c>
      <c r="O30" s="66">
        <f t="shared" si="34"/>
        <v>750000</v>
      </c>
      <c r="P30" s="66">
        <f t="shared" si="34"/>
        <v>750000</v>
      </c>
      <c r="Q30" s="66">
        <f t="shared" si="34"/>
        <v>750000</v>
      </c>
      <c r="R30" s="66">
        <f t="shared" si="34"/>
        <v>750000</v>
      </c>
      <c r="S30" s="66">
        <f t="shared" si="34"/>
        <v>750000</v>
      </c>
      <c r="T30" s="66">
        <f t="shared" si="34"/>
        <v>750000</v>
      </c>
      <c r="U30" s="66">
        <f t="shared" si="34"/>
        <v>750000</v>
      </c>
      <c r="V30" s="66">
        <f t="shared" si="34"/>
        <v>750000</v>
      </c>
      <c r="W30" s="66">
        <f>+V30+W29-V31</f>
        <v>750000</v>
      </c>
      <c r="X30" s="66">
        <f>+W30+X29-W31</f>
        <v>750000</v>
      </c>
      <c r="Y30" s="66">
        <f t="shared" si="34"/>
        <v>750000</v>
      </c>
      <c r="Z30" s="66">
        <f t="shared" si="34"/>
        <v>750000</v>
      </c>
      <c r="AA30" s="66">
        <f t="shared" si="34"/>
        <v>750000</v>
      </c>
      <c r="AB30" s="66">
        <f t="shared" si="34"/>
        <v>750000</v>
      </c>
      <c r="AC30" s="66">
        <f t="shared" si="34"/>
        <v>750000</v>
      </c>
      <c r="AD30" s="66">
        <f t="shared" si="34"/>
        <v>0</v>
      </c>
      <c r="AE30" s="66">
        <f t="shared" si="34"/>
        <v>0</v>
      </c>
      <c r="AF30" s="66">
        <f t="shared" si="34"/>
        <v>0</v>
      </c>
      <c r="AG30" s="66">
        <f t="shared" si="34"/>
        <v>0</v>
      </c>
      <c r="AH30" s="66">
        <f t="shared" si="34"/>
        <v>0</v>
      </c>
      <c r="AI30" s="411"/>
    </row>
    <row r="31" spans="2:37">
      <c r="B31" s="565" t="s">
        <v>527</v>
      </c>
      <c r="C31" s="65"/>
      <c r="D31" s="66"/>
      <c r="E31" s="66"/>
      <c r="F31" s="66"/>
      <c r="G31" s="66"/>
      <c r="H31" s="66"/>
      <c r="I31" s="66"/>
      <c r="J31" s="66"/>
      <c r="K31" s="66"/>
      <c r="L31" s="66"/>
      <c r="M31" s="66"/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66"/>
      <c r="Y31" s="66"/>
      <c r="Z31" s="66"/>
      <c r="AA31" s="66"/>
      <c r="AB31" s="66"/>
      <c r="AC31" s="66">
        <f>AC30</f>
        <v>750000</v>
      </c>
      <c r="AD31" s="66"/>
      <c r="AE31" s="66"/>
      <c r="AF31" s="66"/>
      <c r="AG31" s="66"/>
      <c r="AH31" s="66"/>
      <c r="AI31" s="411">
        <f>SUM(D31:AH31)</f>
        <v>750000</v>
      </c>
    </row>
    <row r="32" spans="2:37">
      <c r="B32" s="565" t="s">
        <v>37</v>
      </c>
      <c r="C32" s="166">
        <v>7.0000000000000007E-2</v>
      </c>
      <c r="D32" s="66"/>
      <c r="E32" s="66">
        <f t="shared" ref="E32:H32" si="35">D30*$C$33</f>
        <v>0</v>
      </c>
      <c r="F32" s="66">
        <f t="shared" si="35"/>
        <v>0</v>
      </c>
      <c r="G32" s="66">
        <f t="shared" si="35"/>
        <v>0</v>
      </c>
      <c r="H32" s="66">
        <f t="shared" si="35"/>
        <v>0</v>
      </c>
      <c r="I32" s="66">
        <f t="shared" ref="I32" si="36">H30*$C$33</f>
        <v>0</v>
      </c>
      <c r="J32" s="66">
        <f t="shared" ref="J32" si="37">I30*$C$33</f>
        <v>4240.6090405539553</v>
      </c>
      <c r="K32" s="66">
        <f t="shared" ref="K32" si="38">J30*$C$33</f>
        <v>4240.6090405539553</v>
      </c>
      <c r="L32" s="66">
        <f t="shared" ref="L32" si="39">K30*$C$33</f>
        <v>4240.6090405539553</v>
      </c>
      <c r="M32" s="66">
        <f t="shared" ref="M32" si="40">L30*$C$33</f>
        <v>4240.6090405539553</v>
      </c>
      <c r="N32" s="66">
        <f t="shared" ref="N32" si="41">M30*$C$33</f>
        <v>4240.6090405539553</v>
      </c>
      <c r="O32" s="66">
        <f t="shared" ref="O32" si="42">N30*$C$33</f>
        <v>4240.6090405539553</v>
      </c>
      <c r="P32" s="66">
        <f t="shared" ref="P32" si="43">O30*$C$33</f>
        <v>4240.6090405539553</v>
      </c>
      <c r="Q32" s="66">
        <f t="shared" ref="Q32" si="44">P30*$C$33</f>
        <v>4240.6090405539553</v>
      </c>
      <c r="R32" s="66">
        <f t="shared" ref="R32" si="45">Q30*$C$33</f>
        <v>4240.6090405539553</v>
      </c>
      <c r="S32" s="66">
        <f t="shared" ref="S32" si="46">R30*$C$33</f>
        <v>4240.6090405539553</v>
      </c>
      <c r="T32" s="66">
        <f t="shared" ref="T32" si="47">S30*$C$33</f>
        <v>4240.6090405539553</v>
      </c>
      <c r="U32" s="66">
        <f t="shared" ref="U32" si="48">T30*$C$33</f>
        <v>4240.6090405539553</v>
      </c>
      <c r="V32" s="66">
        <f t="shared" ref="V32" si="49">U30*$C$33</f>
        <v>4240.6090405539553</v>
      </c>
      <c r="W32" s="66">
        <f t="shared" ref="W32" si="50">V30*$C$33</f>
        <v>4240.6090405539553</v>
      </c>
      <c r="X32" s="66">
        <f t="shared" ref="X32" si="51">W30*$C$33</f>
        <v>4240.6090405539553</v>
      </c>
      <c r="Y32" s="66">
        <f t="shared" ref="Y32" si="52">X30*$C$33</f>
        <v>4240.6090405539553</v>
      </c>
      <c r="Z32" s="66">
        <f t="shared" ref="Z32" si="53">Y30*$C$33</f>
        <v>4240.6090405539553</v>
      </c>
      <c r="AA32" s="66">
        <f t="shared" ref="AA32" si="54">Z30*$C$33</f>
        <v>4240.6090405539553</v>
      </c>
      <c r="AB32" s="66">
        <f t="shared" ref="AB32" si="55">AA30*$C$33</f>
        <v>4240.6090405539553</v>
      </c>
      <c r="AC32" s="66">
        <f t="shared" ref="AC32" si="56">AB30*$C$33</f>
        <v>4240.6090405539553</v>
      </c>
      <c r="AD32" s="66"/>
      <c r="AE32" s="66"/>
      <c r="AF32" s="66"/>
      <c r="AG32" s="66"/>
      <c r="AH32" s="66"/>
      <c r="AI32" s="411">
        <f>SUM(D32:AH32)</f>
        <v>84812.180811079132</v>
      </c>
    </row>
    <row r="33" spans="2:37">
      <c r="B33" s="565"/>
      <c r="C33" s="573">
        <f>(1+C32)^(1/12)-1</f>
        <v>5.6541453874052738E-3</v>
      </c>
      <c r="D33" s="66"/>
      <c r="E33" s="66"/>
      <c r="F33" s="66"/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6"/>
      <c r="AA33" s="66"/>
      <c r="AB33" s="66"/>
      <c r="AC33" s="66">
        <f>SUM(D32:AC32)</f>
        <v>84812.180811079132</v>
      </c>
      <c r="AD33" s="66"/>
      <c r="AE33" s="66"/>
      <c r="AF33" s="66"/>
      <c r="AG33" s="66"/>
      <c r="AH33" s="66"/>
      <c r="AI33" s="411">
        <f>SUM(D33:AD33)</f>
        <v>84812.180811079132</v>
      </c>
    </row>
    <row r="34" spans="2:37" ht="13.5" thickBot="1">
      <c r="B34" s="609" t="s">
        <v>526</v>
      </c>
      <c r="C34" s="610"/>
      <c r="D34" s="593"/>
      <c r="E34" s="593"/>
      <c r="F34" s="593"/>
      <c r="G34" s="593"/>
      <c r="H34" s="593"/>
      <c r="I34" s="593">
        <f>I33*28%</f>
        <v>0</v>
      </c>
      <c r="J34" s="593">
        <f t="shared" ref="J34:T34" si="57">J33*28%</f>
        <v>0</v>
      </c>
      <c r="K34" s="593">
        <f t="shared" si="57"/>
        <v>0</v>
      </c>
      <c r="L34" s="593">
        <f t="shared" si="57"/>
        <v>0</v>
      </c>
      <c r="M34" s="593">
        <f t="shared" si="57"/>
        <v>0</v>
      </c>
      <c r="N34" s="593">
        <f t="shared" si="57"/>
        <v>0</v>
      </c>
      <c r="O34" s="593">
        <f t="shared" si="57"/>
        <v>0</v>
      </c>
      <c r="P34" s="593">
        <f t="shared" si="57"/>
        <v>0</v>
      </c>
      <c r="Q34" s="593">
        <f t="shared" si="57"/>
        <v>0</v>
      </c>
      <c r="R34" s="593">
        <f t="shared" si="57"/>
        <v>0</v>
      </c>
      <c r="S34" s="593">
        <f t="shared" si="57"/>
        <v>0</v>
      </c>
      <c r="T34" s="593">
        <f t="shared" si="57"/>
        <v>0</v>
      </c>
      <c r="U34" s="593">
        <f>U33*28%</f>
        <v>0</v>
      </c>
      <c r="V34" s="593">
        <f t="shared" ref="V34:AI34" si="58">V33*28%</f>
        <v>0</v>
      </c>
      <c r="W34" s="593">
        <f t="shared" si="58"/>
        <v>0</v>
      </c>
      <c r="X34" s="593">
        <f t="shared" si="58"/>
        <v>0</v>
      </c>
      <c r="Y34" s="593">
        <f t="shared" si="58"/>
        <v>0</v>
      </c>
      <c r="Z34" s="593">
        <f t="shared" si="58"/>
        <v>0</v>
      </c>
      <c r="AA34" s="593">
        <f t="shared" si="58"/>
        <v>0</v>
      </c>
      <c r="AB34" s="593">
        <f t="shared" si="58"/>
        <v>0</v>
      </c>
      <c r="AC34" s="593">
        <f t="shared" si="58"/>
        <v>23747.410627102159</v>
      </c>
      <c r="AD34" s="593">
        <f t="shared" si="58"/>
        <v>0</v>
      </c>
      <c r="AE34" s="593">
        <f t="shared" si="58"/>
        <v>0</v>
      </c>
      <c r="AF34" s="593">
        <f t="shared" si="58"/>
        <v>0</v>
      </c>
      <c r="AG34" s="593">
        <f t="shared" si="58"/>
        <v>0</v>
      </c>
      <c r="AH34" s="593">
        <f t="shared" si="58"/>
        <v>0</v>
      </c>
      <c r="AI34" s="996">
        <f t="shared" si="58"/>
        <v>23747.410627102159</v>
      </c>
    </row>
    <row r="35" spans="2:37" s="168" customFormat="1" ht="13.5" thickBot="1">
      <c r="B35" s="668" t="s">
        <v>529</v>
      </c>
      <c r="C35" s="669"/>
      <c r="D35" s="570">
        <f>D29-D31-D33+D34</f>
        <v>0</v>
      </c>
      <c r="E35" s="570">
        <f t="shared" ref="E35:G35" si="59">E29-E31-E33+E34</f>
        <v>0</v>
      </c>
      <c r="F35" s="570">
        <f t="shared" si="59"/>
        <v>0</v>
      </c>
      <c r="G35" s="570">
        <f t="shared" si="59"/>
        <v>0</v>
      </c>
      <c r="H35" s="570">
        <f t="shared" ref="H35" si="60">H29-H31-H33+H34</f>
        <v>0</v>
      </c>
      <c r="I35" s="570">
        <f t="shared" ref="I35" si="61">I29-I31-I33+I34</f>
        <v>750000</v>
      </c>
      <c r="J35" s="570">
        <f t="shared" ref="J35" si="62">J29-J31-J33+J34</f>
        <v>0</v>
      </c>
      <c r="K35" s="570">
        <f t="shared" ref="K35" si="63">K29-K31-K33+K34</f>
        <v>0</v>
      </c>
      <c r="L35" s="570">
        <f t="shared" ref="L35" si="64">L29-L31-L33+L34</f>
        <v>0</v>
      </c>
      <c r="M35" s="570">
        <f t="shared" ref="M35" si="65">M29-M31-M33+M34</f>
        <v>0</v>
      </c>
      <c r="N35" s="570">
        <f t="shared" ref="N35" si="66">N29-N31-N33+N34</f>
        <v>0</v>
      </c>
      <c r="O35" s="570">
        <f t="shared" ref="O35" si="67">O29-O31-O33+O34</f>
        <v>0</v>
      </c>
      <c r="P35" s="570">
        <f t="shared" ref="P35" si="68">P29-P31-P33+P34</f>
        <v>0</v>
      </c>
      <c r="Q35" s="570">
        <f t="shared" ref="Q35" si="69">Q29-Q31-Q33+Q34</f>
        <v>0</v>
      </c>
      <c r="R35" s="570">
        <f t="shared" ref="R35" si="70">R29-R31-R33+R34</f>
        <v>0</v>
      </c>
      <c r="S35" s="570">
        <f t="shared" ref="S35" si="71">S29-S31-S33+S34</f>
        <v>0</v>
      </c>
      <c r="T35" s="570">
        <f t="shared" ref="T35" si="72">T29-T31-T33+T34</f>
        <v>0</v>
      </c>
      <c r="U35" s="570">
        <f t="shared" ref="U35" si="73">U29-U31-U33+U34</f>
        <v>0</v>
      </c>
      <c r="V35" s="570">
        <f t="shared" ref="V35" si="74">V29-V31-V33+V34</f>
        <v>0</v>
      </c>
      <c r="W35" s="570">
        <f>W29-W31-W33+W34</f>
        <v>0</v>
      </c>
      <c r="X35" s="570">
        <f>X29-X31-X33+X34</f>
        <v>0</v>
      </c>
      <c r="Y35" s="570">
        <f t="shared" ref="Y35" si="75">Y29-Y31-Y33+Y34</f>
        <v>0</v>
      </c>
      <c r="Z35" s="570">
        <f t="shared" ref="Z35" si="76">Z29-Z31-Z33+Z34</f>
        <v>0</v>
      </c>
      <c r="AA35" s="570">
        <f t="shared" ref="AA35" si="77">AA29-AA31-AA33+AA34</f>
        <v>0</v>
      </c>
      <c r="AB35" s="570">
        <f t="shared" ref="AB35" si="78">AB29-AB31-AB33+AB34</f>
        <v>0</v>
      </c>
      <c r="AC35" s="570">
        <f>AC29-AC31-AC33+AC34</f>
        <v>-811064.77018397697</v>
      </c>
      <c r="AD35" s="570">
        <f t="shared" ref="AD35" si="79">AD29-AD31-AD33+AD34</f>
        <v>0</v>
      </c>
      <c r="AE35" s="570">
        <f t="shared" ref="AE35" si="80">AE29-AE31-AE33+AE34</f>
        <v>0</v>
      </c>
      <c r="AF35" s="570">
        <f t="shared" ref="AF35" si="81">AF29-AF31-AF33+AF34</f>
        <v>0</v>
      </c>
      <c r="AG35" s="570">
        <f t="shared" ref="AG35" si="82">AG29-AG31-AG33+AG34</f>
        <v>0</v>
      </c>
      <c r="AH35" s="570">
        <f t="shared" ref="AH35" si="83">AH29-AH31-AH33+AH34</f>
        <v>0</v>
      </c>
      <c r="AI35" s="618">
        <f>SUM(D35:AH35)</f>
        <v>-61064.770183976972</v>
      </c>
      <c r="AJ35" s="613"/>
    </row>
    <row r="36" spans="2:37" ht="13.5" thickBot="1">
      <c r="B36" s="58"/>
      <c r="C36" s="65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  <c r="Z36" s="66"/>
      <c r="AA36" s="66"/>
      <c r="AB36" s="66"/>
      <c r="AC36" s="66"/>
      <c r="AD36" s="66"/>
      <c r="AE36" s="66"/>
      <c r="AF36" s="66"/>
      <c r="AG36" s="66"/>
      <c r="AH36" s="66"/>
      <c r="AI36" s="66"/>
      <c r="AJ36" s="64"/>
      <c r="AK36" s="10"/>
    </row>
    <row r="37" spans="2:37">
      <c r="B37" s="660" t="s">
        <v>530</v>
      </c>
      <c r="C37" s="665"/>
      <c r="D37" s="76">
        <f>D26+D35</f>
        <v>77.70488000000114</v>
      </c>
      <c r="E37" s="76">
        <f>E26+E35</f>
        <v>14.26220000000103</v>
      </c>
      <c r="F37" s="76">
        <f t="shared" ref="F37:AH37" si="84">F26+F35</f>
        <v>-7.4426800000019284</v>
      </c>
      <c r="G37" s="76">
        <f t="shared" si="84"/>
        <v>-61.726013333362062</v>
      </c>
      <c r="H37" s="76">
        <f t="shared" si="84"/>
        <v>58.585979999999836</v>
      </c>
      <c r="I37" s="76">
        <f>I26+I35</f>
        <v>-9997.7783622723073</v>
      </c>
      <c r="J37" s="76">
        <f t="shared" si="84"/>
        <v>3.896633333304635</v>
      </c>
      <c r="K37" s="76">
        <f t="shared" si="84"/>
        <v>28110.628333333309</v>
      </c>
      <c r="L37" s="76">
        <f t="shared" si="84"/>
        <v>-28189.371666666688</v>
      </c>
      <c r="M37" s="76">
        <f t="shared" si="84"/>
        <v>12.018439733303239</v>
      </c>
      <c r="N37" s="76">
        <f t="shared" si="84"/>
        <v>34.529047999971226</v>
      </c>
      <c r="O37" s="76">
        <f t="shared" si="84"/>
        <v>-5.6694319999660365</v>
      </c>
      <c r="P37" s="76">
        <f t="shared" si="84"/>
        <v>45.717234666692093</v>
      </c>
      <c r="Q37" s="76">
        <f t="shared" si="84"/>
        <v>-26.850146666663932</v>
      </c>
      <c r="R37" s="76">
        <f>R26+R35</f>
        <v>-23.412504056992475</v>
      </c>
      <c r="S37" s="76">
        <f t="shared" si="84"/>
        <v>15596.067968913596</v>
      </c>
      <c r="T37" s="76">
        <f t="shared" si="84"/>
        <v>18341.566473081581</v>
      </c>
      <c r="U37" s="76">
        <f t="shared" si="84"/>
        <v>14211.566473081581</v>
      </c>
      <c r="V37" s="76">
        <f t="shared" si="84"/>
        <v>30483.637743420179</v>
      </c>
      <c r="W37" s="76">
        <f t="shared" si="84"/>
        <v>32056.971076753551</v>
      </c>
      <c r="X37" s="76">
        <f t="shared" si="84"/>
        <v>20141.414846369578</v>
      </c>
      <c r="Y37" s="76">
        <f t="shared" si="84"/>
        <v>12089.26319303624</v>
      </c>
      <c r="Z37" s="76">
        <f>Z26+Z35</f>
        <v>-268451.34853066667</v>
      </c>
      <c r="AA37" s="76">
        <f t="shared" si="84"/>
        <v>-294922.04186400003</v>
      </c>
      <c r="AB37" s="76">
        <f t="shared" si="84"/>
        <v>5166.2283333333053</v>
      </c>
      <c r="AC37" s="76">
        <f t="shared" si="84"/>
        <v>2888834.7340759663</v>
      </c>
      <c r="AD37" s="76">
        <f t="shared" si="84"/>
        <v>-1000</v>
      </c>
      <c r="AE37" s="76">
        <f t="shared" si="84"/>
        <v>-1504813.4</v>
      </c>
      <c r="AF37" s="76">
        <f t="shared" si="84"/>
        <v>0</v>
      </c>
      <c r="AG37" s="76">
        <f t="shared" si="84"/>
        <v>0</v>
      </c>
      <c r="AH37" s="76">
        <f t="shared" si="84"/>
        <v>0</v>
      </c>
      <c r="AI37" s="619"/>
      <c r="AJ37" s="64"/>
      <c r="AK37" s="10"/>
    </row>
    <row r="38" spans="2:37" ht="13.5" thickBot="1">
      <c r="B38" s="666" t="s">
        <v>531</v>
      </c>
      <c r="C38" s="667"/>
      <c r="D38" s="593">
        <f>D37</f>
        <v>77.70488000000114</v>
      </c>
      <c r="E38" s="593">
        <f>E37+D38</f>
        <v>91.96708000000217</v>
      </c>
      <c r="F38" s="593">
        <f t="shared" ref="F38:AH38" si="85">F37+E38</f>
        <v>84.524400000000242</v>
      </c>
      <c r="G38" s="593">
        <f t="shared" si="85"/>
        <v>22.79838666663818</v>
      </c>
      <c r="H38" s="593">
        <f t="shared" si="85"/>
        <v>81.384366666638016</v>
      </c>
      <c r="I38" s="593">
        <f t="shared" si="85"/>
        <v>-9916.3939956056693</v>
      </c>
      <c r="J38" s="593">
        <f t="shared" si="85"/>
        <v>-9912.4973622723646</v>
      </c>
      <c r="K38" s="593">
        <f t="shared" si="85"/>
        <v>18198.130971060942</v>
      </c>
      <c r="L38" s="593">
        <f t="shared" si="85"/>
        <v>-9991.2406956057457</v>
      </c>
      <c r="M38" s="593">
        <f t="shared" si="85"/>
        <v>-9979.2222558724425</v>
      </c>
      <c r="N38" s="593">
        <f t="shared" si="85"/>
        <v>-9944.6932078724712</v>
      </c>
      <c r="O38" s="593">
        <f t="shared" si="85"/>
        <v>-9950.3626398724373</v>
      </c>
      <c r="P38" s="593">
        <f t="shared" si="85"/>
        <v>-9904.6454052057452</v>
      </c>
      <c r="Q38" s="593">
        <f t="shared" si="85"/>
        <v>-9931.4955518724091</v>
      </c>
      <c r="R38" s="593">
        <f t="shared" si="85"/>
        <v>-9954.9080559294016</v>
      </c>
      <c r="S38" s="593">
        <f t="shared" si="85"/>
        <v>5641.1599129841943</v>
      </c>
      <c r="T38" s="593">
        <f t="shared" si="85"/>
        <v>23982.726386065777</v>
      </c>
      <c r="U38" s="593">
        <f t="shared" si="85"/>
        <v>38194.292859147361</v>
      </c>
      <c r="V38" s="593">
        <f t="shared" si="85"/>
        <v>68677.930602567532</v>
      </c>
      <c r="W38" s="593">
        <f t="shared" si="85"/>
        <v>100734.90167932108</v>
      </c>
      <c r="X38" s="593">
        <f t="shared" si="85"/>
        <v>120876.31652569065</v>
      </c>
      <c r="Y38" s="593">
        <f t="shared" si="85"/>
        <v>132965.57971872689</v>
      </c>
      <c r="Z38" s="593">
        <f t="shared" si="85"/>
        <v>-135485.76881193978</v>
      </c>
      <c r="AA38" s="593">
        <f t="shared" si="85"/>
        <v>-430407.81067593978</v>
      </c>
      <c r="AB38" s="593">
        <f t="shared" si="85"/>
        <v>-425241.58234260645</v>
      </c>
      <c r="AC38" s="593">
        <f t="shared" si="85"/>
        <v>2463593.1517333598</v>
      </c>
      <c r="AD38" s="593">
        <f t="shared" si="85"/>
        <v>2462593.1517333598</v>
      </c>
      <c r="AE38" s="593">
        <f t="shared" si="85"/>
        <v>957779.75173335988</v>
      </c>
      <c r="AF38" s="593">
        <f t="shared" si="85"/>
        <v>957779.75173335988</v>
      </c>
      <c r="AG38" s="593">
        <f t="shared" si="85"/>
        <v>957779.75173335988</v>
      </c>
      <c r="AH38" s="593">
        <f t="shared" si="85"/>
        <v>957779.75173335988</v>
      </c>
      <c r="AI38" s="620"/>
      <c r="AJ38" s="64"/>
      <c r="AK38" s="10"/>
    </row>
    <row r="39" spans="2:37">
      <c r="B39" s="58"/>
      <c r="C39" s="65"/>
      <c r="D39" s="66"/>
      <c r="E39" s="66"/>
      <c r="F39" s="66"/>
      <c r="G39" s="66"/>
      <c r="H39" s="66"/>
      <c r="I39" s="66"/>
      <c r="J39" s="66"/>
      <c r="K39" s="66"/>
      <c r="L39" s="66"/>
      <c r="M39" s="66"/>
      <c r="N39" s="66"/>
      <c r="O39" s="66"/>
      <c r="P39" s="66"/>
      <c r="Q39" s="66"/>
      <c r="R39" s="66"/>
      <c r="S39" s="66"/>
      <c r="T39" s="66"/>
      <c r="U39" s="66"/>
      <c r="V39" s="66"/>
      <c r="W39" s="66"/>
      <c r="X39" s="66"/>
      <c r="Y39" s="66"/>
      <c r="Z39" s="66"/>
      <c r="AA39" s="66"/>
      <c r="AB39" s="66"/>
      <c r="AC39" s="66"/>
      <c r="AD39" s="66"/>
      <c r="AE39" s="66"/>
      <c r="AF39" s="66"/>
      <c r="AG39" s="66"/>
      <c r="AH39" s="66"/>
      <c r="AI39" s="66"/>
      <c r="AJ39" s="64"/>
      <c r="AK39" s="10"/>
    </row>
    <row r="40" spans="2:37">
      <c r="C40" s="65"/>
      <c r="D40" s="66"/>
      <c r="E40" s="66"/>
      <c r="F40" s="66"/>
      <c r="G40" s="66"/>
      <c r="H40" s="66"/>
      <c r="I40" s="66"/>
      <c r="J40" s="66"/>
      <c r="K40" s="66"/>
      <c r="L40" s="66"/>
      <c r="M40" s="66"/>
      <c r="N40" s="66"/>
      <c r="O40" s="66"/>
      <c r="P40" s="66"/>
      <c r="Q40" s="66"/>
      <c r="R40" s="66"/>
      <c r="S40" s="66"/>
      <c r="T40" s="66"/>
      <c r="U40" s="66"/>
      <c r="V40" s="66"/>
      <c r="W40" s="66"/>
      <c r="X40" s="66"/>
      <c r="Y40" s="66"/>
      <c r="Z40" s="66"/>
      <c r="AA40" s="66"/>
      <c r="AB40" s="66"/>
      <c r="AC40" s="66"/>
      <c r="AD40" s="66"/>
      <c r="AE40" s="66"/>
      <c r="AF40" s="66"/>
      <c r="AG40" s="66"/>
      <c r="AH40" s="66"/>
      <c r="AI40" s="66"/>
      <c r="AJ40" s="64"/>
      <c r="AK40" s="10"/>
    </row>
    <row r="41" spans="2:37">
      <c r="B41" s="616" t="s">
        <v>532</v>
      </c>
      <c r="C41" s="65"/>
      <c r="D41" s="66"/>
      <c r="E41" s="66"/>
      <c r="F41" s="66"/>
      <c r="G41" s="66"/>
      <c r="H41" s="66"/>
      <c r="I41" s="66"/>
      <c r="J41" s="66"/>
      <c r="K41" s="66"/>
      <c r="L41" s="66"/>
      <c r="M41" s="66"/>
      <c r="N41" s="66"/>
      <c r="O41" s="66"/>
      <c r="P41" s="66"/>
      <c r="Q41" s="66"/>
      <c r="R41" s="66"/>
      <c r="S41" s="66"/>
      <c r="T41" s="66"/>
      <c r="U41" s="66"/>
      <c r="V41" s="66"/>
      <c r="W41" s="66"/>
      <c r="X41" s="66"/>
      <c r="Y41" s="66"/>
      <c r="Z41" s="66"/>
      <c r="AA41" s="66"/>
      <c r="AB41" s="66"/>
      <c r="AC41" s="66"/>
      <c r="AD41" s="66"/>
      <c r="AE41" s="66"/>
      <c r="AF41" s="66"/>
      <c r="AG41" s="66"/>
      <c r="AH41" s="66"/>
      <c r="AI41" s="66"/>
      <c r="AJ41" s="64"/>
      <c r="AK41" s="10"/>
    </row>
    <row r="42" spans="2:37" ht="13.5" thickBot="1">
      <c r="B42" s="616" t="s">
        <v>533</v>
      </c>
      <c r="C42" s="65"/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66"/>
      <c r="O42" s="66"/>
      <c r="P42" s="66"/>
      <c r="Q42" s="66"/>
      <c r="R42" s="66"/>
      <c r="S42" s="66"/>
      <c r="T42" s="66"/>
      <c r="U42" s="66"/>
      <c r="V42" s="66"/>
      <c r="W42" s="66"/>
      <c r="X42" s="66"/>
      <c r="Y42" s="66"/>
      <c r="Z42" s="66"/>
      <c r="AA42" s="66"/>
      <c r="AB42" s="66"/>
      <c r="AC42" s="66"/>
      <c r="AD42" s="66"/>
      <c r="AE42" s="66"/>
      <c r="AF42" s="66"/>
      <c r="AG42" s="66"/>
      <c r="AH42" s="66"/>
      <c r="AI42" s="66"/>
      <c r="AJ42" s="64"/>
      <c r="AK42" s="10"/>
    </row>
    <row r="43" spans="2:37" s="168" customFormat="1" ht="13.5" thickBot="1">
      <c r="B43" s="621" t="s">
        <v>534</v>
      </c>
      <c r="C43" s="622"/>
      <c r="D43" s="623">
        <f t="shared" ref="D43:AH43" si="86">D19</f>
        <v>-25122.295119999999</v>
      </c>
      <c r="E43" s="623">
        <f t="shared" si="86"/>
        <v>-25085.737799999999</v>
      </c>
      <c r="F43" s="623">
        <f t="shared" si="86"/>
        <v>-15507.442680000002</v>
      </c>
      <c r="G43" s="623">
        <f t="shared" si="86"/>
        <v>-206461.72601333336</v>
      </c>
      <c r="H43" s="623">
        <f t="shared" si="86"/>
        <v>-19441.41402</v>
      </c>
      <c r="I43" s="623">
        <f t="shared" si="86"/>
        <v>-1214997.7783622723</v>
      </c>
      <c r="J43" s="623">
        <f t="shared" si="86"/>
        <v>-22896.103366666695</v>
      </c>
      <c r="K43" s="623">
        <f t="shared" si="86"/>
        <v>28110.628333333309</v>
      </c>
      <c r="L43" s="623">
        <f t="shared" si="86"/>
        <v>-121889.37166666669</v>
      </c>
      <c r="M43" s="623">
        <f t="shared" si="86"/>
        <v>-19287.981560266697</v>
      </c>
      <c r="N43" s="623">
        <f t="shared" si="86"/>
        <v>-19665.470952000029</v>
      </c>
      <c r="O43" s="623">
        <f t="shared" si="86"/>
        <v>-204505.66943199997</v>
      </c>
      <c r="P43" s="623">
        <f t="shared" si="86"/>
        <v>-183654.28276533331</v>
      </c>
      <c r="Q43" s="623">
        <f t="shared" si="86"/>
        <v>-131826.85014666666</v>
      </c>
      <c r="R43" s="623">
        <f t="shared" si="86"/>
        <v>-172723.41250405699</v>
      </c>
      <c r="S43" s="623">
        <f t="shared" si="86"/>
        <v>15596.067968913596</v>
      </c>
      <c r="T43" s="623">
        <f t="shared" si="86"/>
        <v>18341.566473081581</v>
      </c>
      <c r="U43" s="623">
        <f t="shared" si="86"/>
        <v>14211.566473081581</v>
      </c>
      <c r="V43" s="623">
        <f t="shared" si="86"/>
        <v>30483.637743420179</v>
      </c>
      <c r="W43" s="623">
        <f t="shared" si="86"/>
        <v>32056.971076753551</v>
      </c>
      <c r="X43" s="623">
        <f t="shared" si="86"/>
        <v>20141.414846369578</v>
      </c>
      <c r="Y43" s="623">
        <f t="shared" si="86"/>
        <v>12089.26319303624</v>
      </c>
      <c r="Z43" s="623">
        <f t="shared" si="86"/>
        <v>-268451.34853066667</v>
      </c>
      <c r="AA43" s="623">
        <f t="shared" si="86"/>
        <v>-294922.04186400003</v>
      </c>
      <c r="AB43" s="623">
        <f t="shared" si="86"/>
        <v>5166.2283333333053</v>
      </c>
      <c r="AC43" s="623">
        <f t="shared" si="86"/>
        <v>3699899.504259943</v>
      </c>
      <c r="AD43" s="623">
        <f t="shared" si="86"/>
        <v>-1000</v>
      </c>
      <c r="AE43" s="623">
        <f t="shared" si="86"/>
        <v>90186.6</v>
      </c>
      <c r="AF43" s="623">
        <f t="shared" si="86"/>
        <v>0</v>
      </c>
      <c r="AG43" s="623">
        <f t="shared" si="86"/>
        <v>0</v>
      </c>
      <c r="AH43" s="623">
        <f t="shared" si="86"/>
        <v>0</v>
      </c>
      <c r="AI43" s="618"/>
      <c r="AJ43" s="613"/>
    </row>
    <row r="44" spans="2:37" ht="13.5" thickBot="1">
      <c r="B44" s="58" t="s">
        <v>535</v>
      </c>
      <c r="C44" s="65"/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  <c r="Y44" s="66"/>
      <c r="Z44" s="66"/>
      <c r="AA44" s="66"/>
      <c r="AB44" s="66"/>
      <c r="AC44" s="66"/>
      <c r="AD44" s="66"/>
      <c r="AE44" s="66"/>
      <c r="AF44" s="66"/>
      <c r="AG44" s="66"/>
      <c r="AH44" s="66"/>
      <c r="AI44" s="66"/>
      <c r="AJ44" s="64"/>
      <c r="AK44" s="10"/>
    </row>
    <row r="45" spans="2:37" s="168" customFormat="1" ht="13.5" thickBot="1">
      <c r="B45" s="569" t="s">
        <v>536</v>
      </c>
      <c r="C45" s="617"/>
      <c r="D45" s="570">
        <f>D35</f>
        <v>0</v>
      </c>
      <c r="E45" s="570">
        <f>E35</f>
        <v>0</v>
      </c>
      <c r="F45" s="570">
        <f t="shared" ref="F45:AH45" si="87">F35</f>
        <v>0</v>
      </c>
      <c r="G45" s="570">
        <f t="shared" si="87"/>
        <v>0</v>
      </c>
      <c r="H45" s="570">
        <f t="shared" si="87"/>
        <v>0</v>
      </c>
      <c r="I45" s="570">
        <f t="shared" si="87"/>
        <v>750000</v>
      </c>
      <c r="J45" s="570">
        <f t="shared" si="87"/>
        <v>0</v>
      </c>
      <c r="K45" s="570">
        <f t="shared" si="87"/>
        <v>0</v>
      </c>
      <c r="L45" s="570">
        <f t="shared" si="87"/>
        <v>0</v>
      </c>
      <c r="M45" s="570">
        <f t="shared" si="87"/>
        <v>0</v>
      </c>
      <c r="N45" s="570">
        <f t="shared" si="87"/>
        <v>0</v>
      </c>
      <c r="O45" s="570">
        <f t="shared" si="87"/>
        <v>0</v>
      </c>
      <c r="P45" s="570">
        <f t="shared" si="87"/>
        <v>0</v>
      </c>
      <c r="Q45" s="570">
        <f t="shared" si="87"/>
        <v>0</v>
      </c>
      <c r="R45" s="570">
        <f t="shared" si="87"/>
        <v>0</v>
      </c>
      <c r="S45" s="570">
        <f t="shared" si="87"/>
        <v>0</v>
      </c>
      <c r="T45" s="570">
        <f t="shared" si="87"/>
        <v>0</v>
      </c>
      <c r="U45" s="570">
        <f t="shared" si="87"/>
        <v>0</v>
      </c>
      <c r="V45" s="570">
        <f t="shared" si="87"/>
        <v>0</v>
      </c>
      <c r="W45" s="570">
        <f t="shared" si="87"/>
        <v>0</v>
      </c>
      <c r="X45" s="570">
        <f t="shared" si="87"/>
        <v>0</v>
      </c>
      <c r="Y45" s="570">
        <f t="shared" si="87"/>
        <v>0</v>
      </c>
      <c r="Z45" s="570">
        <f t="shared" si="87"/>
        <v>0</v>
      </c>
      <c r="AA45" s="570">
        <f t="shared" si="87"/>
        <v>0</v>
      </c>
      <c r="AB45" s="570">
        <f t="shared" si="87"/>
        <v>0</v>
      </c>
      <c r="AC45" s="570">
        <f t="shared" si="87"/>
        <v>-811064.77018397697</v>
      </c>
      <c r="AD45" s="570">
        <f t="shared" si="87"/>
        <v>0</v>
      </c>
      <c r="AE45" s="570">
        <f t="shared" si="87"/>
        <v>0</v>
      </c>
      <c r="AF45" s="570">
        <f t="shared" si="87"/>
        <v>0</v>
      </c>
      <c r="AG45" s="570">
        <f t="shared" si="87"/>
        <v>0</v>
      </c>
      <c r="AH45" s="570">
        <f t="shared" si="87"/>
        <v>0</v>
      </c>
      <c r="AI45" s="618"/>
      <c r="AJ45" s="613"/>
    </row>
    <row r="46" spans="2:37" ht="13.5" thickBot="1">
      <c r="B46" s="58" t="s">
        <v>537</v>
      </c>
      <c r="C46" s="65"/>
      <c r="D46" s="66"/>
      <c r="E46" s="66"/>
      <c r="F46" s="66"/>
      <c r="G46" s="66"/>
      <c r="H46" s="66"/>
      <c r="I46" s="66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  <c r="Y46" s="66"/>
      <c r="Z46" s="66"/>
      <c r="AA46" s="66"/>
      <c r="AB46" s="66"/>
      <c r="AC46" s="66"/>
      <c r="AD46" s="66"/>
      <c r="AE46" s="66"/>
      <c r="AF46" s="66"/>
      <c r="AG46" s="66"/>
      <c r="AH46" s="66"/>
      <c r="AI46" s="66"/>
      <c r="AJ46" s="64"/>
      <c r="AK46" s="10"/>
    </row>
    <row r="47" spans="2:37" s="168" customFormat="1" ht="13.5" thickBot="1">
      <c r="B47" s="621" t="s">
        <v>538</v>
      </c>
      <c r="C47" s="622"/>
      <c r="D47" s="623">
        <f>D43+D45</f>
        <v>-25122.295119999999</v>
      </c>
      <c r="E47" s="623">
        <f>E43+E45</f>
        <v>-25085.737799999999</v>
      </c>
      <c r="F47" s="623">
        <f t="shared" ref="F47:AH47" si="88">F43+F45</f>
        <v>-15507.442680000002</v>
      </c>
      <c r="G47" s="623">
        <f t="shared" si="88"/>
        <v>-206461.72601333336</v>
      </c>
      <c r="H47" s="623">
        <f t="shared" si="88"/>
        <v>-19441.41402</v>
      </c>
      <c r="I47" s="623">
        <f>I43+I45</f>
        <v>-464997.77836227231</v>
      </c>
      <c r="J47" s="623">
        <f t="shared" si="88"/>
        <v>-22896.103366666695</v>
      </c>
      <c r="K47" s="623">
        <f t="shared" si="88"/>
        <v>28110.628333333309</v>
      </c>
      <c r="L47" s="623">
        <f t="shared" si="88"/>
        <v>-121889.37166666669</v>
      </c>
      <c r="M47" s="623">
        <f t="shared" si="88"/>
        <v>-19287.981560266697</v>
      </c>
      <c r="N47" s="623">
        <f t="shared" si="88"/>
        <v>-19665.470952000029</v>
      </c>
      <c r="O47" s="623">
        <f t="shared" si="88"/>
        <v>-204505.66943199997</v>
      </c>
      <c r="P47" s="623">
        <f t="shared" si="88"/>
        <v>-183654.28276533331</v>
      </c>
      <c r="Q47" s="623">
        <f t="shared" si="88"/>
        <v>-131826.85014666666</v>
      </c>
      <c r="R47" s="623">
        <f t="shared" si="88"/>
        <v>-172723.41250405699</v>
      </c>
      <c r="S47" s="623">
        <f t="shared" si="88"/>
        <v>15596.067968913596</v>
      </c>
      <c r="T47" s="623">
        <f t="shared" si="88"/>
        <v>18341.566473081581</v>
      </c>
      <c r="U47" s="623">
        <f t="shared" si="88"/>
        <v>14211.566473081581</v>
      </c>
      <c r="V47" s="623">
        <f t="shared" si="88"/>
        <v>30483.637743420179</v>
      </c>
      <c r="W47" s="623">
        <f t="shared" si="88"/>
        <v>32056.971076753551</v>
      </c>
      <c r="X47" s="623">
        <f t="shared" si="88"/>
        <v>20141.414846369578</v>
      </c>
      <c r="Y47" s="623">
        <f t="shared" si="88"/>
        <v>12089.26319303624</v>
      </c>
      <c r="Z47" s="623">
        <f>Z43+Z45</f>
        <v>-268451.34853066667</v>
      </c>
      <c r="AA47" s="623">
        <f t="shared" si="88"/>
        <v>-294922.04186400003</v>
      </c>
      <c r="AB47" s="623">
        <f t="shared" si="88"/>
        <v>5166.2283333333053</v>
      </c>
      <c r="AC47" s="623">
        <f t="shared" si="88"/>
        <v>2888834.7340759663</v>
      </c>
      <c r="AD47" s="623">
        <f t="shared" si="88"/>
        <v>-1000</v>
      </c>
      <c r="AE47" s="623">
        <f t="shared" si="88"/>
        <v>90186.6</v>
      </c>
      <c r="AF47" s="623">
        <f t="shared" si="88"/>
        <v>0</v>
      </c>
      <c r="AG47" s="623">
        <f t="shared" si="88"/>
        <v>0</v>
      </c>
      <c r="AH47" s="623">
        <f t="shared" si="88"/>
        <v>0</v>
      </c>
      <c r="AI47" s="618"/>
      <c r="AJ47" s="613"/>
    </row>
    <row r="48" spans="2:37" s="168" customFormat="1" ht="13.5" thickBot="1">
      <c r="B48" s="569" t="s">
        <v>531</v>
      </c>
      <c r="C48" s="617"/>
      <c r="D48" s="570">
        <f>D47</f>
        <v>-25122.295119999999</v>
      </c>
      <c r="E48" s="570">
        <f>E47+D48</f>
        <v>-50208.032919999998</v>
      </c>
      <c r="F48" s="570">
        <f t="shared" ref="F48:AH48" si="89">F47+E48</f>
        <v>-65715.475600000005</v>
      </c>
      <c r="G48" s="570">
        <f t="shared" si="89"/>
        <v>-272177.20161333337</v>
      </c>
      <c r="H48" s="570">
        <f t="shared" si="89"/>
        <v>-291618.61563333339</v>
      </c>
      <c r="I48" s="570">
        <f t="shared" si="89"/>
        <v>-756616.39399560564</v>
      </c>
      <c r="J48" s="570">
        <f t="shared" si="89"/>
        <v>-779512.49736227235</v>
      </c>
      <c r="K48" s="570">
        <f t="shared" si="89"/>
        <v>-751401.86902893905</v>
      </c>
      <c r="L48" s="570">
        <f t="shared" si="89"/>
        <v>-873291.24069560575</v>
      </c>
      <c r="M48" s="570">
        <f t="shared" si="89"/>
        <v>-892579.22225587245</v>
      </c>
      <c r="N48" s="570">
        <f t="shared" si="89"/>
        <v>-912244.69320787245</v>
      </c>
      <c r="O48" s="570">
        <f t="shared" si="89"/>
        <v>-1116750.3626398724</v>
      </c>
      <c r="P48" s="570">
        <f t="shared" si="89"/>
        <v>-1300404.6454052057</v>
      </c>
      <c r="Q48" s="570">
        <f t="shared" si="89"/>
        <v>-1432231.4955518723</v>
      </c>
      <c r="R48" s="570">
        <f t="shared" si="89"/>
        <v>-1604954.9080559292</v>
      </c>
      <c r="S48" s="570">
        <f t="shared" si="89"/>
        <v>-1589358.8400870156</v>
      </c>
      <c r="T48" s="570">
        <f t="shared" si="89"/>
        <v>-1571017.2736139342</v>
      </c>
      <c r="U48" s="570">
        <f t="shared" si="89"/>
        <v>-1556805.7071408527</v>
      </c>
      <c r="V48" s="570">
        <f t="shared" si="89"/>
        <v>-1526322.0693974325</v>
      </c>
      <c r="W48" s="570">
        <f t="shared" si="89"/>
        <v>-1494265.098320679</v>
      </c>
      <c r="X48" s="570">
        <f t="shared" si="89"/>
        <v>-1474123.6834743095</v>
      </c>
      <c r="Y48" s="570">
        <f t="shared" si="89"/>
        <v>-1462034.4202812733</v>
      </c>
      <c r="Z48" s="570">
        <f t="shared" si="89"/>
        <v>-1730485.76881194</v>
      </c>
      <c r="AA48" s="570">
        <f t="shared" si="89"/>
        <v>-2025407.81067594</v>
      </c>
      <c r="AB48" s="570">
        <f t="shared" si="89"/>
        <v>-2020241.5823426067</v>
      </c>
      <c r="AC48" s="570">
        <f t="shared" si="89"/>
        <v>868593.15173335955</v>
      </c>
      <c r="AD48" s="570">
        <f t="shared" si="89"/>
        <v>867593.15173335955</v>
      </c>
      <c r="AE48" s="570">
        <f t="shared" si="89"/>
        <v>957779.75173335953</v>
      </c>
      <c r="AF48" s="570">
        <f t="shared" si="89"/>
        <v>957779.75173335953</v>
      </c>
      <c r="AG48" s="570">
        <f t="shared" si="89"/>
        <v>957779.75173335953</v>
      </c>
      <c r="AH48" s="570">
        <f t="shared" si="89"/>
        <v>957779.75173335953</v>
      </c>
      <c r="AI48" s="618"/>
      <c r="AJ48" s="613"/>
    </row>
    <row r="49" spans="2:37">
      <c r="B49" s="58"/>
      <c r="C49" s="65"/>
      <c r="D49" s="66"/>
      <c r="E49" s="66"/>
      <c r="F49" s="66"/>
      <c r="G49" s="66"/>
      <c r="H49" s="66"/>
      <c r="I49" s="66"/>
      <c r="J49" s="66"/>
      <c r="K49" s="66"/>
      <c r="L49" s="66"/>
      <c r="M49" s="66"/>
      <c r="N49" s="66"/>
      <c r="O49" s="66"/>
      <c r="P49" s="66"/>
      <c r="Q49" s="66"/>
      <c r="R49" s="66"/>
      <c r="S49" s="66"/>
      <c r="T49" s="66"/>
      <c r="U49" s="66"/>
      <c r="V49" s="66"/>
      <c r="W49" s="66"/>
      <c r="X49" s="66"/>
      <c r="Y49" s="66"/>
      <c r="Z49" s="66"/>
      <c r="AA49" s="66"/>
      <c r="AB49" s="66"/>
      <c r="AC49" s="66"/>
      <c r="AD49" s="66"/>
      <c r="AE49" s="66"/>
      <c r="AF49" s="66"/>
      <c r="AG49" s="66"/>
      <c r="AH49" s="66"/>
      <c r="AI49" s="66"/>
      <c r="AJ49" s="64"/>
      <c r="AK49" s="10"/>
    </row>
    <row r="50" spans="2:37">
      <c r="D50" s="10"/>
      <c r="E50" s="1034"/>
      <c r="F50" s="1034"/>
      <c r="G50" s="571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</row>
    <row r="51" spans="2:37">
      <c r="C51" s="624" t="s">
        <v>528</v>
      </c>
      <c r="D51" s="624" t="s">
        <v>539</v>
      </c>
      <c r="E51" s="1034"/>
      <c r="F51" s="1034"/>
      <c r="G51" s="626"/>
      <c r="H51" s="627" t="s">
        <v>544</v>
      </c>
      <c r="I51" s="628"/>
      <c r="J51" s="146"/>
      <c r="K51" s="146"/>
      <c r="L51" s="146"/>
      <c r="M51" s="146"/>
      <c r="N51" s="146"/>
      <c r="O51" s="146"/>
      <c r="P51" s="146"/>
      <c r="Q51" s="146"/>
      <c r="R51" s="146"/>
      <c r="S51" s="146"/>
      <c r="T51" s="146"/>
      <c r="U51" s="146"/>
      <c r="V51" s="146"/>
      <c r="W51" s="146"/>
      <c r="X51" s="146"/>
      <c r="Y51" s="146"/>
      <c r="Z51" s="146"/>
      <c r="AA51" s="146"/>
      <c r="AB51" s="146"/>
      <c r="AC51" s="146"/>
      <c r="AD51" s="146"/>
      <c r="AE51" s="146"/>
      <c r="AF51" s="146"/>
      <c r="AG51" s="146"/>
      <c r="AH51" s="146"/>
      <c r="AI51" s="10"/>
      <c r="AJ51" s="10"/>
      <c r="AK51" s="10"/>
    </row>
    <row r="52" spans="2:37">
      <c r="B52" s="486" t="s">
        <v>124</v>
      </c>
      <c r="C52" s="148">
        <f>NPV(C55,E19:AH19)+D19</f>
        <v>456368.31803423871</v>
      </c>
      <c r="D52" s="148">
        <f>NPV(D55,E47:AH47)+D47</f>
        <v>531277.94162203278</v>
      </c>
      <c r="E52" s="975">
        <f>AH38</f>
        <v>957779.75173335988</v>
      </c>
      <c r="F52" s="625"/>
      <c r="G52" s="626"/>
      <c r="H52" s="629" t="s">
        <v>542</v>
      </c>
      <c r="I52" s="630">
        <v>1220</v>
      </c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</row>
    <row r="53" spans="2:37">
      <c r="B53" s="486" t="s">
        <v>123</v>
      </c>
      <c r="C53" s="149">
        <f>IRR(D19:AH19)</f>
        <v>1.99485690034793E-2</v>
      </c>
      <c r="D53" s="149">
        <f>IRR(D47:AH47)</f>
        <v>2.7315838289097005E-2</v>
      </c>
      <c r="E53" s="1034"/>
      <c r="F53" s="1034"/>
      <c r="G53" s="626"/>
      <c r="H53" s="629" t="s">
        <v>543</v>
      </c>
      <c r="I53" s="630">
        <v>4</v>
      </c>
    </row>
    <row r="54" spans="2:37">
      <c r="B54" s="486" t="s">
        <v>125</v>
      </c>
      <c r="C54" s="149">
        <f>(((1+C53)^12)-1)</f>
        <v>0.26747463158174778</v>
      </c>
      <c r="D54" s="149">
        <f>(((1+D53)^12)-1)</f>
        <v>0.38180832552631427</v>
      </c>
      <c r="E54" s="1034"/>
      <c r="F54" s="1034"/>
    </row>
    <row r="55" spans="2:37">
      <c r="B55" s="486" t="s">
        <v>126</v>
      </c>
      <c r="C55" s="149">
        <f>((1+C56)^(1/12))-1</f>
        <v>9.4887929345830457E-3</v>
      </c>
      <c r="D55" s="149">
        <f>((1+D56)^(1/12))-1</f>
        <v>9.4887929345830457E-3</v>
      </c>
      <c r="E55" s="572"/>
      <c r="F55" s="572"/>
    </row>
    <row r="56" spans="2:37" ht="13.5" thickBot="1">
      <c r="B56" s="487" t="s">
        <v>127</v>
      </c>
      <c r="C56" s="150">
        <v>0.12</v>
      </c>
      <c r="D56" s="150">
        <v>0.12</v>
      </c>
    </row>
    <row r="58" spans="2:37" ht="13.5" thickBot="1">
      <c r="B58" s="516" t="s">
        <v>512</v>
      </c>
    </row>
    <row r="59" spans="2:37" ht="13.5">
      <c r="B59" s="602" t="s">
        <v>513</v>
      </c>
      <c r="C59" s="564"/>
      <c r="D59" s="652">
        <f t="shared" ref="D59:AH59" si="90">D9</f>
        <v>0</v>
      </c>
      <c r="E59" s="652">
        <f t="shared" si="90"/>
        <v>0</v>
      </c>
      <c r="F59" s="652">
        <f t="shared" si="90"/>
        <v>0</v>
      </c>
      <c r="G59" s="652">
        <f t="shared" si="90"/>
        <v>0</v>
      </c>
      <c r="H59" s="652">
        <f t="shared" si="90"/>
        <v>90</v>
      </c>
      <c r="I59" s="652">
        <f t="shared" si="90"/>
        <v>2864.2018348623828</v>
      </c>
      <c r="J59" s="652">
        <f t="shared" si="90"/>
        <v>2864.2018348623828</v>
      </c>
      <c r="K59" s="652">
        <f t="shared" si="90"/>
        <v>3135.9908256880708</v>
      </c>
      <c r="L59" s="652">
        <f t="shared" si="90"/>
        <v>3135.9908256880708</v>
      </c>
      <c r="M59" s="652">
        <f t="shared" si="90"/>
        <v>3135.9908256880708</v>
      </c>
      <c r="N59" s="652">
        <f t="shared" si="90"/>
        <v>3135.9908256880708</v>
      </c>
      <c r="O59" s="652">
        <f t="shared" si="90"/>
        <v>3135.9908256880708</v>
      </c>
      <c r="P59" s="652">
        <f t="shared" si="90"/>
        <v>3135.9908256880708</v>
      </c>
      <c r="Q59" s="652">
        <f t="shared" si="90"/>
        <v>3135.9908256880708</v>
      </c>
      <c r="R59" s="652">
        <f t="shared" si="90"/>
        <v>18903.057229818725</v>
      </c>
      <c r="S59" s="652">
        <f t="shared" si="90"/>
        <v>30999.67572576</v>
      </c>
      <c r="T59" s="652">
        <f t="shared" si="90"/>
        <v>34354.663714560003</v>
      </c>
      <c r="U59" s="652">
        <f t="shared" si="90"/>
        <v>34354.663714560003</v>
      </c>
      <c r="V59" s="652">
        <f t="shared" si="90"/>
        <v>51835.80986976</v>
      </c>
      <c r="W59" s="652">
        <f t="shared" si="90"/>
        <v>51835.80986976</v>
      </c>
      <c r="X59" s="652">
        <f t="shared" si="90"/>
        <v>36554.071095359999</v>
      </c>
      <c r="Y59" s="652">
        <f t="shared" si="90"/>
        <v>29357.959095359991</v>
      </c>
      <c r="Z59" s="652">
        <f t="shared" si="90"/>
        <v>3160.7614678899063</v>
      </c>
      <c r="AA59" s="652">
        <f t="shared" si="90"/>
        <v>3160.7614678899063</v>
      </c>
      <c r="AB59" s="652">
        <f t="shared" si="90"/>
        <v>3160.7614678899063</v>
      </c>
      <c r="AC59" s="652">
        <f t="shared" si="90"/>
        <v>361998.08785019827</v>
      </c>
      <c r="AD59" s="652">
        <f t="shared" si="90"/>
        <v>0</v>
      </c>
      <c r="AE59" s="652">
        <f t="shared" si="90"/>
        <v>7560</v>
      </c>
      <c r="AF59" s="652">
        <f t="shared" si="90"/>
        <v>0</v>
      </c>
      <c r="AG59" s="652">
        <f t="shared" si="90"/>
        <v>0</v>
      </c>
      <c r="AH59" s="652">
        <f t="shared" si="90"/>
        <v>0</v>
      </c>
      <c r="AI59" s="600">
        <f>SUM(D59:AH59)</f>
        <v>695006.42201834801</v>
      </c>
    </row>
    <row r="60" spans="2:37" ht="13.5">
      <c r="B60" s="603" t="s">
        <v>514</v>
      </c>
      <c r="C60" s="604"/>
      <c r="D60" s="653">
        <f t="shared" ref="D60:AH60" si="91">D12</f>
        <v>760.01112000000012</v>
      </c>
      <c r="E60" s="653">
        <f t="shared" si="91"/>
        <v>2530.0277999999998</v>
      </c>
      <c r="F60" s="653">
        <f t="shared" si="91"/>
        <v>1374.0166800000002</v>
      </c>
      <c r="G60" s="653">
        <f t="shared" si="91"/>
        <v>1785.01668</v>
      </c>
      <c r="H60" s="653">
        <f t="shared" si="91"/>
        <v>1809.9250200000001</v>
      </c>
      <c r="I60" s="653">
        <f t="shared" si="91"/>
        <v>1038.384</v>
      </c>
      <c r="J60" s="653">
        <f t="shared" si="91"/>
        <v>7286.1010220338958</v>
      </c>
      <c r="K60" s="653">
        <f t="shared" si="91"/>
        <v>0</v>
      </c>
      <c r="L60" s="653">
        <f t="shared" si="91"/>
        <v>0</v>
      </c>
      <c r="M60" s="653">
        <f t="shared" si="91"/>
        <v>1891.3133736000002</v>
      </c>
      <c r="N60" s="653">
        <f t="shared" si="91"/>
        <v>7287.8795520000003</v>
      </c>
      <c r="O60" s="653">
        <f t="shared" si="91"/>
        <v>35483.842031999993</v>
      </c>
      <c r="P60" s="653">
        <f t="shared" si="91"/>
        <v>32303.122031999996</v>
      </c>
      <c r="Q60" s="653">
        <f t="shared" si="91"/>
        <v>24397.242480000001</v>
      </c>
      <c r="R60" s="653">
        <f t="shared" si="91"/>
        <v>59327.753423999995</v>
      </c>
      <c r="S60" s="653">
        <f t="shared" si="91"/>
        <v>52613.823264000006</v>
      </c>
      <c r="T60" s="653">
        <f t="shared" si="91"/>
        <v>58300.243584000003</v>
      </c>
      <c r="U60" s="653">
        <f t="shared" si="91"/>
        <v>58930.243584000003</v>
      </c>
      <c r="V60" s="653">
        <f t="shared" si="91"/>
        <v>88259.304864000005</v>
      </c>
      <c r="W60" s="653">
        <f t="shared" si="91"/>
        <v>88019.304864000005</v>
      </c>
      <c r="X60" s="653">
        <f t="shared" si="91"/>
        <v>62028.052703999994</v>
      </c>
      <c r="Y60" s="653">
        <f t="shared" si="91"/>
        <v>50161.252703999999</v>
      </c>
      <c r="Z60" s="653">
        <f t="shared" si="91"/>
        <v>43620.632063999998</v>
      </c>
      <c r="AA60" s="653">
        <f t="shared" si="91"/>
        <v>48405.992064000005</v>
      </c>
      <c r="AB60" s="653">
        <f t="shared" si="91"/>
        <v>2934.9</v>
      </c>
      <c r="AC60" s="653">
        <f t="shared" si="91"/>
        <v>9352.2452212395674</v>
      </c>
      <c r="AD60" s="653">
        <f t="shared" si="91"/>
        <v>0</v>
      </c>
      <c r="AE60" s="653">
        <f t="shared" si="91"/>
        <v>0</v>
      </c>
      <c r="AF60" s="653">
        <f t="shared" si="91"/>
        <v>0</v>
      </c>
      <c r="AG60" s="653">
        <f t="shared" si="91"/>
        <v>0</v>
      </c>
      <c r="AH60" s="653">
        <f t="shared" si="91"/>
        <v>0</v>
      </c>
      <c r="AI60" s="600">
        <f>SUM(D60:AH60)</f>
        <v>739900.63013287343</v>
      </c>
    </row>
    <row r="61" spans="2:37" ht="13.5">
      <c r="B61" s="605" t="s">
        <v>518</v>
      </c>
      <c r="C61" s="604"/>
      <c r="D61" s="653">
        <f>D59-D60</f>
        <v>-760.01112000000012</v>
      </c>
      <c r="E61" s="653">
        <f t="shared" ref="E61:AH61" si="92">E59-E60</f>
        <v>-2530.0277999999998</v>
      </c>
      <c r="F61" s="653">
        <f t="shared" si="92"/>
        <v>-1374.0166800000002</v>
      </c>
      <c r="G61" s="653">
        <f t="shared" si="92"/>
        <v>-1785.01668</v>
      </c>
      <c r="H61" s="653">
        <f t="shared" si="92"/>
        <v>-1719.9250200000001</v>
      </c>
      <c r="I61" s="653">
        <f t="shared" si="92"/>
        <v>1825.8178348623828</v>
      </c>
      <c r="J61" s="653">
        <f t="shared" si="92"/>
        <v>-4421.8991871715134</v>
      </c>
      <c r="K61" s="653">
        <f t="shared" si="92"/>
        <v>3135.9908256880708</v>
      </c>
      <c r="L61" s="653">
        <f t="shared" si="92"/>
        <v>3135.9908256880708</v>
      </c>
      <c r="M61" s="653">
        <f t="shared" si="92"/>
        <v>1244.6774520880706</v>
      </c>
      <c r="N61" s="653">
        <f t="shared" si="92"/>
        <v>-4151.8887263119295</v>
      </c>
      <c r="O61" s="653">
        <f t="shared" si="92"/>
        <v>-32347.851206311923</v>
      </c>
      <c r="P61" s="653">
        <f t="shared" si="92"/>
        <v>-29167.131206311926</v>
      </c>
      <c r="Q61" s="653">
        <f t="shared" si="92"/>
        <v>-21261.251654311931</v>
      </c>
      <c r="R61" s="653">
        <f t="shared" si="92"/>
        <v>-40424.69619418127</v>
      </c>
      <c r="S61" s="653">
        <f t="shared" si="92"/>
        <v>-21614.147538240006</v>
      </c>
      <c r="T61" s="653">
        <f t="shared" si="92"/>
        <v>-23945.57986944</v>
      </c>
      <c r="U61" s="653">
        <f t="shared" si="92"/>
        <v>-24575.57986944</v>
      </c>
      <c r="V61" s="653">
        <f t="shared" si="92"/>
        <v>-36423.494994240005</v>
      </c>
      <c r="W61" s="653">
        <f t="shared" si="92"/>
        <v>-36183.494994240005</v>
      </c>
      <c r="X61" s="653">
        <f t="shared" si="92"/>
        <v>-25473.981608639995</v>
      </c>
      <c r="Y61" s="653">
        <f t="shared" si="92"/>
        <v>-20803.293608640008</v>
      </c>
      <c r="Z61" s="653">
        <f t="shared" si="92"/>
        <v>-40459.870596110093</v>
      </c>
      <c r="AA61" s="653">
        <f t="shared" si="92"/>
        <v>-45245.230596110101</v>
      </c>
      <c r="AB61" s="653">
        <f t="shared" si="92"/>
        <v>225.86146788990618</v>
      </c>
      <c r="AC61" s="653">
        <f t="shared" si="92"/>
        <v>352645.84262895869</v>
      </c>
      <c r="AD61" s="653">
        <f t="shared" si="92"/>
        <v>0</v>
      </c>
      <c r="AE61" s="653">
        <f t="shared" si="92"/>
        <v>7560</v>
      </c>
      <c r="AF61" s="653">
        <f t="shared" si="92"/>
        <v>0</v>
      </c>
      <c r="AG61" s="653">
        <f t="shared" si="92"/>
        <v>0</v>
      </c>
      <c r="AH61" s="653">
        <f t="shared" si="92"/>
        <v>0</v>
      </c>
      <c r="AI61" s="600">
        <f>SUM(AI59:AI60)</f>
        <v>1434907.0521512213</v>
      </c>
    </row>
    <row r="62" spans="2:37" ht="13.5">
      <c r="B62" s="605" t="s">
        <v>515</v>
      </c>
      <c r="C62" s="604"/>
      <c r="D62" s="653">
        <f>IF(D61&lt;0,-D61,0)</f>
        <v>760.01112000000012</v>
      </c>
      <c r="E62" s="653">
        <f>MAX(-E61+D62,0)</f>
        <v>3290.03892</v>
      </c>
      <c r="F62" s="653">
        <f t="shared" ref="F62:AH62" si="93">MAX(-F61+E62,0)</f>
        <v>4664.0555999999997</v>
      </c>
      <c r="G62" s="653">
        <f t="shared" si="93"/>
        <v>6449.0722799999994</v>
      </c>
      <c r="H62" s="653">
        <f t="shared" si="93"/>
        <v>8168.9972999999991</v>
      </c>
      <c r="I62" s="653">
        <f t="shared" si="93"/>
        <v>6343.1794651376167</v>
      </c>
      <c r="J62" s="653">
        <f t="shared" si="93"/>
        <v>10765.07865230913</v>
      </c>
      <c r="K62" s="653">
        <f t="shared" si="93"/>
        <v>7629.0878266210593</v>
      </c>
      <c r="L62" s="653">
        <f t="shared" si="93"/>
        <v>4493.0970009329885</v>
      </c>
      <c r="M62" s="653">
        <f t="shared" si="93"/>
        <v>3248.4195488449177</v>
      </c>
      <c r="N62" s="653">
        <f t="shared" si="93"/>
        <v>7400.3082751568472</v>
      </c>
      <c r="O62" s="653">
        <f t="shared" si="93"/>
        <v>39748.159481468771</v>
      </c>
      <c r="P62" s="653">
        <f t="shared" si="93"/>
        <v>68915.290687780696</v>
      </c>
      <c r="Q62" s="653">
        <f t="shared" si="93"/>
        <v>90176.542342092624</v>
      </c>
      <c r="R62" s="653">
        <f t="shared" si="93"/>
        <v>130601.23853627389</v>
      </c>
      <c r="S62" s="653">
        <f t="shared" si="93"/>
        <v>152215.3860745139</v>
      </c>
      <c r="T62" s="653">
        <f t="shared" si="93"/>
        <v>176160.9659439539</v>
      </c>
      <c r="U62" s="653">
        <f t="shared" si="93"/>
        <v>200736.5458133939</v>
      </c>
      <c r="V62" s="653">
        <f t="shared" si="93"/>
        <v>237160.04080763389</v>
      </c>
      <c r="W62" s="653">
        <f t="shared" si="93"/>
        <v>273343.53580187389</v>
      </c>
      <c r="X62" s="653">
        <f t="shared" si="93"/>
        <v>298817.51741051389</v>
      </c>
      <c r="Y62" s="653">
        <f t="shared" si="93"/>
        <v>319620.81101915392</v>
      </c>
      <c r="Z62" s="653">
        <f t="shared" si="93"/>
        <v>360080.68161526404</v>
      </c>
      <c r="AA62" s="653">
        <f t="shared" si="93"/>
        <v>405325.91221137415</v>
      </c>
      <c r="AB62" s="653">
        <f t="shared" si="93"/>
        <v>405100.05074348423</v>
      </c>
      <c r="AC62" s="653">
        <f t="shared" si="93"/>
        <v>52454.208114525536</v>
      </c>
      <c r="AD62" s="653">
        <f t="shared" si="93"/>
        <v>52454.208114525536</v>
      </c>
      <c r="AE62" s="653">
        <f t="shared" si="93"/>
        <v>44894.208114525536</v>
      </c>
      <c r="AF62" s="653">
        <f t="shared" si="93"/>
        <v>44894.208114525536</v>
      </c>
      <c r="AG62" s="653">
        <f t="shared" si="93"/>
        <v>44894.208114525536</v>
      </c>
      <c r="AH62" s="653">
        <f t="shared" si="93"/>
        <v>44894.208114525536</v>
      </c>
      <c r="AI62" s="600"/>
    </row>
    <row r="63" spans="2:37" ht="14.25" thickBot="1">
      <c r="B63" s="606" t="s">
        <v>516</v>
      </c>
      <c r="C63" s="589"/>
      <c r="D63" s="651"/>
      <c r="E63" s="651">
        <f>IF(E62&gt;0,0,E61-D62)</f>
        <v>0</v>
      </c>
      <c r="F63" s="651">
        <f t="shared" ref="F63:AH63" si="94">IF(F62&gt;0,0,F61-E62)</f>
        <v>0</v>
      </c>
      <c r="G63" s="651">
        <f t="shared" si="94"/>
        <v>0</v>
      </c>
      <c r="H63" s="651">
        <f t="shared" si="94"/>
        <v>0</v>
      </c>
      <c r="I63" s="658">
        <f t="shared" si="94"/>
        <v>0</v>
      </c>
      <c r="J63" s="651">
        <f t="shared" si="94"/>
        <v>0</v>
      </c>
      <c r="K63" s="651">
        <f t="shared" si="94"/>
        <v>0</v>
      </c>
      <c r="L63" s="651">
        <f t="shared" si="94"/>
        <v>0</v>
      </c>
      <c r="M63" s="651">
        <f t="shared" si="94"/>
        <v>0</v>
      </c>
      <c r="N63" s="651">
        <f t="shared" si="94"/>
        <v>0</v>
      </c>
      <c r="O63" s="651">
        <f t="shared" si="94"/>
        <v>0</v>
      </c>
      <c r="P63" s="651">
        <f t="shared" si="94"/>
        <v>0</v>
      </c>
      <c r="Q63" s="651">
        <f t="shared" si="94"/>
        <v>0</v>
      </c>
      <c r="R63" s="651">
        <f t="shared" si="94"/>
        <v>0</v>
      </c>
      <c r="S63" s="651">
        <f t="shared" si="94"/>
        <v>0</v>
      </c>
      <c r="T63" s="651">
        <f t="shared" si="94"/>
        <v>0</v>
      </c>
      <c r="U63" s="651">
        <f t="shared" si="94"/>
        <v>0</v>
      </c>
      <c r="V63" s="651">
        <f t="shared" si="94"/>
        <v>0</v>
      </c>
      <c r="W63" s="651">
        <f t="shared" si="94"/>
        <v>0</v>
      </c>
      <c r="X63" s="651">
        <f t="shared" si="94"/>
        <v>0</v>
      </c>
      <c r="Y63" s="651">
        <f t="shared" si="94"/>
        <v>0</v>
      </c>
      <c r="Z63" s="651">
        <f t="shared" si="94"/>
        <v>0</v>
      </c>
      <c r="AA63" s="651">
        <f t="shared" si="94"/>
        <v>0</v>
      </c>
      <c r="AB63" s="651">
        <f t="shared" si="94"/>
        <v>0</v>
      </c>
      <c r="AC63" s="651">
        <f t="shared" si="94"/>
        <v>0</v>
      </c>
      <c r="AD63" s="651">
        <f t="shared" si="94"/>
        <v>0</v>
      </c>
      <c r="AE63" s="651">
        <f t="shared" si="94"/>
        <v>0</v>
      </c>
      <c r="AF63" s="651">
        <f t="shared" si="94"/>
        <v>0</v>
      </c>
      <c r="AG63" s="651">
        <f t="shared" si="94"/>
        <v>0</v>
      </c>
      <c r="AH63" s="651">
        <f t="shared" si="94"/>
        <v>0</v>
      </c>
      <c r="AI63" s="591">
        <f>SUM(D63:AH63)</f>
        <v>0</v>
      </c>
    </row>
    <row r="67" spans="4:10">
      <c r="E67" s="516"/>
      <c r="F67" s="1035" t="s">
        <v>543</v>
      </c>
      <c r="G67" s="1035"/>
      <c r="H67" s="1035"/>
      <c r="I67" s="1035"/>
      <c r="J67" s="1035"/>
    </row>
    <row r="68" spans="4:10">
      <c r="E68" s="632">
        <f>D52</f>
        <v>531277.94162203278</v>
      </c>
      <c r="F68" s="631">
        <v>1</v>
      </c>
      <c r="G68" s="631">
        <v>2</v>
      </c>
      <c r="H68" s="631">
        <v>3</v>
      </c>
      <c r="I68" s="631">
        <v>4</v>
      </c>
      <c r="J68" s="631">
        <v>5</v>
      </c>
    </row>
    <row r="69" spans="4:10">
      <c r="E69" s="631">
        <v>1000</v>
      </c>
      <c r="F69" s="634">
        <f t="dataTable" ref="F69:J77" dt2D="1" dtr="1" r1="I53" r2="I52"/>
        <v>-492053.13991066004</v>
      </c>
      <c r="G69" s="634">
        <v>-494405.67555530055</v>
      </c>
      <c r="H69" s="634">
        <v>-496318.10021600145</v>
      </c>
      <c r="I69" s="634">
        <v>-493171.20715282025</v>
      </c>
      <c r="J69" s="634">
        <v>-492034.69306903012</v>
      </c>
    </row>
    <row r="70" spans="4:10">
      <c r="E70" s="631">
        <v>1050</v>
      </c>
      <c r="F70" s="634">
        <v>-259726.26750294803</v>
      </c>
      <c r="G70" s="634">
        <v>-261928.17146299494</v>
      </c>
      <c r="H70" s="634">
        <v>-263716.15871952276</v>
      </c>
      <c r="I70" s="634">
        <v>-260341.85515853134</v>
      </c>
      <c r="J70" s="634">
        <v>-259134.35832286131</v>
      </c>
    </row>
    <row r="71" spans="4:10">
      <c r="E71" s="631">
        <v>1100</v>
      </c>
      <c r="F71" s="634">
        <v>-27399.395095237</v>
      </c>
      <c r="G71" s="634">
        <v>-29450.667370691106</v>
      </c>
      <c r="H71" s="634">
        <v>-31114.217223044994</v>
      </c>
      <c r="I71" s="634">
        <v>-27512.503164247322</v>
      </c>
      <c r="J71" s="634">
        <v>-26234.023576696254</v>
      </c>
    </row>
    <row r="72" spans="4:10">
      <c r="E72" s="631">
        <v>1200</v>
      </c>
      <c r="F72" s="634">
        <v>437254.34972018865</v>
      </c>
      <c r="G72" s="635">
        <v>435504.34081391618</v>
      </c>
      <c r="H72" s="634">
        <v>434089.66576990986</v>
      </c>
      <c r="I72" s="634">
        <v>438146.2008243262</v>
      </c>
      <c r="J72" s="634">
        <v>439531.40298897639</v>
      </c>
    </row>
    <row r="73" spans="4:10">
      <c r="E73" s="631">
        <v>1250</v>
      </c>
      <c r="F73" s="634">
        <v>669581.22212788532</v>
      </c>
      <c r="G73" s="634">
        <v>667981.84490620741</v>
      </c>
      <c r="H73" s="634">
        <v>666691.60726637417</v>
      </c>
      <c r="I73" s="634">
        <v>670975.55281859892</v>
      </c>
      <c r="J73" s="634">
        <v>671757.86126449145</v>
      </c>
    </row>
    <row r="74" spans="4:10" ht="13.5" thickBot="1">
      <c r="D74" s="633" t="s">
        <v>542</v>
      </c>
      <c r="E74" s="636">
        <v>1300</v>
      </c>
      <c r="F74" s="637">
        <v>901908.09453561588</v>
      </c>
      <c r="G74" s="637">
        <v>900459.34899852914</v>
      </c>
      <c r="H74" s="637">
        <v>899293.54876287107</v>
      </c>
      <c r="I74" s="637">
        <v>903804.90481290314</v>
      </c>
      <c r="J74" s="637">
        <v>903984.31954003591</v>
      </c>
    </row>
    <row r="75" spans="4:10" ht="13.5" thickBot="1">
      <c r="E75" s="640">
        <v>1327.54</v>
      </c>
      <c r="F75" s="641">
        <v>1023593.9678903391</v>
      </c>
      <c r="G75" s="641">
        <v>1022244.6731608569</v>
      </c>
      <c r="H75" s="641">
        <v>1021163.8959231509</v>
      </c>
      <c r="I75" s="642">
        <v>1025742.7128452217</v>
      </c>
      <c r="J75" s="643">
        <v>1027078.3412371086</v>
      </c>
    </row>
    <row r="76" spans="4:10">
      <c r="E76" s="638">
        <v>1400</v>
      </c>
      <c r="F76" s="639">
        <v>1332104.8259497201</v>
      </c>
      <c r="G76" s="639">
        <v>1331016.2791777176</v>
      </c>
      <c r="H76" s="639">
        <v>1330158.2891463104</v>
      </c>
      <c r="I76" s="639">
        <v>1334947.6600042535</v>
      </c>
      <c r="J76" s="639">
        <v>1336264.850339652</v>
      </c>
    </row>
    <row r="77" spans="4:10">
      <c r="E77" s="631">
        <v>1450</v>
      </c>
      <c r="F77" s="634">
        <v>1544967.0127141275</v>
      </c>
      <c r="G77" s="634">
        <v>1544031.255587514</v>
      </c>
      <c r="H77" s="634">
        <v>1543299.8609210721</v>
      </c>
      <c r="I77" s="634">
        <v>1548310.168394441</v>
      </c>
      <c r="J77" s="634">
        <v>1549598.7199370069</v>
      </c>
    </row>
  </sheetData>
  <mergeCells count="5">
    <mergeCell ref="E50:F50"/>
    <mergeCell ref="E51:F51"/>
    <mergeCell ref="E53:F53"/>
    <mergeCell ref="E54:F54"/>
    <mergeCell ref="F67:J67"/>
  </mergeCells>
  <phoneticPr fontId="24" type="noConversion"/>
  <conditionalFormatting sqref="F69:J77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  <cfRule type="cellIs" dxfId="1" priority="2" operator="lessThan">
      <formula>0</formula>
    </cfRule>
    <cfRule type="cellIs" dxfId="0" priority="3" operator="greaterThan">
      <formula>0</formula>
    </cfRule>
  </conditionalFormatting>
  <pageMargins left="1.3779527559055118" right="0.98425196850393704" top="1.5748031496062993" bottom="0.98425196850393704" header="0.31496062992125984" footer="0.31496062992125984"/>
  <pageSetup paperSize="257" scale="45" fitToWidth="0" orientation="landscape" horizontalDpi="4294967295" r:id="rId1"/>
  <headerFooter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P66"/>
  <sheetViews>
    <sheetView topLeftCell="A10" workbookViewId="0">
      <pane xSplit="1" topLeftCell="B1" activePane="topRight" state="frozen"/>
      <selection pane="topRight" activeCell="B26" sqref="B26"/>
    </sheetView>
  </sheetViews>
  <sheetFormatPr baseColWidth="10" defaultColWidth="10.7109375" defaultRowHeight="15"/>
  <cols>
    <col min="1" max="1" width="3" style="169" customWidth="1"/>
    <col min="2" max="2" width="63.42578125" style="169" customWidth="1"/>
    <col min="3" max="3" width="36.42578125" style="169" customWidth="1"/>
    <col min="4" max="4" width="48.42578125" style="169" customWidth="1"/>
    <col min="5" max="5" width="32.7109375" style="169" customWidth="1"/>
    <col min="6" max="6" width="43.7109375" style="169" customWidth="1"/>
    <col min="7" max="8" width="46.42578125" style="169" customWidth="1"/>
    <col min="9" max="9" width="51.42578125" style="169" customWidth="1"/>
    <col min="10" max="10" width="43.7109375" style="169" customWidth="1"/>
    <col min="11" max="11" width="45.7109375" style="169" customWidth="1"/>
    <col min="12" max="12" width="46" style="169" customWidth="1"/>
    <col min="13" max="13" width="55.42578125" style="169" customWidth="1"/>
    <col min="14" max="14" width="0.140625" style="169" customWidth="1"/>
    <col min="15" max="15" width="43.42578125" style="169" customWidth="1"/>
    <col min="16" max="16" width="37.7109375" style="169" customWidth="1"/>
    <col min="17" max="16384" width="10.7109375" style="169"/>
  </cols>
  <sheetData>
    <row r="1" spans="2:16" ht="293.25" customHeight="1">
      <c r="F1" s="170"/>
      <c r="H1" s="171"/>
      <c r="K1" s="172"/>
      <c r="L1" s="172"/>
      <c r="M1" s="171"/>
      <c r="N1" s="172"/>
      <c r="O1" s="172"/>
      <c r="P1" s="172"/>
    </row>
    <row r="2" spans="2:16">
      <c r="K2" s="1007"/>
      <c r="L2" s="1007"/>
      <c r="M2" s="1007"/>
      <c r="N2" s="1007"/>
      <c r="O2" s="172"/>
      <c r="P2" s="172"/>
    </row>
    <row r="3" spans="2:16">
      <c r="K3" s="172"/>
      <c r="L3" s="172"/>
      <c r="M3" s="172"/>
      <c r="N3" s="172"/>
      <c r="O3" s="172"/>
      <c r="P3" s="172"/>
    </row>
    <row r="4" spans="2:16" ht="20.25" customHeight="1">
      <c r="B4" s="1008" t="s">
        <v>128</v>
      </c>
      <c r="C4" s="1008"/>
      <c r="D4" s="1008"/>
      <c r="E4" s="1008"/>
      <c r="F4" s="1008"/>
    </row>
    <row r="5" spans="2:16" ht="15.75" thickBot="1"/>
    <row r="6" spans="2:16" ht="15.75" customHeight="1" thickBot="1">
      <c r="B6" s="1009" t="s">
        <v>129</v>
      </c>
      <c r="C6" s="173"/>
      <c r="D6" s="174"/>
      <c r="E6" s="174"/>
      <c r="F6" s="174"/>
      <c r="G6" s="175"/>
      <c r="H6" s="174"/>
      <c r="I6" s="176"/>
      <c r="J6" s="177"/>
      <c r="K6" s="178"/>
      <c r="L6" s="179"/>
      <c r="M6" s="179"/>
      <c r="N6" s="179"/>
      <c r="O6" s="180"/>
      <c r="P6" s="181"/>
    </row>
    <row r="7" spans="2:16" ht="15" customHeight="1">
      <c r="B7" s="1010"/>
      <c r="C7" s="182" t="s">
        <v>130</v>
      </c>
      <c r="D7" s="182" t="s">
        <v>131</v>
      </c>
      <c r="E7" s="182" t="s">
        <v>132</v>
      </c>
      <c r="F7" s="182" t="s">
        <v>133</v>
      </c>
      <c r="G7" s="183" t="s">
        <v>134</v>
      </c>
      <c r="H7" s="184" t="s">
        <v>135</v>
      </c>
      <c r="I7" s="185" t="s">
        <v>136</v>
      </c>
      <c r="J7" s="182" t="s">
        <v>137</v>
      </c>
      <c r="K7" s="186" t="s">
        <v>138</v>
      </c>
      <c r="L7" s="187" t="s">
        <v>227</v>
      </c>
      <c r="M7" s="188" t="s">
        <v>139</v>
      </c>
      <c r="N7" s="187"/>
      <c r="O7" s="186" t="s">
        <v>140</v>
      </c>
      <c r="P7" s="189" t="s">
        <v>228</v>
      </c>
    </row>
    <row r="8" spans="2:16" ht="15" customHeight="1">
      <c r="B8" s="1010"/>
      <c r="C8" s="190" t="s">
        <v>229</v>
      </c>
      <c r="D8" s="191" t="s">
        <v>230</v>
      </c>
      <c r="E8" s="190" t="s">
        <v>142</v>
      </c>
      <c r="F8" s="190" t="s">
        <v>141</v>
      </c>
      <c r="G8" s="192" t="s">
        <v>231</v>
      </c>
      <c r="H8" s="193" t="s">
        <v>232</v>
      </c>
      <c r="I8" s="194" t="s">
        <v>233</v>
      </c>
      <c r="J8" s="190" t="s">
        <v>234</v>
      </c>
      <c r="K8" s="195" t="s">
        <v>235</v>
      </c>
      <c r="L8" s="196" t="s">
        <v>236</v>
      </c>
      <c r="M8" s="197" t="s">
        <v>237</v>
      </c>
      <c r="N8" s="198"/>
      <c r="O8" s="195" t="s">
        <v>238</v>
      </c>
      <c r="P8" s="199" t="s">
        <v>239</v>
      </c>
    </row>
    <row r="9" spans="2:16" ht="15" customHeight="1">
      <c r="B9" s="1010"/>
      <c r="C9" s="190" t="s">
        <v>240</v>
      </c>
      <c r="D9" s="190" t="s">
        <v>241</v>
      </c>
      <c r="E9" s="190" t="s">
        <v>242</v>
      </c>
      <c r="F9" s="190" t="s">
        <v>243</v>
      </c>
      <c r="G9" s="192" t="s">
        <v>244</v>
      </c>
      <c r="H9" s="193" t="s">
        <v>245</v>
      </c>
      <c r="I9" s="194" t="s">
        <v>246</v>
      </c>
      <c r="J9" s="190" t="s">
        <v>247</v>
      </c>
      <c r="K9" s="195" t="s">
        <v>248</v>
      </c>
      <c r="L9" s="198" t="s">
        <v>249</v>
      </c>
      <c r="M9" s="197" t="s">
        <v>250</v>
      </c>
      <c r="N9" s="198"/>
      <c r="O9" s="195" t="s">
        <v>251</v>
      </c>
      <c r="P9" s="199" t="s">
        <v>252</v>
      </c>
    </row>
    <row r="10" spans="2:16" ht="30.75" customHeight="1" thickBot="1">
      <c r="B10" s="1010"/>
      <c r="C10" s="200" t="s">
        <v>253</v>
      </c>
      <c r="D10" s="200" t="s">
        <v>254</v>
      </c>
      <c r="E10" s="201" t="s">
        <v>143</v>
      </c>
      <c r="F10" s="200" t="s">
        <v>255</v>
      </c>
      <c r="G10" s="192" t="s">
        <v>256</v>
      </c>
      <c r="H10" s="202" t="s">
        <v>257</v>
      </c>
      <c r="I10" s="203" t="s">
        <v>258</v>
      </c>
      <c r="J10" s="200" t="s">
        <v>259</v>
      </c>
      <c r="K10" s="195" t="s">
        <v>260</v>
      </c>
      <c r="L10" s="204" t="s">
        <v>261</v>
      </c>
      <c r="M10" s="205" t="s">
        <v>262</v>
      </c>
      <c r="N10" s="204"/>
      <c r="O10" s="195" t="s">
        <v>263</v>
      </c>
      <c r="P10" s="206" t="s">
        <v>264</v>
      </c>
    </row>
    <row r="11" spans="2:16" ht="15.75" customHeight="1" thickBot="1">
      <c r="B11" s="1011"/>
      <c r="C11" s="207" t="s">
        <v>265</v>
      </c>
      <c r="D11" s="208" t="s">
        <v>266</v>
      </c>
      <c r="E11" s="208" t="s">
        <v>145</v>
      </c>
      <c r="F11" s="208" t="s">
        <v>144</v>
      </c>
      <c r="G11" s="209" t="s">
        <v>267</v>
      </c>
      <c r="H11" s="210" t="s">
        <v>146</v>
      </c>
      <c r="I11" s="211" t="s">
        <v>268</v>
      </c>
      <c r="J11" s="212" t="s">
        <v>266</v>
      </c>
      <c r="K11" s="213" t="s">
        <v>269</v>
      </c>
      <c r="L11" s="214" t="s">
        <v>270</v>
      </c>
      <c r="M11" s="215" t="s">
        <v>146</v>
      </c>
      <c r="N11" s="214"/>
      <c r="O11" s="213" t="s">
        <v>271</v>
      </c>
      <c r="P11" s="216"/>
    </row>
    <row r="12" spans="2:16" ht="15.75" thickBot="1">
      <c r="H12" s="217"/>
      <c r="I12" s="218"/>
      <c r="J12" s="219"/>
      <c r="K12" s="172"/>
      <c r="L12" s="172"/>
      <c r="M12" s="220"/>
      <c r="N12" s="172"/>
      <c r="O12" s="172"/>
      <c r="P12" s="221"/>
    </row>
    <row r="13" spans="2:16" ht="18.75">
      <c r="B13" s="222" t="s">
        <v>147</v>
      </c>
      <c r="C13" s="223"/>
      <c r="D13" s="224"/>
      <c r="E13" s="224"/>
      <c r="F13" s="224"/>
      <c r="G13" s="225"/>
      <c r="H13" s="226"/>
      <c r="I13" s="227"/>
      <c r="J13" s="224"/>
      <c r="K13" s="228"/>
      <c r="L13" s="229"/>
      <c r="M13" s="230"/>
      <c r="N13" s="229"/>
      <c r="O13" s="228"/>
      <c r="P13" s="230"/>
    </row>
    <row r="14" spans="2:16">
      <c r="B14" s="231" t="s">
        <v>148</v>
      </c>
      <c r="C14" s="232" t="s">
        <v>229</v>
      </c>
      <c r="D14" s="232" t="s">
        <v>230</v>
      </c>
      <c r="E14" s="232" t="s">
        <v>149</v>
      </c>
      <c r="F14" s="232" t="s">
        <v>141</v>
      </c>
      <c r="G14" s="233" t="s">
        <v>231</v>
      </c>
      <c r="H14" s="234" t="s">
        <v>232</v>
      </c>
      <c r="I14" s="235" t="s">
        <v>272</v>
      </c>
      <c r="J14" s="232" t="s">
        <v>273</v>
      </c>
      <c r="K14" s="236" t="s">
        <v>235</v>
      </c>
      <c r="L14" s="237" t="s">
        <v>236</v>
      </c>
      <c r="M14" s="238" t="s">
        <v>237</v>
      </c>
      <c r="N14" s="237"/>
      <c r="O14" s="236" t="s">
        <v>238</v>
      </c>
      <c r="P14" s="238" t="s">
        <v>239</v>
      </c>
    </row>
    <row r="15" spans="2:16">
      <c r="B15" s="231" t="s">
        <v>150</v>
      </c>
      <c r="C15" s="232" t="s">
        <v>274</v>
      </c>
      <c r="D15" s="232" t="s">
        <v>275</v>
      </c>
      <c r="E15" s="232" t="s">
        <v>151</v>
      </c>
      <c r="F15" s="232" t="s">
        <v>276</v>
      </c>
      <c r="G15" s="233" t="s">
        <v>277</v>
      </c>
      <c r="H15" s="234" t="s">
        <v>152</v>
      </c>
      <c r="I15" s="239" t="s">
        <v>278</v>
      </c>
      <c r="J15" s="232" t="s">
        <v>279</v>
      </c>
      <c r="K15" s="236" t="s">
        <v>280</v>
      </c>
      <c r="L15" s="237" t="s">
        <v>281</v>
      </c>
      <c r="M15" s="237" t="s">
        <v>282</v>
      </c>
      <c r="N15" s="237"/>
      <c r="O15" s="236" t="s">
        <v>283</v>
      </c>
      <c r="P15" s="238" t="s">
        <v>284</v>
      </c>
    </row>
    <row r="16" spans="2:16">
      <c r="B16" s="231" t="s">
        <v>153</v>
      </c>
      <c r="C16" s="232" t="s">
        <v>285</v>
      </c>
      <c r="D16" s="232" t="s">
        <v>275</v>
      </c>
      <c r="E16" s="232" t="s">
        <v>151</v>
      </c>
      <c r="F16" s="232" t="s">
        <v>276</v>
      </c>
      <c r="G16" s="233" t="s">
        <v>277</v>
      </c>
      <c r="H16" s="234" t="s">
        <v>152</v>
      </c>
      <c r="I16" s="239" t="s">
        <v>278</v>
      </c>
      <c r="J16" s="232" t="s">
        <v>279</v>
      </c>
      <c r="K16" s="236" t="s">
        <v>280</v>
      </c>
      <c r="L16" s="237" t="s">
        <v>281</v>
      </c>
      <c r="M16" s="237" t="s">
        <v>282</v>
      </c>
      <c r="N16" s="237"/>
      <c r="O16" s="236" t="s">
        <v>283</v>
      </c>
      <c r="P16" s="238" t="s">
        <v>284</v>
      </c>
    </row>
    <row r="17" spans="2:16">
      <c r="B17" s="231" t="s">
        <v>154</v>
      </c>
      <c r="C17" s="240" t="s">
        <v>286</v>
      </c>
      <c r="D17" s="240" t="s">
        <v>287</v>
      </c>
      <c r="E17" s="240" t="s">
        <v>155</v>
      </c>
      <c r="F17" s="240" t="s">
        <v>156</v>
      </c>
      <c r="G17" s="241" t="s">
        <v>156</v>
      </c>
      <c r="H17" s="234" t="s">
        <v>157</v>
      </c>
      <c r="I17" s="242" t="s">
        <v>155</v>
      </c>
      <c r="J17" s="240" t="s">
        <v>288</v>
      </c>
      <c r="K17" s="243" t="s">
        <v>157</v>
      </c>
      <c r="L17" s="244" t="s">
        <v>289</v>
      </c>
      <c r="M17" s="244" t="s">
        <v>157</v>
      </c>
      <c r="N17" s="244"/>
      <c r="O17" s="243" t="s">
        <v>157</v>
      </c>
      <c r="P17" s="238" t="s">
        <v>290</v>
      </c>
    </row>
    <row r="18" spans="2:16">
      <c r="B18" s="231" t="s">
        <v>158</v>
      </c>
      <c r="C18" s="240" t="s">
        <v>291</v>
      </c>
      <c r="D18" s="240" t="s">
        <v>159</v>
      </c>
      <c r="E18" s="240" t="s">
        <v>159</v>
      </c>
      <c r="F18" s="240" t="s">
        <v>159</v>
      </c>
      <c r="G18" s="241" t="s">
        <v>159</v>
      </c>
      <c r="H18" s="234" t="s">
        <v>121</v>
      </c>
      <c r="I18" s="242" t="s">
        <v>159</v>
      </c>
      <c r="J18" s="240" t="s">
        <v>291</v>
      </c>
      <c r="K18" s="243" t="s">
        <v>159</v>
      </c>
      <c r="L18" s="244" t="s">
        <v>159</v>
      </c>
      <c r="M18" s="244" t="s">
        <v>159</v>
      </c>
      <c r="N18" s="244"/>
      <c r="O18" s="243" t="s">
        <v>159</v>
      </c>
      <c r="P18" s="238" t="s">
        <v>291</v>
      </c>
    </row>
    <row r="19" spans="2:16">
      <c r="B19" s="231" t="s">
        <v>160</v>
      </c>
      <c r="C19" s="240" t="s">
        <v>122</v>
      </c>
      <c r="D19" s="240" t="s">
        <v>159</v>
      </c>
      <c r="E19" s="240" t="s">
        <v>122</v>
      </c>
      <c r="F19" s="240" t="s">
        <v>291</v>
      </c>
      <c r="G19" s="241" t="s">
        <v>292</v>
      </c>
      <c r="H19" s="234" t="s">
        <v>122</v>
      </c>
      <c r="I19" s="242" t="s">
        <v>122</v>
      </c>
      <c r="J19" s="240" t="s">
        <v>293</v>
      </c>
      <c r="K19" s="243" t="s">
        <v>122</v>
      </c>
      <c r="L19" s="244" t="s">
        <v>293</v>
      </c>
      <c r="M19" s="244" t="s">
        <v>122</v>
      </c>
      <c r="N19" s="244"/>
      <c r="O19" s="243" t="s">
        <v>122</v>
      </c>
      <c r="P19" s="238" t="s">
        <v>293</v>
      </c>
    </row>
    <row r="20" spans="2:16">
      <c r="B20" s="231"/>
      <c r="C20" s="240"/>
      <c r="D20" s="240"/>
      <c r="E20" s="240"/>
      <c r="F20" s="240"/>
      <c r="G20" s="241"/>
      <c r="H20" s="245"/>
      <c r="I20" s="246"/>
      <c r="J20" s="240"/>
      <c r="K20" s="243"/>
      <c r="L20" s="244"/>
      <c r="M20" s="244"/>
      <c r="N20" s="244"/>
      <c r="O20" s="243"/>
      <c r="P20" s="247"/>
    </row>
    <row r="21" spans="2:16" ht="18.75">
      <c r="B21" s="248" t="s">
        <v>161</v>
      </c>
      <c r="C21" s="249"/>
      <c r="D21" s="249"/>
      <c r="E21" s="249"/>
      <c r="F21" s="249"/>
      <c r="G21" s="250"/>
      <c r="H21" s="245"/>
      <c r="I21" s="246"/>
      <c r="J21" s="249"/>
      <c r="K21" s="251"/>
      <c r="L21" s="252"/>
      <c r="M21" s="252"/>
      <c r="N21" s="252"/>
      <c r="O21" s="251"/>
      <c r="P21" s="247"/>
    </row>
    <row r="22" spans="2:16">
      <c r="B22" s="231" t="s">
        <v>162</v>
      </c>
      <c r="C22" s="240">
        <v>2</v>
      </c>
      <c r="D22" s="240">
        <v>1</v>
      </c>
      <c r="E22" s="240">
        <v>1</v>
      </c>
      <c r="F22" s="240">
        <v>4</v>
      </c>
      <c r="G22" s="241">
        <v>1</v>
      </c>
      <c r="H22" s="234">
        <v>2</v>
      </c>
      <c r="I22" s="242">
        <v>1</v>
      </c>
      <c r="J22" s="240">
        <v>1</v>
      </c>
      <c r="K22" s="243">
        <v>1</v>
      </c>
      <c r="L22" s="244">
        <v>1</v>
      </c>
      <c r="M22" s="244">
        <v>1</v>
      </c>
      <c r="N22" s="244"/>
      <c r="O22" s="243">
        <v>1</v>
      </c>
      <c r="P22" s="238">
        <v>2</v>
      </c>
    </row>
    <row r="23" spans="2:16">
      <c r="B23" s="231" t="s">
        <v>163</v>
      </c>
      <c r="C23" s="240">
        <v>20</v>
      </c>
      <c r="D23" s="240">
        <v>10</v>
      </c>
      <c r="E23" s="240">
        <v>20</v>
      </c>
      <c r="F23" s="240">
        <v>20</v>
      </c>
      <c r="G23" s="241">
        <v>20</v>
      </c>
      <c r="H23" s="234">
        <v>16</v>
      </c>
      <c r="I23" s="242">
        <v>13</v>
      </c>
      <c r="J23" s="240">
        <v>10</v>
      </c>
      <c r="K23" s="243">
        <v>8</v>
      </c>
      <c r="L23" s="244">
        <v>6</v>
      </c>
      <c r="M23" s="244">
        <v>8</v>
      </c>
      <c r="N23" s="244"/>
      <c r="O23" s="243">
        <v>6</v>
      </c>
      <c r="P23" s="238">
        <v>5</v>
      </c>
    </row>
    <row r="24" spans="2:16">
      <c r="B24" s="231" t="s">
        <v>164</v>
      </c>
      <c r="C24" s="242">
        <v>48</v>
      </c>
      <c r="D24" s="240">
        <v>20</v>
      </c>
      <c r="E24" s="240">
        <v>100</v>
      </c>
      <c r="F24" s="240">
        <v>14</v>
      </c>
      <c r="G24" s="241">
        <v>96</v>
      </c>
      <c r="H24" s="234">
        <v>46</v>
      </c>
      <c r="I24" s="235">
        <v>24</v>
      </c>
      <c r="J24" s="240">
        <v>31</v>
      </c>
      <c r="K24" s="243">
        <v>16</v>
      </c>
      <c r="L24" s="244">
        <v>12</v>
      </c>
      <c r="M24" s="244">
        <v>16</v>
      </c>
      <c r="N24" s="244"/>
      <c r="O24" s="243">
        <v>12</v>
      </c>
      <c r="P24" s="238">
        <v>20</v>
      </c>
    </row>
    <row r="25" spans="2:16">
      <c r="B25" s="231" t="s">
        <v>165</v>
      </c>
      <c r="C25" s="249">
        <v>0</v>
      </c>
      <c r="D25" s="249"/>
      <c r="E25" s="249">
        <v>0</v>
      </c>
      <c r="F25" s="249">
        <v>0</v>
      </c>
      <c r="G25" s="250" t="s">
        <v>294</v>
      </c>
      <c r="H25" s="245"/>
      <c r="I25" s="246"/>
      <c r="J25" s="249"/>
      <c r="K25" s="251" t="s">
        <v>295</v>
      </c>
      <c r="L25" s="252"/>
      <c r="M25" s="252">
        <v>0</v>
      </c>
      <c r="N25" s="252"/>
      <c r="O25" s="251" t="s">
        <v>166</v>
      </c>
      <c r="P25" s="247"/>
    </row>
    <row r="26" spans="2:16" s="377" customFormat="1">
      <c r="B26" s="369" t="s">
        <v>167</v>
      </c>
      <c r="C26" s="370" t="s">
        <v>296</v>
      </c>
      <c r="D26" s="370" t="s">
        <v>297</v>
      </c>
      <c r="E26" s="370" t="s">
        <v>298</v>
      </c>
      <c r="F26" s="370" t="s">
        <v>299</v>
      </c>
      <c r="G26" s="371" t="s">
        <v>168</v>
      </c>
      <c r="H26" s="372" t="s">
        <v>168</v>
      </c>
      <c r="I26" s="373" t="s">
        <v>300</v>
      </c>
      <c r="J26" s="370" t="s">
        <v>169</v>
      </c>
      <c r="K26" s="374" t="s">
        <v>301</v>
      </c>
      <c r="L26" s="375" t="s">
        <v>302</v>
      </c>
      <c r="M26" s="375" t="s">
        <v>303</v>
      </c>
      <c r="N26" s="375"/>
      <c r="O26" s="374" t="s">
        <v>304</v>
      </c>
      <c r="P26" s="376" t="s">
        <v>305</v>
      </c>
    </row>
    <row r="27" spans="2:16" s="377" customFormat="1">
      <c r="B27" s="378" t="s">
        <v>398</v>
      </c>
      <c r="C27" s="370" t="s">
        <v>296</v>
      </c>
      <c r="D27" s="370" t="s">
        <v>297</v>
      </c>
      <c r="E27" s="370" t="s">
        <v>298</v>
      </c>
      <c r="F27" s="370" t="s">
        <v>299</v>
      </c>
      <c r="G27" s="371" t="s">
        <v>168</v>
      </c>
      <c r="H27" s="372" t="s">
        <v>168</v>
      </c>
      <c r="I27" s="373" t="s">
        <v>300</v>
      </c>
      <c r="J27" s="370" t="s">
        <v>169</v>
      </c>
      <c r="K27" s="374" t="s">
        <v>301</v>
      </c>
      <c r="L27" s="375" t="s">
        <v>302</v>
      </c>
      <c r="M27" s="375" t="s">
        <v>303</v>
      </c>
      <c r="N27" s="375"/>
      <c r="O27" s="374" t="s">
        <v>304</v>
      </c>
      <c r="P27" s="376" t="s">
        <v>305</v>
      </c>
    </row>
    <row r="28" spans="2:16">
      <c r="B28" s="231" t="s">
        <v>170</v>
      </c>
      <c r="C28" s="240">
        <v>3</v>
      </c>
      <c r="D28" s="240">
        <v>3</v>
      </c>
      <c r="E28" s="241">
        <v>3</v>
      </c>
      <c r="F28" s="240">
        <v>3</v>
      </c>
      <c r="G28" s="240">
        <v>3</v>
      </c>
      <c r="H28" s="253">
        <v>3</v>
      </c>
      <c r="I28" s="242">
        <v>3</v>
      </c>
      <c r="J28" s="240">
        <v>3</v>
      </c>
      <c r="K28" s="244">
        <v>3</v>
      </c>
      <c r="L28" s="244">
        <v>3</v>
      </c>
      <c r="M28" s="243">
        <v>3</v>
      </c>
      <c r="N28" s="244"/>
      <c r="O28" s="244">
        <v>3</v>
      </c>
      <c r="P28" s="254">
        <v>3</v>
      </c>
    </row>
    <row r="29" spans="2:16">
      <c r="B29" s="231" t="s">
        <v>171</v>
      </c>
      <c r="C29" s="255">
        <v>2</v>
      </c>
      <c r="D29" s="255">
        <v>2</v>
      </c>
      <c r="E29" s="256">
        <v>2</v>
      </c>
      <c r="F29" s="255">
        <v>2</v>
      </c>
      <c r="G29" s="255">
        <v>2</v>
      </c>
      <c r="H29" s="253">
        <v>2</v>
      </c>
      <c r="I29" s="257">
        <v>3</v>
      </c>
      <c r="J29" s="255">
        <v>2</v>
      </c>
      <c r="K29" s="258">
        <v>2</v>
      </c>
      <c r="L29" s="258">
        <v>2</v>
      </c>
      <c r="M29" s="259">
        <v>2</v>
      </c>
      <c r="N29" s="258"/>
      <c r="O29" s="258">
        <v>3</v>
      </c>
      <c r="P29" s="254">
        <v>2</v>
      </c>
    </row>
    <row r="30" spans="2:16">
      <c r="B30" s="260" t="s">
        <v>172</v>
      </c>
      <c r="C30" s="261" t="s">
        <v>292</v>
      </c>
      <c r="D30" s="261" t="s">
        <v>122</v>
      </c>
      <c r="E30" s="261" t="s">
        <v>122</v>
      </c>
      <c r="F30" s="262" t="s">
        <v>292</v>
      </c>
      <c r="G30" s="261" t="s">
        <v>122</v>
      </c>
      <c r="H30" s="253" t="s">
        <v>122</v>
      </c>
      <c r="I30" s="263" t="s">
        <v>122</v>
      </c>
      <c r="J30" s="262" t="s">
        <v>293</v>
      </c>
      <c r="K30" s="264" t="s">
        <v>292</v>
      </c>
      <c r="L30" s="264" t="s">
        <v>122</v>
      </c>
      <c r="M30" s="264" t="s">
        <v>122</v>
      </c>
      <c r="N30" s="265"/>
      <c r="O30" s="264" t="s">
        <v>122</v>
      </c>
      <c r="P30" s="254" t="s">
        <v>293</v>
      </c>
    </row>
    <row r="31" spans="2:16">
      <c r="B31" s="266" t="s">
        <v>173</v>
      </c>
      <c r="C31" s="242" t="s">
        <v>159</v>
      </c>
      <c r="D31" s="242" t="s">
        <v>122</v>
      </c>
      <c r="E31" s="242" t="s">
        <v>293</v>
      </c>
      <c r="F31" s="267" t="s">
        <v>292</v>
      </c>
      <c r="G31" s="242" t="s">
        <v>122</v>
      </c>
      <c r="H31" s="268" t="s">
        <v>122</v>
      </c>
      <c r="I31" s="242" t="s">
        <v>122</v>
      </c>
      <c r="J31" s="267" t="s">
        <v>293</v>
      </c>
      <c r="K31" s="269" t="s">
        <v>292</v>
      </c>
      <c r="L31" s="269" t="s">
        <v>122</v>
      </c>
      <c r="M31" s="269" t="s">
        <v>293</v>
      </c>
      <c r="N31" s="270"/>
      <c r="O31" s="269" t="s">
        <v>122</v>
      </c>
      <c r="P31" s="271" t="s">
        <v>293</v>
      </c>
    </row>
    <row r="32" spans="2:16">
      <c r="B32" s="272" t="s">
        <v>174</v>
      </c>
      <c r="C32" s="240"/>
      <c r="D32" s="240" t="s">
        <v>292</v>
      </c>
      <c r="E32" s="240"/>
      <c r="F32" s="273">
        <v>443</v>
      </c>
      <c r="G32" s="240"/>
      <c r="H32" s="253" t="s">
        <v>291</v>
      </c>
      <c r="I32" s="246"/>
      <c r="J32" s="273"/>
      <c r="K32" s="244"/>
      <c r="L32" s="244" t="s">
        <v>292</v>
      </c>
      <c r="M32" s="244">
        <v>11</v>
      </c>
      <c r="N32" s="274"/>
      <c r="O32" s="244">
        <v>9</v>
      </c>
      <c r="P32" s="254" t="s">
        <v>291</v>
      </c>
    </row>
    <row r="33" spans="2:16">
      <c r="B33" s="275" t="s">
        <v>175</v>
      </c>
      <c r="C33" s="276"/>
      <c r="D33" s="276" t="s">
        <v>292</v>
      </c>
      <c r="E33" s="277"/>
      <c r="F33" s="278">
        <v>253</v>
      </c>
      <c r="G33" s="276"/>
      <c r="H33" s="253"/>
      <c r="I33" s="246"/>
      <c r="J33" s="279"/>
      <c r="K33" s="280"/>
      <c r="L33" s="280"/>
      <c r="M33" s="281"/>
      <c r="N33" s="282"/>
      <c r="O33" s="280"/>
      <c r="P33" s="254"/>
    </row>
    <row r="34" spans="2:16">
      <c r="B34" s="275" t="s">
        <v>176</v>
      </c>
      <c r="C34" s="276" t="s">
        <v>178</v>
      </c>
      <c r="D34" s="276" t="s">
        <v>178</v>
      </c>
      <c r="E34" s="277" t="s">
        <v>178</v>
      </c>
      <c r="F34" s="278" t="s">
        <v>178</v>
      </c>
      <c r="G34" s="276" t="s">
        <v>178</v>
      </c>
      <c r="H34" s="253" t="s">
        <v>306</v>
      </c>
      <c r="I34" s="235" t="s">
        <v>177</v>
      </c>
      <c r="J34" s="279" t="s">
        <v>177</v>
      </c>
      <c r="K34" s="280" t="s">
        <v>178</v>
      </c>
      <c r="L34" s="280" t="s">
        <v>177</v>
      </c>
      <c r="M34" s="281" t="s">
        <v>307</v>
      </c>
      <c r="N34" s="282"/>
      <c r="O34" s="280" t="s">
        <v>308</v>
      </c>
      <c r="P34" s="254" t="s">
        <v>309</v>
      </c>
    </row>
    <row r="35" spans="2:16" ht="19.5" thickBot="1">
      <c r="B35" s="283" t="s">
        <v>179</v>
      </c>
      <c r="C35" s="276"/>
      <c r="D35" s="276"/>
      <c r="E35" s="240"/>
      <c r="F35" s="278"/>
      <c r="G35" s="276"/>
      <c r="H35" s="284"/>
      <c r="I35" s="246"/>
      <c r="J35" s="279"/>
      <c r="K35" s="280"/>
      <c r="L35" s="280"/>
      <c r="M35" s="244"/>
      <c r="N35" s="282"/>
      <c r="O35" s="280"/>
      <c r="P35" s="285"/>
    </row>
    <row r="36" spans="2:16">
      <c r="B36" s="286" t="s">
        <v>120</v>
      </c>
      <c r="C36" s="240"/>
      <c r="D36" s="240" t="s">
        <v>310</v>
      </c>
      <c r="E36" s="240" t="s">
        <v>180</v>
      </c>
      <c r="F36" s="273" t="s">
        <v>180</v>
      </c>
      <c r="G36" s="240" t="s">
        <v>180</v>
      </c>
      <c r="H36" s="253" t="s">
        <v>311</v>
      </c>
      <c r="I36" s="242" t="s">
        <v>312</v>
      </c>
      <c r="J36" s="273"/>
      <c r="K36" s="244" t="s">
        <v>180</v>
      </c>
      <c r="L36" s="244" t="s">
        <v>310</v>
      </c>
      <c r="M36" s="244" t="s">
        <v>313</v>
      </c>
      <c r="N36" s="274"/>
      <c r="O36" s="244" t="s">
        <v>314</v>
      </c>
      <c r="P36" s="254" t="s">
        <v>180</v>
      </c>
    </row>
    <row r="37" spans="2:16" ht="30">
      <c r="B37" s="260" t="s">
        <v>181</v>
      </c>
      <c r="C37" s="287" t="s">
        <v>182</v>
      </c>
      <c r="D37" s="240" t="s">
        <v>315</v>
      </c>
      <c r="E37" s="240" t="s">
        <v>182</v>
      </c>
      <c r="F37" s="273" t="s">
        <v>316</v>
      </c>
      <c r="G37" s="240" t="s">
        <v>317</v>
      </c>
      <c r="H37" s="253" t="s">
        <v>318</v>
      </c>
      <c r="I37" s="288" t="s">
        <v>182</v>
      </c>
      <c r="J37" s="273" t="s">
        <v>319</v>
      </c>
      <c r="K37" s="244" t="s">
        <v>182</v>
      </c>
      <c r="L37" s="244" t="s">
        <v>320</v>
      </c>
      <c r="M37" s="244" t="s">
        <v>182</v>
      </c>
      <c r="N37" s="274"/>
      <c r="O37" s="244" t="s">
        <v>321</v>
      </c>
      <c r="P37" s="254" t="s">
        <v>320</v>
      </c>
    </row>
    <row r="38" spans="2:16" ht="13.5" customHeight="1">
      <c r="B38" s="260" t="s">
        <v>183</v>
      </c>
      <c r="C38" s="240" t="s">
        <v>322</v>
      </c>
      <c r="D38" s="240" t="s">
        <v>315</v>
      </c>
      <c r="E38" s="240" t="s">
        <v>184</v>
      </c>
      <c r="F38" s="289" t="s">
        <v>323</v>
      </c>
      <c r="G38" s="240" t="s">
        <v>184</v>
      </c>
      <c r="H38" s="253" t="s">
        <v>324</v>
      </c>
      <c r="I38" s="246" t="s">
        <v>325</v>
      </c>
      <c r="J38" s="289"/>
      <c r="K38" s="244" t="s">
        <v>184</v>
      </c>
      <c r="L38" s="244" t="s">
        <v>326</v>
      </c>
      <c r="M38" s="244" t="s">
        <v>327</v>
      </c>
      <c r="N38" s="290"/>
      <c r="O38" s="244" t="s">
        <v>184</v>
      </c>
      <c r="P38" s="254"/>
    </row>
    <row r="39" spans="2:16" ht="12.75" customHeight="1">
      <c r="B39" s="260" t="s">
        <v>185</v>
      </c>
      <c r="C39" s="240" t="s">
        <v>186</v>
      </c>
      <c r="D39" s="240"/>
      <c r="E39" s="240" t="s">
        <v>186</v>
      </c>
      <c r="F39" s="273" t="s">
        <v>186</v>
      </c>
      <c r="G39" s="240" t="s">
        <v>186</v>
      </c>
      <c r="H39" s="253"/>
      <c r="I39" s="242" t="s">
        <v>186</v>
      </c>
      <c r="J39" s="273"/>
      <c r="K39" s="244" t="s">
        <v>186</v>
      </c>
      <c r="L39" s="244" t="s">
        <v>328</v>
      </c>
      <c r="M39" s="244" t="s">
        <v>186</v>
      </c>
      <c r="N39" s="274"/>
      <c r="O39" s="244" t="s">
        <v>186</v>
      </c>
      <c r="P39" s="254"/>
    </row>
    <row r="40" spans="2:16" ht="28.5" customHeight="1">
      <c r="B40" s="260" t="s">
        <v>187</v>
      </c>
      <c r="C40" s="240" t="s">
        <v>184</v>
      </c>
      <c r="D40" s="240" t="s">
        <v>319</v>
      </c>
      <c r="E40" s="240" t="s">
        <v>184</v>
      </c>
      <c r="F40" s="273" t="s">
        <v>184</v>
      </c>
      <c r="G40" s="240"/>
      <c r="H40" s="253"/>
      <c r="I40" s="246" t="s">
        <v>329</v>
      </c>
      <c r="J40" s="273"/>
      <c r="K40" s="244"/>
      <c r="L40" s="244"/>
      <c r="M40" s="244"/>
      <c r="N40" s="274"/>
      <c r="O40" s="244"/>
      <c r="P40" s="254"/>
    </row>
    <row r="41" spans="2:16" ht="13.5" customHeight="1">
      <c r="B41" s="260" t="s">
        <v>188</v>
      </c>
      <c r="C41" s="240"/>
      <c r="D41" s="240"/>
      <c r="E41" s="240"/>
      <c r="F41" s="273"/>
      <c r="G41" s="241"/>
      <c r="H41" s="234"/>
      <c r="I41" s="246"/>
      <c r="J41" s="273"/>
      <c r="K41" s="243"/>
      <c r="L41" s="244"/>
      <c r="M41" s="244"/>
      <c r="N41" s="274"/>
      <c r="O41" s="243"/>
      <c r="P41" s="238"/>
    </row>
    <row r="42" spans="2:16" ht="12.75" customHeight="1">
      <c r="B42" s="260" t="s">
        <v>118</v>
      </c>
      <c r="C42" s="240"/>
      <c r="D42" s="240"/>
      <c r="E42" s="240"/>
      <c r="F42" s="273"/>
      <c r="G42" s="241"/>
      <c r="H42" s="234"/>
      <c r="I42" s="246"/>
      <c r="J42" s="273"/>
      <c r="K42" s="243"/>
      <c r="L42" s="244"/>
      <c r="M42" s="244"/>
      <c r="N42" s="274"/>
      <c r="O42" s="243"/>
      <c r="P42" s="238"/>
    </row>
    <row r="43" spans="2:16" ht="12.75" customHeight="1">
      <c r="B43" s="260" t="s">
        <v>189</v>
      </c>
      <c r="C43" s="240"/>
      <c r="D43" s="240"/>
      <c r="E43" s="240"/>
      <c r="F43" s="273"/>
      <c r="G43" s="241"/>
      <c r="H43" s="234"/>
      <c r="I43" s="246"/>
      <c r="J43" s="273"/>
      <c r="K43" s="243"/>
      <c r="L43" s="244"/>
      <c r="M43" s="244"/>
      <c r="N43" s="274"/>
      <c r="O43" s="243"/>
      <c r="P43" s="238"/>
    </row>
    <row r="44" spans="2:16" ht="13.5" customHeight="1">
      <c r="B44" s="260" t="s">
        <v>190</v>
      </c>
      <c r="C44" s="240"/>
      <c r="D44" s="240"/>
      <c r="E44" s="240"/>
      <c r="F44" s="273"/>
      <c r="G44" s="241"/>
      <c r="H44" s="245"/>
      <c r="I44" s="246"/>
      <c r="J44" s="273"/>
      <c r="K44" s="243"/>
      <c r="L44" s="244"/>
      <c r="M44" s="244"/>
      <c r="N44" s="274"/>
      <c r="O44" s="243"/>
      <c r="P44" s="247"/>
    </row>
    <row r="45" spans="2:16" ht="14.25" customHeight="1">
      <c r="B45" s="291" t="s">
        <v>191</v>
      </c>
      <c r="C45" s="240"/>
      <c r="D45" s="240"/>
      <c r="E45" s="240"/>
      <c r="F45" s="273"/>
      <c r="G45" s="241"/>
      <c r="H45" s="245"/>
      <c r="I45" s="246"/>
      <c r="J45" s="273"/>
      <c r="K45" s="243"/>
      <c r="L45" s="244"/>
      <c r="M45" s="244"/>
      <c r="N45" s="274"/>
      <c r="O45" s="243"/>
      <c r="P45" s="247"/>
    </row>
    <row r="46" spans="2:16" ht="13.5" customHeight="1">
      <c r="B46" s="231" t="s">
        <v>192</v>
      </c>
      <c r="C46" s="292">
        <v>303850</v>
      </c>
      <c r="D46" s="293" t="s">
        <v>330</v>
      </c>
      <c r="E46" s="292">
        <v>271000</v>
      </c>
      <c r="F46" s="294">
        <v>315416</v>
      </c>
      <c r="G46" s="295">
        <v>230000</v>
      </c>
      <c r="H46" s="296">
        <v>212800</v>
      </c>
      <c r="I46" s="242" t="s">
        <v>331</v>
      </c>
      <c r="J46" s="294" t="s">
        <v>332</v>
      </c>
      <c r="K46" s="297">
        <v>397450</v>
      </c>
      <c r="L46" s="298" t="s">
        <v>333</v>
      </c>
      <c r="M46" s="299">
        <v>276600</v>
      </c>
      <c r="N46" s="300"/>
      <c r="O46" s="301">
        <v>445000</v>
      </c>
      <c r="P46" s="302">
        <v>245000</v>
      </c>
    </row>
    <row r="47" spans="2:16" ht="13.5" customHeight="1">
      <c r="B47" s="231" t="s">
        <v>193</v>
      </c>
      <c r="C47" s="240"/>
      <c r="D47" s="240" t="s">
        <v>334</v>
      </c>
      <c r="E47" s="303" t="s">
        <v>194</v>
      </c>
      <c r="F47" s="304">
        <v>18900</v>
      </c>
      <c r="G47" s="305" t="s">
        <v>335</v>
      </c>
      <c r="H47" s="245" t="s">
        <v>336</v>
      </c>
      <c r="I47" s="246" t="s">
        <v>337</v>
      </c>
      <c r="J47" s="304" t="s">
        <v>338</v>
      </c>
      <c r="K47" s="306">
        <v>19250</v>
      </c>
      <c r="L47" s="299">
        <v>19000</v>
      </c>
      <c r="M47" s="307" t="s">
        <v>339</v>
      </c>
      <c r="N47" s="308"/>
      <c r="O47" s="309">
        <v>23800</v>
      </c>
      <c r="P47" s="310">
        <v>19600</v>
      </c>
    </row>
    <row r="48" spans="2:16" ht="13.5" customHeight="1">
      <c r="B48" s="231" t="s">
        <v>195</v>
      </c>
      <c r="C48" s="240"/>
      <c r="D48" s="240"/>
      <c r="E48" s="240"/>
      <c r="F48" s="240"/>
      <c r="G48" s="241"/>
      <c r="H48" s="245"/>
      <c r="I48" s="246"/>
      <c r="J48" s="240"/>
      <c r="K48" s="243"/>
      <c r="L48" s="244"/>
      <c r="M48" s="244"/>
      <c r="N48" s="244"/>
      <c r="O48" s="243"/>
      <c r="P48" s="247"/>
    </row>
    <row r="49" spans="2:16" ht="13.5" customHeight="1">
      <c r="B49" s="231" t="s">
        <v>196</v>
      </c>
      <c r="C49" s="311" t="s">
        <v>340</v>
      </c>
      <c r="D49" s="311" t="s">
        <v>341</v>
      </c>
      <c r="E49" s="311" t="s">
        <v>342</v>
      </c>
      <c r="F49" s="311" t="s">
        <v>343</v>
      </c>
      <c r="G49" s="312" t="s">
        <v>344</v>
      </c>
      <c r="H49" s="313" t="s">
        <v>345</v>
      </c>
      <c r="I49" s="314" t="s">
        <v>346</v>
      </c>
      <c r="J49" s="311" t="s">
        <v>347</v>
      </c>
      <c r="K49" s="315" t="s">
        <v>348</v>
      </c>
      <c r="L49" s="316" t="s">
        <v>349</v>
      </c>
      <c r="M49" s="316" t="s">
        <v>350</v>
      </c>
      <c r="N49" s="316"/>
      <c r="O49" s="315" t="s">
        <v>351</v>
      </c>
      <c r="P49" s="317" t="s">
        <v>352</v>
      </c>
    </row>
    <row r="50" spans="2:16" ht="13.5" customHeight="1">
      <c r="B50" s="231" t="s">
        <v>197</v>
      </c>
      <c r="C50" s="240"/>
      <c r="D50" s="240"/>
      <c r="E50" s="240"/>
      <c r="F50" s="240"/>
      <c r="G50" s="241"/>
      <c r="H50" s="245"/>
      <c r="I50" s="246"/>
      <c r="J50" s="240"/>
      <c r="K50" s="243"/>
      <c r="L50" s="244"/>
      <c r="M50" s="244"/>
      <c r="N50" s="244"/>
      <c r="O50" s="243"/>
      <c r="P50" s="247"/>
    </row>
    <row r="51" spans="2:16" ht="15" customHeight="1">
      <c r="B51" s="248" t="s">
        <v>198</v>
      </c>
      <c r="C51" s="311" t="s">
        <v>353</v>
      </c>
      <c r="D51" s="311" t="s">
        <v>199</v>
      </c>
      <c r="E51" s="311" t="s">
        <v>200</v>
      </c>
      <c r="F51" s="311" t="s">
        <v>199</v>
      </c>
      <c r="G51" s="312" t="s">
        <v>200</v>
      </c>
      <c r="H51" s="313" t="s">
        <v>201</v>
      </c>
      <c r="I51" s="314"/>
      <c r="J51" s="311"/>
      <c r="K51" s="315"/>
      <c r="L51" s="316"/>
      <c r="M51" s="316"/>
      <c r="N51" s="316"/>
      <c r="O51" s="315"/>
      <c r="P51" s="317"/>
    </row>
    <row r="52" spans="2:16" ht="13.5" customHeight="1">
      <c r="B52" s="231" t="s">
        <v>202</v>
      </c>
      <c r="C52" s="318"/>
      <c r="D52" s="318"/>
      <c r="E52" s="261"/>
      <c r="F52" s="261"/>
      <c r="G52" s="319"/>
      <c r="H52" s="320"/>
      <c r="I52" s="321">
        <v>41000</v>
      </c>
      <c r="J52" s="261"/>
      <c r="K52" s="322"/>
      <c r="L52" s="323">
        <v>40909</v>
      </c>
      <c r="M52" s="264"/>
      <c r="N52" s="264"/>
      <c r="O52" s="322"/>
      <c r="P52" s="324"/>
    </row>
    <row r="53" spans="2:16" ht="13.5" customHeight="1">
      <c r="B53" s="231" t="s">
        <v>203</v>
      </c>
      <c r="C53" s="318"/>
      <c r="D53" s="318"/>
      <c r="E53" s="318"/>
      <c r="F53" s="318"/>
      <c r="G53" s="325"/>
      <c r="H53" s="320"/>
      <c r="I53" s="321"/>
      <c r="J53" s="326"/>
      <c r="K53" s="327"/>
      <c r="L53" s="323"/>
      <c r="M53" s="323"/>
      <c r="N53" s="323"/>
      <c r="O53" s="327"/>
      <c r="P53" s="324"/>
    </row>
    <row r="54" spans="2:16" ht="13.5" customHeight="1" thickBot="1">
      <c r="B54" s="328" t="s">
        <v>204</v>
      </c>
      <c r="C54" s="329">
        <v>41091</v>
      </c>
      <c r="D54" s="329">
        <v>41334</v>
      </c>
      <c r="E54" s="261">
        <v>41244</v>
      </c>
      <c r="F54" s="261" t="s">
        <v>354</v>
      </c>
      <c r="G54" s="319">
        <v>41426</v>
      </c>
      <c r="H54" s="320">
        <v>41334</v>
      </c>
      <c r="I54" s="321">
        <v>41365</v>
      </c>
      <c r="J54" s="261">
        <v>41334</v>
      </c>
      <c r="K54" s="322">
        <v>41030</v>
      </c>
      <c r="L54" s="330">
        <v>41244</v>
      </c>
      <c r="M54" s="264">
        <v>41244</v>
      </c>
      <c r="N54" s="264"/>
      <c r="O54" s="322">
        <v>41122</v>
      </c>
      <c r="P54" s="324">
        <v>41244</v>
      </c>
    </row>
    <row r="55" spans="2:16" ht="13.5" customHeight="1">
      <c r="B55" s="331" t="s">
        <v>205</v>
      </c>
      <c r="C55" s="224">
        <v>5</v>
      </c>
      <c r="D55" s="224"/>
      <c r="E55" s="224"/>
      <c r="F55" s="224"/>
      <c r="G55" s="225" t="s">
        <v>355</v>
      </c>
      <c r="H55" s="234">
        <v>9</v>
      </c>
      <c r="I55" s="242">
        <v>15</v>
      </c>
      <c r="J55" s="224"/>
      <c r="K55" s="228">
        <v>2</v>
      </c>
      <c r="L55" s="229">
        <v>3</v>
      </c>
      <c r="M55" s="229"/>
      <c r="N55" s="229"/>
      <c r="O55" s="228">
        <v>4</v>
      </c>
      <c r="P55" s="238"/>
    </row>
    <row r="56" spans="2:16" ht="13.5" customHeight="1">
      <c r="B56" s="231" t="s">
        <v>206</v>
      </c>
      <c r="C56" s="240"/>
      <c r="D56" s="240"/>
      <c r="E56" s="240"/>
      <c r="F56" s="240"/>
      <c r="G56" s="241"/>
      <c r="H56" s="234"/>
      <c r="I56" s="242">
        <v>13</v>
      </c>
      <c r="J56" s="240"/>
      <c r="K56" s="243">
        <v>2</v>
      </c>
      <c r="L56" s="244">
        <v>2</v>
      </c>
      <c r="M56" s="244"/>
      <c r="N56" s="244"/>
      <c r="O56" s="243">
        <v>2</v>
      </c>
      <c r="P56" s="238"/>
    </row>
    <row r="57" spans="2:16" ht="12" customHeight="1">
      <c r="B57" s="231" t="s">
        <v>207</v>
      </c>
      <c r="C57" s="240"/>
      <c r="D57" s="240"/>
      <c r="E57" s="240"/>
      <c r="F57" s="240"/>
      <c r="G57" s="241"/>
      <c r="H57" s="245"/>
      <c r="I57" s="246"/>
      <c r="J57" s="240"/>
      <c r="K57" s="243"/>
      <c r="L57" s="244"/>
      <c r="M57" s="244"/>
      <c r="N57" s="244"/>
      <c r="O57" s="243"/>
      <c r="P57" s="247"/>
    </row>
    <row r="58" spans="2:16" ht="45.75" customHeight="1">
      <c r="B58" s="248" t="s">
        <v>208</v>
      </c>
      <c r="C58" s="240" t="s">
        <v>356</v>
      </c>
      <c r="D58" s="240" t="s">
        <v>357</v>
      </c>
      <c r="E58" s="240" t="s">
        <v>358</v>
      </c>
      <c r="F58" s="240" t="s">
        <v>359</v>
      </c>
      <c r="G58" s="241" t="s">
        <v>360</v>
      </c>
      <c r="H58" s="245" t="s">
        <v>361</v>
      </c>
      <c r="I58" s="332" t="s">
        <v>362</v>
      </c>
      <c r="J58" s="240" t="s">
        <v>363</v>
      </c>
      <c r="K58" s="243" t="s">
        <v>364</v>
      </c>
      <c r="L58" s="244" t="s">
        <v>365</v>
      </c>
      <c r="M58" s="244" t="s">
        <v>366</v>
      </c>
      <c r="N58" s="244"/>
      <c r="O58" s="243" t="s">
        <v>367</v>
      </c>
      <c r="P58" s="247" t="s">
        <v>368</v>
      </c>
    </row>
    <row r="59" spans="2:16" ht="13.5" customHeight="1">
      <c r="B59" s="231"/>
      <c r="C59" s="240"/>
      <c r="D59" s="240"/>
      <c r="E59" s="240"/>
      <c r="F59" s="240" t="s">
        <v>369</v>
      </c>
      <c r="G59" s="241"/>
      <c r="H59" s="245"/>
      <c r="I59" s="246"/>
      <c r="J59" s="240"/>
      <c r="K59" s="243"/>
      <c r="L59" s="244"/>
      <c r="M59" s="244"/>
      <c r="N59" s="244"/>
      <c r="O59" s="243"/>
      <c r="P59" s="247"/>
    </row>
    <row r="60" spans="2:16" ht="13.5" customHeight="1">
      <c r="B60" s="231" t="s">
        <v>209</v>
      </c>
      <c r="C60" s="240" t="s">
        <v>122</v>
      </c>
      <c r="D60" s="240"/>
      <c r="E60" s="240" t="s">
        <v>122</v>
      </c>
      <c r="F60" s="240" t="s">
        <v>122</v>
      </c>
      <c r="G60" s="241" t="s">
        <v>122</v>
      </c>
      <c r="H60" s="234" t="s">
        <v>122</v>
      </c>
      <c r="I60" s="235" t="s">
        <v>122</v>
      </c>
      <c r="J60" s="240"/>
      <c r="K60" s="243" t="s">
        <v>122</v>
      </c>
      <c r="L60" s="244" t="s">
        <v>293</v>
      </c>
      <c r="M60" s="244" t="s">
        <v>122</v>
      </c>
      <c r="N60" s="244"/>
      <c r="O60" s="243" t="s">
        <v>122</v>
      </c>
      <c r="P60" s="238" t="s">
        <v>293</v>
      </c>
    </row>
    <row r="61" spans="2:16" ht="13.5" customHeight="1">
      <c r="B61" s="231"/>
      <c r="C61" s="240"/>
      <c r="D61" s="240"/>
      <c r="E61" s="240"/>
      <c r="F61" s="240"/>
      <c r="G61" s="241"/>
      <c r="H61" s="245"/>
      <c r="I61" s="246"/>
      <c r="J61" s="240"/>
      <c r="K61" s="243"/>
      <c r="L61" s="244"/>
      <c r="M61" s="244"/>
      <c r="N61" s="244"/>
      <c r="O61" s="243"/>
      <c r="P61" s="247"/>
    </row>
    <row r="62" spans="2:16" ht="13.5" customHeight="1">
      <c r="B62" s="333" t="s">
        <v>210</v>
      </c>
      <c r="C62" s="334">
        <v>40967</v>
      </c>
      <c r="D62" s="334">
        <v>40967</v>
      </c>
      <c r="E62" s="334">
        <v>40967</v>
      </c>
      <c r="F62" s="335">
        <v>40967</v>
      </c>
      <c r="G62" s="336">
        <v>40968</v>
      </c>
      <c r="H62" s="337">
        <v>40968</v>
      </c>
      <c r="I62" s="338">
        <v>40968</v>
      </c>
      <c r="J62" s="335">
        <v>40968</v>
      </c>
      <c r="K62" s="339">
        <v>40968</v>
      </c>
      <c r="L62" s="340">
        <v>40968</v>
      </c>
      <c r="M62" s="340">
        <v>40968</v>
      </c>
      <c r="N62" s="341"/>
      <c r="O62" s="339">
        <v>41150</v>
      </c>
      <c r="P62" s="342">
        <v>40968</v>
      </c>
    </row>
    <row r="63" spans="2:16" ht="13.5" customHeight="1">
      <c r="B63" s="333" t="s">
        <v>211</v>
      </c>
      <c r="C63" s="240" t="s">
        <v>370</v>
      </c>
      <c r="D63" s="240" t="s">
        <v>370</v>
      </c>
      <c r="E63" s="240" t="s">
        <v>370</v>
      </c>
      <c r="F63" s="273" t="s">
        <v>370</v>
      </c>
      <c r="G63" s="241" t="s">
        <v>370</v>
      </c>
      <c r="H63" s="234" t="s">
        <v>370</v>
      </c>
      <c r="I63" s="235" t="s">
        <v>371</v>
      </c>
      <c r="J63" s="273" t="s">
        <v>370</v>
      </c>
      <c r="K63" s="243" t="s">
        <v>370</v>
      </c>
      <c r="L63" s="244" t="s">
        <v>370</v>
      </c>
      <c r="M63" s="244" t="s">
        <v>370</v>
      </c>
      <c r="N63" s="274"/>
      <c r="O63" s="243" t="s">
        <v>370</v>
      </c>
      <c r="P63" s="238" t="s">
        <v>370</v>
      </c>
    </row>
    <row r="64" spans="2:16" ht="13.5" customHeight="1">
      <c r="B64" s="328" t="s">
        <v>372</v>
      </c>
      <c r="C64" s="343" t="s">
        <v>293</v>
      </c>
      <c r="D64" s="343" t="s">
        <v>291</v>
      </c>
      <c r="E64" s="240" t="s">
        <v>293</v>
      </c>
      <c r="F64" s="344" t="s">
        <v>373</v>
      </c>
      <c r="G64" s="345" t="s">
        <v>291</v>
      </c>
      <c r="H64" s="346" t="s">
        <v>374</v>
      </c>
      <c r="I64" s="347" t="s">
        <v>375</v>
      </c>
      <c r="J64" s="344" t="s">
        <v>293</v>
      </c>
      <c r="K64" s="348" t="s">
        <v>293</v>
      </c>
      <c r="L64" s="349" t="s">
        <v>293</v>
      </c>
      <c r="M64" s="244" t="s">
        <v>293</v>
      </c>
      <c r="N64" s="350"/>
      <c r="O64" s="348" t="s">
        <v>293</v>
      </c>
      <c r="P64" s="351" t="s">
        <v>376</v>
      </c>
    </row>
    <row r="65" spans="2:16">
      <c r="B65" s="246" t="s">
        <v>377</v>
      </c>
      <c r="C65" s="246" t="s">
        <v>378</v>
      </c>
      <c r="D65" s="246" t="s">
        <v>375</v>
      </c>
      <c r="E65" s="246" t="s">
        <v>379</v>
      </c>
      <c r="F65" s="352" t="s">
        <v>380</v>
      </c>
      <c r="G65" s="246" t="s">
        <v>381</v>
      </c>
      <c r="H65" s="246" t="s">
        <v>374</v>
      </c>
      <c r="I65" s="246" t="s">
        <v>375</v>
      </c>
      <c r="J65" s="352" t="s">
        <v>382</v>
      </c>
      <c r="K65" s="247" t="s">
        <v>383</v>
      </c>
      <c r="L65" s="247" t="s">
        <v>384</v>
      </c>
      <c r="M65" s="247" t="s">
        <v>376</v>
      </c>
      <c r="N65" s="285"/>
      <c r="O65" s="247" t="s">
        <v>385</v>
      </c>
      <c r="P65" s="247" t="s">
        <v>376</v>
      </c>
    </row>
    <row r="66" spans="2:16">
      <c r="B66" s="246" t="s">
        <v>386</v>
      </c>
      <c r="C66" s="246" t="s">
        <v>378</v>
      </c>
      <c r="D66" s="246" t="s">
        <v>375</v>
      </c>
      <c r="E66" s="246" t="s">
        <v>379</v>
      </c>
      <c r="F66" s="352" t="s">
        <v>380</v>
      </c>
      <c r="G66" s="246" t="s">
        <v>381</v>
      </c>
      <c r="H66" s="246" t="s">
        <v>374</v>
      </c>
      <c r="I66" s="245" t="s">
        <v>375</v>
      </c>
      <c r="J66" s="352" t="s">
        <v>382</v>
      </c>
      <c r="K66" s="247" t="s">
        <v>383</v>
      </c>
      <c r="L66" s="247" t="s">
        <v>387</v>
      </c>
      <c r="M66" s="247" t="s">
        <v>376</v>
      </c>
      <c r="N66" s="285"/>
      <c r="O66" s="247" t="s">
        <v>385</v>
      </c>
      <c r="P66" s="247" t="s">
        <v>388</v>
      </c>
    </row>
  </sheetData>
  <mergeCells count="3">
    <mergeCell ref="K2:N2"/>
    <mergeCell ref="B4:F4"/>
    <mergeCell ref="B6:B11"/>
  </mergeCells>
  <hyperlinks>
    <hyperlink ref="D11" r:id="rId1"/>
    <hyperlink ref="C11" r:id="rId2"/>
    <hyperlink ref="E11" r:id="rId3"/>
    <hyperlink ref="F11" r:id="rId4"/>
    <hyperlink ref="H11" r:id="rId5"/>
    <hyperlink ref="G11" r:id="rId6"/>
    <hyperlink ref="I11" r:id="rId7"/>
    <hyperlink ref="J11" r:id="rId8"/>
  </hyperlinks>
  <pageMargins left="0.7" right="0.7" top="0.75" bottom="0.75" header="0.3" footer="0.3"/>
  <pageSetup paperSize="9" orientation="portrait" horizontalDpi="300" verticalDpi="300" r:id="rId9"/>
  <drawing r:id="rId10"/>
  <legacyDrawing r:id="rId1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R300"/>
  <sheetViews>
    <sheetView showGridLines="0" view="pageBreakPreview" zoomScale="60" zoomScaleNormal="70" workbookViewId="0">
      <selection activeCell="M1" sqref="M1"/>
    </sheetView>
  </sheetViews>
  <sheetFormatPr baseColWidth="10" defaultRowHeight="12.75"/>
  <cols>
    <col min="1" max="1" width="1.85546875" style="551" customWidth="1"/>
    <col min="2" max="2" width="18.140625" style="563" customWidth="1"/>
    <col min="3" max="3" width="7.85546875" style="563" customWidth="1"/>
    <col min="4" max="4" width="7.42578125" style="705" customWidth="1"/>
    <col min="5" max="6" width="11.7109375" style="705" customWidth="1"/>
    <col min="7" max="11" width="11.7109375" style="563" customWidth="1"/>
    <col min="12" max="12" width="12.5703125" style="563" customWidth="1"/>
    <col min="13" max="16" width="11" style="563" bestFit="1" customWidth="1"/>
    <col min="17" max="17" width="11.7109375" style="563" customWidth="1"/>
    <col min="18" max="18" width="11.42578125" style="551" hidden="1" customWidth="1"/>
    <col min="19" max="251" width="11.5703125" style="551"/>
    <col min="252" max="252" width="3.42578125" style="551" customWidth="1"/>
    <col min="253" max="254" width="18.28515625" style="551" customWidth="1"/>
    <col min="255" max="255" width="17.42578125" style="551" customWidth="1"/>
    <col min="256" max="256" width="15.7109375" style="551" customWidth="1"/>
    <col min="257" max="257" width="16" style="551" customWidth="1"/>
    <col min="258" max="259" width="17" style="551" customWidth="1"/>
    <col min="260" max="260" width="15.42578125" style="551" customWidth="1"/>
    <col min="261" max="261" width="15.28515625" style="551" customWidth="1"/>
    <col min="262" max="262" width="17.7109375" style="551" customWidth="1"/>
    <col min="263" max="263" width="16.28515625" style="551" customWidth="1"/>
    <col min="264" max="264" width="11.5703125" style="551"/>
    <col min="265" max="265" width="17.7109375" style="551" customWidth="1"/>
    <col min="266" max="507" width="11.5703125" style="551"/>
    <col min="508" max="508" width="3.42578125" style="551" customWidth="1"/>
    <col min="509" max="510" width="18.28515625" style="551" customWidth="1"/>
    <col min="511" max="511" width="17.42578125" style="551" customWidth="1"/>
    <col min="512" max="512" width="15.7109375" style="551" customWidth="1"/>
    <col min="513" max="513" width="16" style="551" customWidth="1"/>
    <col min="514" max="515" width="17" style="551" customWidth="1"/>
    <col min="516" max="516" width="15.42578125" style="551" customWidth="1"/>
    <col min="517" max="517" width="15.28515625" style="551" customWidth="1"/>
    <col min="518" max="518" width="17.7109375" style="551" customWidth="1"/>
    <col min="519" max="519" width="16.28515625" style="551" customWidth="1"/>
    <col min="520" max="520" width="11.5703125" style="551"/>
    <col min="521" max="521" width="17.7109375" style="551" customWidth="1"/>
    <col min="522" max="763" width="11.5703125" style="551"/>
    <col min="764" max="764" width="3.42578125" style="551" customWidth="1"/>
    <col min="765" max="766" width="18.28515625" style="551" customWidth="1"/>
    <col min="767" max="767" width="17.42578125" style="551" customWidth="1"/>
    <col min="768" max="768" width="15.7109375" style="551" customWidth="1"/>
    <col min="769" max="769" width="16" style="551" customWidth="1"/>
    <col min="770" max="771" width="17" style="551" customWidth="1"/>
    <col min="772" max="772" width="15.42578125" style="551" customWidth="1"/>
    <col min="773" max="773" width="15.28515625" style="551" customWidth="1"/>
    <col min="774" max="774" width="17.7109375" style="551" customWidth="1"/>
    <col min="775" max="775" width="16.28515625" style="551" customWidth="1"/>
    <col min="776" max="776" width="11.5703125" style="551"/>
    <col min="777" max="777" width="17.7109375" style="551" customWidth="1"/>
    <col min="778" max="1019" width="11.5703125" style="551"/>
    <col min="1020" max="1020" width="3.42578125" style="551" customWidth="1"/>
    <col min="1021" max="1022" width="18.28515625" style="551" customWidth="1"/>
    <col min="1023" max="1023" width="17.42578125" style="551" customWidth="1"/>
    <col min="1024" max="1024" width="15.7109375" style="551" customWidth="1"/>
    <col min="1025" max="1025" width="16" style="551" customWidth="1"/>
    <col min="1026" max="1027" width="17" style="551" customWidth="1"/>
    <col min="1028" max="1028" width="15.42578125" style="551" customWidth="1"/>
    <col min="1029" max="1029" width="15.28515625" style="551" customWidth="1"/>
    <col min="1030" max="1030" width="17.7109375" style="551" customWidth="1"/>
    <col min="1031" max="1031" width="16.28515625" style="551" customWidth="1"/>
    <col min="1032" max="1032" width="11.5703125" style="551"/>
    <col min="1033" max="1033" width="17.7109375" style="551" customWidth="1"/>
    <col min="1034" max="1275" width="11.5703125" style="551"/>
    <col min="1276" max="1276" width="3.42578125" style="551" customWidth="1"/>
    <col min="1277" max="1278" width="18.28515625" style="551" customWidth="1"/>
    <col min="1279" max="1279" width="17.42578125" style="551" customWidth="1"/>
    <col min="1280" max="1280" width="15.7109375" style="551" customWidth="1"/>
    <col min="1281" max="1281" width="16" style="551" customWidth="1"/>
    <col min="1282" max="1283" width="17" style="551" customWidth="1"/>
    <col min="1284" max="1284" width="15.42578125" style="551" customWidth="1"/>
    <col min="1285" max="1285" width="15.28515625" style="551" customWidth="1"/>
    <col min="1286" max="1286" width="17.7109375" style="551" customWidth="1"/>
    <col min="1287" max="1287" width="16.28515625" style="551" customWidth="1"/>
    <col min="1288" max="1288" width="11.5703125" style="551"/>
    <col min="1289" max="1289" width="17.7109375" style="551" customWidth="1"/>
    <col min="1290" max="1531" width="11.5703125" style="551"/>
    <col min="1532" max="1532" width="3.42578125" style="551" customWidth="1"/>
    <col min="1533" max="1534" width="18.28515625" style="551" customWidth="1"/>
    <col min="1535" max="1535" width="17.42578125" style="551" customWidth="1"/>
    <col min="1536" max="1536" width="15.7109375" style="551" customWidth="1"/>
    <col min="1537" max="1537" width="16" style="551" customWidth="1"/>
    <col min="1538" max="1539" width="17" style="551" customWidth="1"/>
    <col min="1540" max="1540" width="15.42578125" style="551" customWidth="1"/>
    <col min="1541" max="1541" width="15.28515625" style="551" customWidth="1"/>
    <col min="1542" max="1542" width="17.7109375" style="551" customWidth="1"/>
    <col min="1543" max="1543" width="16.28515625" style="551" customWidth="1"/>
    <col min="1544" max="1544" width="11.5703125" style="551"/>
    <col min="1545" max="1545" width="17.7109375" style="551" customWidth="1"/>
    <col min="1546" max="1787" width="11.5703125" style="551"/>
    <col min="1788" max="1788" width="3.42578125" style="551" customWidth="1"/>
    <col min="1789" max="1790" width="18.28515625" style="551" customWidth="1"/>
    <col min="1791" max="1791" width="17.42578125" style="551" customWidth="1"/>
    <col min="1792" max="1792" width="15.7109375" style="551" customWidth="1"/>
    <col min="1793" max="1793" width="16" style="551" customWidth="1"/>
    <col min="1794" max="1795" width="17" style="551" customWidth="1"/>
    <col min="1796" max="1796" width="15.42578125" style="551" customWidth="1"/>
    <col min="1797" max="1797" width="15.28515625" style="551" customWidth="1"/>
    <col min="1798" max="1798" width="17.7109375" style="551" customWidth="1"/>
    <col min="1799" max="1799" width="16.28515625" style="551" customWidth="1"/>
    <col min="1800" max="1800" width="11.5703125" style="551"/>
    <col min="1801" max="1801" width="17.7109375" style="551" customWidth="1"/>
    <col min="1802" max="2043" width="11.5703125" style="551"/>
    <col min="2044" max="2044" width="3.42578125" style="551" customWidth="1"/>
    <col min="2045" max="2046" width="18.28515625" style="551" customWidth="1"/>
    <col min="2047" max="2047" width="17.42578125" style="551" customWidth="1"/>
    <col min="2048" max="2048" width="15.7109375" style="551" customWidth="1"/>
    <col min="2049" max="2049" width="16" style="551" customWidth="1"/>
    <col min="2050" max="2051" width="17" style="551" customWidth="1"/>
    <col min="2052" max="2052" width="15.42578125" style="551" customWidth="1"/>
    <col min="2053" max="2053" width="15.28515625" style="551" customWidth="1"/>
    <col min="2054" max="2054" width="17.7109375" style="551" customWidth="1"/>
    <col min="2055" max="2055" width="16.28515625" style="551" customWidth="1"/>
    <col min="2056" max="2056" width="11.5703125" style="551"/>
    <col min="2057" max="2057" width="17.7109375" style="551" customWidth="1"/>
    <col min="2058" max="2299" width="11.5703125" style="551"/>
    <col min="2300" max="2300" width="3.42578125" style="551" customWidth="1"/>
    <col min="2301" max="2302" width="18.28515625" style="551" customWidth="1"/>
    <col min="2303" max="2303" width="17.42578125" style="551" customWidth="1"/>
    <col min="2304" max="2304" width="15.7109375" style="551" customWidth="1"/>
    <col min="2305" max="2305" width="16" style="551" customWidth="1"/>
    <col min="2306" max="2307" width="17" style="551" customWidth="1"/>
    <col min="2308" max="2308" width="15.42578125" style="551" customWidth="1"/>
    <col min="2309" max="2309" width="15.28515625" style="551" customWidth="1"/>
    <col min="2310" max="2310" width="17.7109375" style="551" customWidth="1"/>
    <col min="2311" max="2311" width="16.28515625" style="551" customWidth="1"/>
    <col min="2312" max="2312" width="11.5703125" style="551"/>
    <col min="2313" max="2313" width="17.7109375" style="551" customWidth="1"/>
    <col min="2314" max="2555" width="11.5703125" style="551"/>
    <col min="2556" max="2556" width="3.42578125" style="551" customWidth="1"/>
    <col min="2557" max="2558" width="18.28515625" style="551" customWidth="1"/>
    <col min="2559" max="2559" width="17.42578125" style="551" customWidth="1"/>
    <col min="2560" max="2560" width="15.7109375" style="551" customWidth="1"/>
    <col min="2561" max="2561" width="16" style="551" customWidth="1"/>
    <col min="2562" max="2563" width="17" style="551" customWidth="1"/>
    <col min="2564" max="2564" width="15.42578125" style="551" customWidth="1"/>
    <col min="2565" max="2565" width="15.28515625" style="551" customWidth="1"/>
    <col min="2566" max="2566" width="17.7109375" style="551" customWidth="1"/>
    <col min="2567" max="2567" width="16.28515625" style="551" customWidth="1"/>
    <col min="2568" max="2568" width="11.5703125" style="551"/>
    <col min="2569" max="2569" width="17.7109375" style="551" customWidth="1"/>
    <col min="2570" max="2811" width="11.5703125" style="551"/>
    <col min="2812" max="2812" width="3.42578125" style="551" customWidth="1"/>
    <col min="2813" max="2814" width="18.28515625" style="551" customWidth="1"/>
    <col min="2815" max="2815" width="17.42578125" style="551" customWidth="1"/>
    <col min="2816" max="2816" width="15.7109375" style="551" customWidth="1"/>
    <col min="2817" max="2817" width="16" style="551" customWidth="1"/>
    <col min="2818" max="2819" width="17" style="551" customWidth="1"/>
    <col min="2820" max="2820" width="15.42578125" style="551" customWidth="1"/>
    <col min="2821" max="2821" width="15.28515625" style="551" customWidth="1"/>
    <col min="2822" max="2822" width="17.7109375" style="551" customWidth="1"/>
    <col min="2823" max="2823" width="16.28515625" style="551" customWidth="1"/>
    <col min="2824" max="2824" width="11.5703125" style="551"/>
    <col min="2825" max="2825" width="17.7109375" style="551" customWidth="1"/>
    <col min="2826" max="3067" width="11.5703125" style="551"/>
    <col min="3068" max="3068" width="3.42578125" style="551" customWidth="1"/>
    <col min="3069" max="3070" width="18.28515625" style="551" customWidth="1"/>
    <col min="3071" max="3071" width="17.42578125" style="551" customWidth="1"/>
    <col min="3072" max="3072" width="15.7109375" style="551" customWidth="1"/>
    <col min="3073" max="3073" width="16" style="551" customWidth="1"/>
    <col min="3074" max="3075" width="17" style="551" customWidth="1"/>
    <col min="3076" max="3076" width="15.42578125" style="551" customWidth="1"/>
    <col min="3077" max="3077" width="15.28515625" style="551" customWidth="1"/>
    <col min="3078" max="3078" width="17.7109375" style="551" customWidth="1"/>
    <col min="3079" max="3079" width="16.28515625" style="551" customWidth="1"/>
    <col min="3080" max="3080" width="11.5703125" style="551"/>
    <col min="3081" max="3081" width="17.7109375" style="551" customWidth="1"/>
    <col min="3082" max="3323" width="11.5703125" style="551"/>
    <col min="3324" max="3324" width="3.42578125" style="551" customWidth="1"/>
    <col min="3325" max="3326" width="18.28515625" style="551" customWidth="1"/>
    <col min="3327" max="3327" width="17.42578125" style="551" customWidth="1"/>
    <col min="3328" max="3328" width="15.7109375" style="551" customWidth="1"/>
    <col min="3329" max="3329" width="16" style="551" customWidth="1"/>
    <col min="3330" max="3331" width="17" style="551" customWidth="1"/>
    <col min="3332" max="3332" width="15.42578125" style="551" customWidth="1"/>
    <col min="3333" max="3333" width="15.28515625" style="551" customWidth="1"/>
    <col min="3334" max="3334" width="17.7109375" style="551" customWidth="1"/>
    <col min="3335" max="3335" width="16.28515625" style="551" customWidth="1"/>
    <col min="3336" max="3336" width="11.5703125" style="551"/>
    <col min="3337" max="3337" width="17.7109375" style="551" customWidth="1"/>
    <col min="3338" max="3579" width="11.5703125" style="551"/>
    <col min="3580" max="3580" width="3.42578125" style="551" customWidth="1"/>
    <col min="3581" max="3582" width="18.28515625" style="551" customWidth="1"/>
    <col min="3583" max="3583" width="17.42578125" style="551" customWidth="1"/>
    <col min="3584" max="3584" width="15.7109375" style="551" customWidth="1"/>
    <col min="3585" max="3585" width="16" style="551" customWidth="1"/>
    <col min="3586" max="3587" width="17" style="551" customWidth="1"/>
    <col min="3588" max="3588" width="15.42578125" style="551" customWidth="1"/>
    <col min="3589" max="3589" width="15.28515625" style="551" customWidth="1"/>
    <col min="3590" max="3590" width="17.7109375" style="551" customWidth="1"/>
    <col min="3591" max="3591" width="16.28515625" style="551" customWidth="1"/>
    <col min="3592" max="3592" width="11.5703125" style="551"/>
    <col min="3593" max="3593" width="17.7109375" style="551" customWidth="1"/>
    <col min="3594" max="3835" width="11.5703125" style="551"/>
    <col min="3836" max="3836" width="3.42578125" style="551" customWidth="1"/>
    <col min="3837" max="3838" width="18.28515625" style="551" customWidth="1"/>
    <col min="3839" max="3839" width="17.42578125" style="551" customWidth="1"/>
    <col min="3840" max="3840" width="15.7109375" style="551" customWidth="1"/>
    <col min="3841" max="3841" width="16" style="551" customWidth="1"/>
    <col min="3842" max="3843" width="17" style="551" customWidth="1"/>
    <col min="3844" max="3844" width="15.42578125" style="551" customWidth="1"/>
    <col min="3845" max="3845" width="15.28515625" style="551" customWidth="1"/>
    <col min="3846" max="3846" width="17.7109375" style="551" customWidth="1"/>
    <col min="3847" max="3847" width="16.28515625" style="551" customWidth="1"/>
    <col min="3848" max="3848" width="11.5703125" style="551"/>
    <col min="3849" max="3849" width="17.7109375" style="551" customWidth="1"/>
    <col min="3850" max="4091" width="11.5703125" style="551"/>
    <col min="4092" max="4092" width="3.42578125" style="551" customWidth="1"/>
    <col min="4093" max="4094" width="18.28515625" style="551" customWidth="1"/>
    <col min="4095" max="4095" width="17.42578125" style="551" customWidth="1"/>
    <col min="4096" max="4096" width="15.7109375" style="551" customWidth="1"/>
    <col min="4097" max="4097" width="16" style="551" customWidth="1"/>
    <col min="4098" max="4099" width="17" style="551" customWidth="1"/>
    <col min="4100" max="4100" width="15.42578125" style="551" customWidth="1"/>
    <col min="4101" max="4101" width="15.28515625" style="551" customWidth="1"/>
    <col min="4102" max="4102" width="17.7109375" style="551" customWidth="1"/>
    <col min="4103" max="4103" width="16.28515625" style="551" customWidth="1"/>
    <col min="4104" max="4104" width="11.5703125" style="551"/>
    <col min="4105" max="4105" width="17.7109375" style="551" customWidth="1"/>
    <col min="4106" max="4347" width="11.5703125" style="551"/>
    <col min="4348" max="4348" width="3.42578125" style="551" customWidth="1"/>
    <col min="4349" max="4350" width="18.28515625" style="551" customWidth="1"/>
    <col min="4351" max="4351" width="17.42578125" style="551" customWidth="1"/>
    <col min="4352" max="4352" width="15.7109375" style="551" customWidth="1"/>
    <col min="4353" max="4353" width="16" style="551" customWidth="1"/>
    <col min="4354" max="4355" width="17" style="551" customWidth="1"/>
    <col min="4356" max="4356" width="15.42578125" style="551" customWidth="1"/>
    <col min="4357" max="4357" width="15.28515625" style="551" customWidth="1"/>
    <col min="4358" max="4358" width="17.7109375" style="551" customWidth="1"/>
    <col min="4359" max="4359" width="16.28515625" style="551" customWidth="1"/>
    <col min="4360" max="4360" width="11.5703125" style="551"/>
    <col min="4361" max="4361" width="17.7109375" style="551" customWidth="1"/>
    <col min="4362" max="4603" width="11.5703125" style="551"/>
    <col min="4604" max="4604" width="3.42578125" style="551" customWidth="1"/>
    <col min="4605" max="4606" width="18.28515625" style="551" customWidth="1"/>
    <col min="4607" max="4607" width="17.42578125" style="551" customWidth="1"/>
    <col min="4608" max="4608" width="15.7109375" style="551" customWidth="1"/>
    <col min="4609" max="4609" width="16" style="551" customWidth="1"/>
    <col min="4610" max="4611" width="17" style="551" customWidth="1"/>
    <col min="4612" max="4612" width="15.42578125" style="551" customWidth="1"/>
    <col min="4613" max="4613" width="15.28515625" style="551" customWidth="1"/>
    <col min="4614" max="4614" width="17.7109375" style="551" customWidth="1"/>
    <col min="4615" max="4615" width="16.28515625" style="551" customWidth="1"/>
    <col min="4616" max="4616" width="11.5703125" style="551"/>
    <col min="4617" max="4617" width="17.7109375" style="551" customWidth="1"/>
    <col min="4618" max="4859" width="11.5703125" style="551"/>
    <col min="4860" max="4860" width="3.42578125" style="551" customWidth="1"/>
    <col min="4861" max="4862" width="18.28515625" style="551" customWidth="1"/>
    <col min="4863" max="4863" width="17.42578125" style="551" customWidth="1"/>
    <col min="4864" max="4864" width="15.7109375" style="551" customWidth="1"/>
    <col min="4865" max="4865" width="16" style="551" customWidth="1"/>
    <col min="4866" max="4867" width="17" style="551" customWidth="1"/>
    <col min="4868" max="4868" width="15.42578125" style="551" customWidth="1"/>
    <col min="4869" max="4869" width="15.28515625" style="551" customWidth="1"/>
    <col min="4870" max="4870" width="17.7109375" style="551" customWidth="1"/>
    <col min="4871" max="4871" width="16.28515625" style="551" customWidth="1"/>
    <col min="4872" max="4872" width="11.5703125" style="551"/>
    <col min="4873" max="4873" width="17.7109375" style="551" customWidth="1"/>
    <col min="4874" max="5115" width="11.5703125" style="551"/>
    <col min="5116" max="5116" width="3.42578125" style="551" customWidth="1"/>
    <col min="5117" max="5118" width="18.28515625" style="551" customWidth="1"/>
    <col min="5119" max="5119" width="17.42578125" style="551" customWidth="1"/>
    <col min="5120" max="5120" width="15.7109375" style="551" customWidth="1"/>
    <col min="5121" max="5121" width="16" style="551" customWidth="1"/>
    <col min="5122" max="5123" width="17" style="551" customWidth="1"/>
    <col min="5124" max="5124" width="15.42578125" style="551" customWidth="1"/>
    <col min="5125" max="5125" width="15.28515625" style="551" customWidth="1"/>
    <col min="5126" max="5126" width="17.7109375" style="551" customWidth="1"/>
    <col min="5127" max="5127" width="16.28515625" style="551" customWidth="1"/>
    <col min="5128" max="5128" width="11.5703125" style="551"/>
    <col min="5129" max="5129" width="17.7109375" style="551" customWidth="1"/>
    <col min="5130" max="5371" width="11.5703125" style="551"/>
    <col min="5372" max="5372" width="3.42578125" style="551" customWidth="1"/>
    <col min="5373" max="5374" width="18.28515625" style="551" customWidth="1"/>
    <col min="5375" max="5375" width="17.42578125" style="551" customWidth="1"/>
    <col min="5376" max="5376" width="15.7109375" style="551" customWidth="1"/>
    <col min="5377" max="5377" width="16" style="551" customWidth="1"/>
    <col min="5378" max="5379" width="17" style="551" customWidth="1"/>
    <col min="5380" max="5380" width="15.42578125" style="551" customWidth="1"/>
    <col min="5381" max="5381" width="15.28515625" style="551" customWidth="1"/>
    <col min="5382" max="5382" width="17.7109375" style="551" customWidth="1"/>
    <col min="5383" max="5383" width="16.28515625" style="551" customWidth="1"/>
    <col min="5384" max="5384" width="11.5703125" style="551"/>
    <col min="5385" max="5385" width="17.7109375" style="551" customWidth="1"/>
    <col min="5386" max="5627" width="11.5703125" style="551"/>
    <col min="5628" max="5628" width="3.42578125" style="551" customWidth="1"/>
    <col min="5629" max="5630" width="18.28515625" style="551" customWidth="1"/>
    <col min="5631" max="5631" width="17.42578125" style="551" customWidth="1"/>
    <col min="5632" max="5632" width="15.7109375" style="551" customWidth="1"/>
    <col min="5633" max="5633" width="16" style="551" customWidth="1"/>
    <col min="5634" max="5635" width="17" style="551" customWidth="1"/>
    <col min="5636" max="5636" width="15.42578125" style="551" customWidth="1"/>
    <col min="5637" max="5637" width="15.28515625" style="551" customWidth="1"/>
    <col min="5638" max="5638" width="17.7109375" style="551" customWidth="1"/>
    <col min="5639" max="5639" width="16.28515625" style="551" customWidth="1"/>
    <col min="5640" max="5640" width="11.5703125" style="551"/>
    <col min="5641" max="5641" width="17.7109375" style="551" customWidth="1"/>
    <col min="5642" max="5883" width="11.5703125" style="551"/>
    <col min="5884" max="5884" width="3.42578125" style="551" customWidth="1"/>
    <col min="5885" max="5886" width="18.28515625" style="551" customWidth="1"/>
    <col min="5887" max="5887" width="17.42578125" style="551" customWidth="1"/>
    <col min="5888" max="5888" width="15.7109375" style="551" customWidth="1"/>
    <col min="5889" max="5889" width="16" style="551" customWidth="1"/>
    <col min="5890" max="5891" width="17" style="551" customWidth="1"/>
    <col min="5892" max="5892" width="15.42578125" style="551" customWidth="1"/>
    <col min="5893" max="5893" width="15.28515625" style="551" customWidth="1"/>
    <col min="5894" max="5894" width="17.7109375" style="551" customWidth="1"/>
    <col min="5895" max="5895" width="16.28515625" style="551" customWidth="1"/>
    <col min="5896" max="5896" width="11.5703125" style="551"/>
    <col min="5897" max="5897" width="17.7109375" style="551" customWidth="1"/>
    <col min="5898" max="6139" width="11.5703125" style="551"/>
    <col min="6140" max="6140" width="3.42578125" style="551" customWidth="1"/>
    <col min="6141" max="6142" width="18.28515625" style="551" customWidth="1"/>
    <col min="6143" max="6143" width="17.42578125" style="551" customWidth="1"/>
    <col min="6144" max="6144" width="15.7109375" style="551" customWidth="1"/>
    <col min="6145" max="6145" width="16" style="551" customWidth="1"/>
    <col min="6146" max="6147" width="17" style="551" customWidth="1"/>
    <col min="6148" max="6148" width="15.42578125" style="551" customWidth="1"/>
    <col min="6149" max="6149" width="15.28515625" style="551" customWidth="1"/>
    <col min="6150" max="6150" width="17.7109375" style="551" customWidth="1"/>
    <col min="6151" max="6151" width="16.28515625" style="551" customWidth="1"/>
    <col min="6152" max="6152" width="11.5703125" style="551"/>
    <col min="6153" max="6153" width="17.7109375" style="551" customWidth="1"/>
    <col min="6154" max="6395" width="11.5703125" style="551"/>
    <col min="6396" max="6396" width="3.42578125" style="551" customWidth="1"/>
    <col min="6397" max="6398" width="18.28515625" style="551" customWidth="1"/>
    <col min="6399" max="6399" width="17.42578125" style="551" customWidth="1"/>
    <col min="6400" max="6400" width="15.7109375" style="551" customWidth="1"/>
    <col min="6401" max="6401" width="16" style="551" customWidth="1"/>
    <col min="6402" max="6403" width="17" style="551" customWidth="1"/>
    <col min="6404" max="6404" width="15.42578125" style="551" customWidth="1"/>
    <col min="6405" max="6405" width="15.28515625" style="551" customWidth="1"/>
    <col min="6406" max="6406" width="17.7109375" style="551" customWidth="1"/>
    <col min="6407" max="6407" width="16.28515625" style="551" customWidth="1"/>
    <col min="6408" max="6408" width="11.5703125" style="551"/>
    <col min="6409" max="6409" width="17.7109375" style="551" customWidth="1"/>
    <col min="6410" max="6651" width="11.5703125" style="551"/>
    <col min="6652" max="6652" width="3.42578125" style="551" customWidth="1"/>
    <col min="6653" max="6654" width="18.28515625" style="551" customWidth="1"/>
    <col min="6655" max="6655" width="17.42578125" style="551" customWidth="1"/>
    <col min="6656" max="6656" width="15.7109375" style="551" customWidth="1"/>
    <col min="6657" max="6657" width="16" style="551" customWidth="1"/>
    <col min="6658" max="6659" width="17" style="551" customWidth="1"/>
    <col min="6660" max="6660" width="15.42578125" style="551" customWidth="1"/>
    <col min="6661" max="6661" width="15.28515625" style="551" customWidth="1"/>
    <col min="6662" max="6662" width="17.7109375" style="551" customWidth="1"/>
    <col min="6663" max="6663" width="16.28515625" style="551" customWidth="1"/>
    <col min="6664" max="6664" width="11.5703125" style="551"/>
    <col min="6665" max="6665" width="17.7109375" style="551" customWidth="1"/>
    <col min="6666" max="6907" width="11.5703125" style="551"/>
    <col min="6908" max="6908" width="3.42578125" style="551" customWidth="1"/>
    <col min="6909" max="6910" width="18.28515625" style="551" customWidth="1"/>
    <col min="6911" max="6911" width="17.42578125" style="551" customWidth="1"/>
    <col min="6912" max="6912" width="15.7109375" style="551" customWidth="1"/>
    <col min="6913" max="6913" width="16" style="551" customWidth="1"/>
    <col min="6914" max="6915" width="17" style="551" customWidth="1"/>
    <col min="6916" max="6916" width="15.42578125" style="551" customWidth="1"/>
    <col min="6917" max="6917" width="15.28515625" style="551" customWidth="1"/>
    <col min="6918" max="6918" width="17.7109375" style="551" customWidth="1"/>
    <col min="6919" max="6919" width="16.28515625" style="551" customWidth="1"/>
    <col min="6920" max="6920" width="11.5703125" style="551"/>
    <col min="6921" max="6921" width="17.7109375" style="551" customWidth="1"/>
    <col min="6922" max="7163" width="11.5703125" style="551"/>
    <col min="7164" max="7164" width="3.42578125" style="551" customWidth="1"/>
    <col min="7165" max="7166" width="18.28515625" style="551" customWidth="1"/>
    <col min="7167" max="7167" width="17.42578125" style="551" customWidth="1"/>
    <col min="7168" max="7168" width="15.7109375" style="551" customWidth="1"/>
    <col min="7169" max="7169" width="16" style="551" customWidth="1"/>
    <col min="7170" max="7171" width="17" style="551" customWidth="1"/>
    <col min="7172" max="7172" width="15.42578125" style="551" customWidth="1"/>
    <col min="7173" max="7173" width="15.28515625" style="551" customWidth="1"/>
    <col min="7174" max="7174" width="17.7109375" style="551" customWidth="1"/>
    <col min="7175" max="7175" width="16.28515625" style="551" customWidth="1"/>
    <col min="7176" max="7176" width="11.5703125" style="551"/>
    <col min="7177" max="7177" width="17.7109375" style="551" customWidth="1"/>
    <col min="7178" max="7419" width="11.5703125" style="551"/>
    <col min="7420" max="7420" width="3.42578125" style="551" customWidth="1"/>
    <col min="7421" max="7422" width="18.28515625" style="551" customWidth="1"/>
    <col min="7423" max="7423" width="17.42578125" style="551" customWidth="1"/>
    <col min="7424" max="7424" width="15.7109375" style="551" customWidth="1"/>
    <col min="7425" max="7425" width="16" style="551" customWidth="1"/>
    <col min="7426" max="7427" width="17" style="551" customWidth="1"/>
    <col min="7428" max="7428" width="15.42578125" style="551" customWidth="1"/>
    <col min="7429" max="7429" width="15.28515625" style="551" customWidth="1"/>
    <col min="7430" max="7430" width="17.7109375" style="551" customWidth="1"/>
    <col min="7431" max="7431" width="16.28515625" style="551" customWidth="1"/>
    <col min="7432" max="7432" width="11.5703125" style="551"/>
    <col min="7433" max="7433" width="17.7109375" style="551" customWidth="1"/>
    <col min="7434" max="7675" width="11.5703125" style="551"/>
    <col min="7676" max="7676" width="3.42578125" style="551" customWidth="1"/>
    <col min="7677" max="7678" width="18.28515625" style="551" customWidth="1"/>
    <col min="7679" max="7679" width="17.42578125" style="551" customWidth="1"/>
    <col min="7680" max="7680" width="15.7109375" style="551" customWidth="1"/>
    <col min="7681" max="7681" width="16" style="551" customWidth="1"/>
    <col min="7682" max="7683" width="17" style="551" customWidth="1"/>
    <col min="7684" max="7684" width="15.42578125" style="551" customWidth="1"/>
    <col min="7685" max="7685" width="15.28515625" style="551" customWidth="1"/>
    <col min="7686" max="7686" width="17.7109375" style="551" customWidth="1"/>
    <col min="7687" max="7687" width="16.28515625" style="551" customWidth="1"/>
    <col min="7688" max="7688" width="11.5703125" style="551"/>
    <col min="7689" max="7689" width="17.7109375" style="551" customWidth="1"/>
    <col min="7690" max="7931" width="11.5703125" style="551"/>
    <col min="7932" max="7932" width="3.42578125" style="551" customWidth="1"/>
    <col min="7933" max="7934" width="18.28515625" style="551" customWidth="1"/>
    <col min="7935" max="7935" width="17.42578125" style="551" customWidth="1"/>
    <col min="7936" max="7936" width="15.7109375" style="551" customWidth="1"/>
    <col min="7937" max="7937" width="16" style="551" customWidth="1"/>
    <col min="7938" max="7939" width="17" style="551" customWidth="1"/>
    <col min="7940" max="7940" width="15.42578125" style="551" customWidth="1"/>
    <col min="7941" max="7941" width="15.28515625" style="551" customWidth="1"/>
    <col min="7942" max="7942" width="17.7109375" style="551" customWidth="1"/>
    <col min="7943" max="7943" width="16.28515625" style="551" customWidth="1"/>
    <col min="7944" max="7944" width="11.5703125" style="551"/>
    <col min="7945" max="7945" width="17.7109375" style="551" customWidth="1"/>
    <col min="7946" max="8187" width="11.5703125" style="551"/>
    <col min="8188" max="8188" width="3.42578125" style="551" customWidth="1"/>
    <col min="8189" max="8190" width="18.28515625" style="551" customWidth="1"/>
    <col min="8191" max="8191" width="17.42578125" style="551" customWidth="1"/>
    <col min="8192" max="8192" width="15.7109375" style="551" customWidth="1"/>
    <col min="8193" max="8193" width="16" style="551" customWidth="1"/>
    <col min="8194" max="8195" width="17" style="551" customWidth="1"/>
    <col min="8196" max="8196" width="15.42578125" style="551" customWidth="1"/>
    <col min="8197" max="8197" width="15.28515625" style="551" customWidth="1"/>
    <col min="8198" max="8198" width="17.7109375" style="551" customWidth="1"/>
    <col min="8199" max="8199" width="16.28515625" style="551" customWidth="1"/>
    <col min="8200" max="8200" width="11.5703125" style="551"/>
    <col min="8201" max="8201" width="17.7109375" style="551" customWidth="1"/>
    <col min="8202" max="8443" width="11.5703125" style="551"/>
    <col min="8444" max="8444" width="3.42578125" style="551" customWidth="1"/>
    <col min="8445" max="8446" width="18.28515625" style="551" customWidth="1"/>
    <col min="8447" max="8447" width="17.42578125" style="551" customWidth="1"/>
    <col min="8448" max="8448" width="15.7109375" style="551" customWidth="1"/>
    <col min="8449" max="8449" width="16" style="551" customWidth="1"/>
    <col min="8450" max="8451" width="17" style="551" customWidth="1"/>
    <col min="8452" max="8452" width="15.42578125" style="551" customWidth="1"/>
    <col min="8453" max="8453" width="15.28515625" style="551" customWidth="1"/>
    <col min="8454" max="8454" width="17.7109375" style="551" customWidth="1"/>
    <col min="8455" max="8455" width="16.28515625" style="551" customWidth="1"/>
    <col min="8456" max="8456" width="11.5703125" style="551"/>
    <col min="8457" max="8457" width="17.7109375" style="551" customWidth="1"/>
    <col min="8458" max="8699" width="11.5703125" style="551"/>
    <col min="8700" max="8700" width="3.42578125" style="551" customWidth="1"/>
    <col min="8701" max="8702" width="18.28515625" style="551" customWidth="1"/>
    <col min="8703" max="8703" width="17.42578125" style="551" customWidth="1"/>
    <col min="8704" max="8704" width="15.7109375" style="551" customWidth="1"/>
    <col min="8705" max="8705" width="16" style="551" customWidth="1"/>
    <col min="8706" max="8707" width="17" style="551" customWidth="1"/>
    <col min="8708" max="8708" width="15.42578125" style="551" customWidth="1"/>
    <col min="8709" max="8709" width="15.28515625" style="551" customWidth="1"/>
    <col min="8710" max="8710" width="17.7109375" style="551" customWidth="1"/>
    <col min="8711" max="8711" width="16.28515625" style="551" customWidth="1"/>
    <col min="8712" max="8712" width="11.5703125" style="551"/>
    <col min="8713" max="8713" width="17.7109375" style="551" customWidth="1"/>
    <col min="8714" max="8955" width="11.5703125" style="551"/>
    <col min="8956" max="8956" width="3.42578125" style="551" customWidth="1"/>
    <col min="8957" max="8958" width="18.28515625" style="551" customWidth="1"/>
    <col min="8959" max="8959" width="17.42578125" style="551" customWidth="1"/>
    <col min="8960" max="8960" width="15.7109375" style="551" customWidth="1"/>
    <col min="8961" max="8961" width="16" style="551" customWidth="1"/>
    <col min="8962" max="8963" width="17" style="551" customWidth="1"/>
    <col min="8964" max="8964" width="15.42578125" style="551" customWidth="1"/>
    <col min="8965" max="8965" width="15.28515625" style="551" customWidth="1"/>
    <col min="8966" max="8966" width="17.7109375" style="551" customWidth="1"/>
    <col min="8967" max="8967" width="16.28515625" style="551" customWidth="1"/>
    <col min="8968" max="8968" width="11.5703125" style="551"/>
    <col min="8969" max="8969" width="17.7109375" style="551" customWidth="1"/>
    <col min="8970" max="9211" width="11.5703125" style="551"/>
    <col min="9212" max="9212" width="3.42578125" style="551" customWidth="1"/>
    <col min="9213" max="9214" width="18.28515625" style="551" customWidth="1"/>
    <col min="9215" max="9215" width="17.42578125" style="551" customWidth="1"/>
    <col min="9216" max="9216" width="15.7109375" style="551" customWidth="1"/>
    <col min="9217" max="9217" width="16" style="551" customWidth="1"/>
    <col min="9218" max="9219" width="17" style="551" customWidth="1"/>
    <col min="9220" max="9220" width="15.42578125" style="551" customWidth="1"/>
    <col min="9221" max="9221" width="15.28515625" style="551" customWidth="1"/>
    <col min="9222" max="9222" width="17.7109375" style="551" customWidth="1"/>
    <col min="9223" max="9223" width="16.28515625" style="551" customWidth="1"/>
    <col min="9224" max="9224" width="11.5703125" style="551"/>
    <col min="9225" max="9225" width="17.7109375" style="551" customWidth="1"/>
    <col min="9226" max="9467" width="11.5703125" style="551"/>
    <col min="9468" max="9468" width="3.42578125" style="551" customWidth="1"/>
    <col min="9469" max="9470" width="18.28515625" style="551" customWidth="1"/>
    <col min="9471" max="9471" width="17.42578125" style="551" customWidth="1"/>
    <col min="9472" max="9472" width="15.7109375" style="551" customWidth="1"/>
    <col min="9473" max="9473" width="16" style="551" customWidth="1"/>
    <col min="9474" max="9475" width="17" style="551" customWidth="1"/>
    <col min="9476" max="9476" width="15.42578125" style="551" customWidth="1"/>
    <col min="9477" max="9477" width="15.28515625" style="551" customWidth="1"/>
    <col min="9478" max="9478" width="17.7109375" style="551" customWidth="1"/>
    <col min="9479" max="9479" width="16.28515625" style="551" customWidth="1"/>
    <col min="9480" max="9480" width="11.5703125" style="551"/>
    <col min="9481" max="9481" width="17.7109375" style="551" customWidth="1"/>
    <col min="9482" max="9723" width="11.5703125" style="551"/>
    <col min="9724" max="9724" width="3.42578125" style="551" customWidth="1"/>
    <col min="9725" max="9726" width="18.28515625" style="551" customWidth="1"/>
    <col min="9727" max="9727" width="17.42578125" style="551" customWidth="1"/>
    <col min="9728" max="9728" width="15.7109375" style="551" customWidth="1"/>
    <col min="9729" max="9729" width="16" style="551" customWidth="1"/>
    <col min="9730" max="9731" width="17" style="551" customWidth="1"/>
    <col min="9732" max="9732" width="15.42578125" style="551" customWidth="1"/>
    <col min="9733" max="9733" width="15.28515625" style="551" customWidth="1"/>
    <col min="9734" max="9734" width="17.7109375" style="551" customWidth="1"/>
    <col min="9735" max="9735" width="16.28515625" style="551" customWidth="1"/>
    <col min="9736" max="9736" width="11.5703125" style="551"/>
    <col min="9737" max="9737" width="17.7109375" style="551" customWidth="1"/>
    <col min="9738" max="9979" width="11.5703125" style="551"/>
    <col min="9980" max="9980" width="3.42578125" style="551" customWidth="1"/>
    <col min="9981" max="9982" width="18.28515625" style="551" customWidth="1"/>
    <col min="9983" max="9983" width="17.42578125" style="551" customWidth="1"/>
    <col min="9984" max="9984" width="15.7109375" style="551" customWidth="1"/>
    <col min="9985" max="9985" width="16" style="551" customWidth="1"/>
    <col min="9986" max="9987" width="17" style="551" customWidth="1"/>
    <col min="9988" max="9988" width="15.42578125" style="551" customWidth="1"/>
    <col min="9989" max="9989" width="15.28515625" style="551" customWidth="1"/>
    <col min="9990" max="9990" width="17.7109375" style="551" customWidth="1"/>
    <col min="9991" max="9991" width="16.28515625" style="551" customWidth="1"/>
    <col min="9992" max="9992" width="11.5703125" style="551"/>
    <col min="9993" max="9993" width="17.7109375" style="551" customWidth="1"/>
    <col min="9994" max="10235" width="11.5703125" style="551"/>
    <col min="10236" max="10236" width="3.42578125" style="551" customWidth="1"/>
    <col min="10237" max="10238" width="18.28515625" style="551" customWidth="1"/>
    <col min="10239" max="10239" width="17.42578125" style="551" customWidth="1"/>
    <col min="10240" max="10240" width="15.7109375" style="551" customWidth="1"/>
    <col min="10241" max="10241" width="16" style="551" customWidth="1"/>
    <col min="10242" max="10243" width="17" style="551" customWidth="1"/>
    <col min="10244" max="10244" width="15.42578125" style="551" customWidth="1"/>
    <col min="10245" max="10245" width="15.28515625" style="551" customWidth="1"/>
    <col min="10246" max="10246" width="17.7109375" style="551" customWidth="1"/>
    <col min="10247" max="10247" width="16.28515625" style="551" customWidth="1"/>
    <col min="10248" max="10248" width="11.5703125" style="551"/>
    <col min="10249" max="10249" width="17.7109375" style="551" customWidth="1"/>
    <col min="10250" max="10491" width="11.5703125" style="551"/>
    <col min="10492" max="10492" width="3.42578125" style="551" customWidth="1"/>
    <col min="10493" max="10494" width="18.28515625" style="551" customWidth="1"/>
    <col min="10495" max="10495" width="17.42578125" style="551" customWidth="1"/>
    <col min="10496" max="10496" width="15.7109375" style="551" customWidth="1"/>
    <col min="10497" max="10497" width="16" style="551" customWidth="1"/>
    <col min="10498" max="10499" width="17" style="551" customWidth="1"/>
    <col min="10500" max="10500" width="15.42578125" style="551" customWidth="1"/>
    <col min="10501" max="10501" width="15.28515625" style="551" customWidth="1"/>
    <col min="10502" max="10502" width="17.7109375" style="551" customWidth="1"/>
    <col min="10503" max="10503" width="16.28515625" style="551" customWidth="1"/>
    <col min="10504" max="10504" width="11.5703125" style="551"/>
    <col min="10505" max="10505" width="17.7109375" style="551" customWidth="1"/>
    <col min="10506" max="10747" width="11.5703125" style="551"/>
    <col min="10748" max="10748" width="3.42578125" style="551" customWidth="1"/>
    <col min="10749" max="10750" width="18.28515625" style="551" customWidth="1"/>
    <col min="10751" max="10751" width="17.42578125" style="551" customWidth="1"/>
    <col min="10752" max="10752" width="15.7109375" style="551" customWidth="1"/>
    <col min="10753" max="10753" width="16" style="551" customWidth="1"/>
    <col min="10754" max="10755" width="17" style="551" customWidth="1"/>
    <col min="10756" max="10756" width="15.42578125" style="551" customWidth="1"/>
    <col min="10757" max="10757" width="15.28515625" style="551" customWidth="1"/>
    <col min="10758" max="10758" width="17.7109375" style="551" customWidth="1"/>
    <col min="10759" max="10759" width="16.28515625" style="551" customWidth="1"/>
    <col min="10760" max="10760" width="11.5703125" style="551"/>
    <col min="10761" max="10761" width="17.7109375" style="551" customWidth="1"/>
    <col min="10762" max="11003" width="11.5703125" style="551"/>
    <col min="11004" max="11004" width="3.42578125" style="551" customWidth="1"/>
    <col min="11005" max="11006" width="18.28515625" style="551" customWidth="1"/>
    <col min="11007" max="11007" width="17.42578125" style="551" customWidth="1"/>
    <col min="11008" max="11008" width="15.7109375" style="551" customWidth="1"/>
    <col min="11009" max="11009" width="16" style="551" customWidth="1"/>
    <col min="11010" max="11011" width="17" style="551" customWidth="1"/>
    <col min="11012" max="11012" width="15.42578125" style="551" customWidth="1"/>
    <col min="11013" max="11013" width="15.28515625" style="551" customWidth="1"/>
    <col min="11014" max="11014" width="17.7109375" style="551" customWidth="1"/>
    <col min="11015" max="11015" width="16.28515625" style="551" customWidth="1"/>
    <col min="11016" max="11016" width="11.5703125" style="551"/>
    <col min="11017" max="11017" width="17.7109375" style="551" customWidth="1"/>
    <col min="11018" max="11259" width="11.5703125" style="551"/>
    <col min="11260" max="11260" width="3.42578125" style="551" customWidth="1"/>
    <col min="11261" max="11262" width="18.28515625" style="551" customWidth="1"/>
    <col min="11263" max="11263" width="17.42578125" style="551" customWidth="1"/>
    <col min="11264" max="11264" width="15.7109375" style="551" customWidth="1"/>
    <col min="11265" max="11265" width="16" style="551" customWidth="1"/>
    <col min="11266" max="11267" width="17" style="551" customWidth="1"/>
    <col min="11268" max="11268" width="15.42578125" style="551" customWidth="1"/>
    <col min="11269" max="11269" width="15.28515625" style="551" customWidth="1"/>
    <col min="11270" max="11270" width="17.7109375" style="551" customWidth="1"/>
    <col min="11271" max="11271" width="16.28515625" style="551" customWidth="1"/>
    <col min="11272" max="11272" width="11.5703125" style="551"/>
    <col min="11273" max="11273" width="17.7109375" style="551" customWidth="1"/>
    <col min="11274" max="11515" width="11.5703125" style="551"/>
    <col min="11516" max="11516" width="3.42578125" style="551" customWidth="1"/>
    <col min="11517" max="11518" width="18.28515625" style="551" customWidth="1"/>
    <col min="11519" max="11519" width="17.42578125" style="551" customWidth="1"/>
    <col min="11520" max="11520" width="15.7109375" style="551" customWidth="1"/>
    <col min="11521" max="11521" width="16" style="551" customWidth="1"/>
    <col min="11522" max="11523" width="17" style="551" customWidth="1"/>
    <col min="11524" max="11524" width="15.42578125" style="551" customWidth="1"/>
    <col min="11525" max="11525" width="15.28515625" style="551" customWidth="1"/>
    <col min="11526" max="11526" width="17.7109375" style="551" customWidth="1"/>
    <col min="11527" max="11527" width="16.28515625" style="551" customWidth="1"/>
    <col min="11528" max="11528" width="11.5703125" style="551"/>
    <col min="11529" max="11529" width="17.7109375" style="551" customWidth="1"/>
    <col min="11530" max="11771" width="11.5703125" style="551"/>
    <col min="11772" max="11772" width="3.42578125" style="551" customWidth="1"/>
    <col min="11773" max="11774" width="18.28515625" style="551" customWidth="1"/>
    <col min="11775" max="11775" width="17.42578125" style="551" customWidth="1"/>
    <col min="11776" max="11776" width="15.7109375" style="551" customWidth="1"/>
    <col min="11777" max="11777" width="16" style="551" customWidth="1"/>
    <col min="11778" max="11779" width="17" style="551" customWidth="1"/>
    <col min="11780" max="11780" width="15.42578125" style="551" customWidth="1"/>
    <col min="11781" max="11781" width="15.28515625" style="551" customWidth="1"/>
    <col min="11782" max="11782" width="17.7109375" style="551" customWidth="1"/>
    <col min="11783" max="11783" width="16.28515625" style="551" customWidth="1"/>
    <col min="11784" max="11784" width="11.5703125" style="551"/>
    <col min="11785" max="11785" width="17.7109375" style="551" customWidth="1"/>
    <col min="11786" max="12027" width="11.5703125" style="551"/>
    <col min="12028" max="12028" width="3.42578125" style="551" customWidth="1"/>
    <col min="12029" max="12030" width="18.28515625" style="551" customWidth="1"/>
    <col min="12031" max="12031" width="17.42578125" style="551" customWidth="1"/>
    <col min="12032" max="12032" width="15.7109375" style="551" customWidth="1"/>
    <col min="12033" max="12033" width="16" style="551" customWidth="1"/>
    <col min="12034" max="12035" width="17" style="551" customWidth="1"/>
    <col min="12036" max="12036" width="15.42578125" style="551" customWidth="1"/>
    <col min="12037" max="12037" width="15.28515625" style="551" customWidth="1"/>
    <col min="12038" max="12038" width="17.7109375" style="551" customWidth="1"/>
    <col min="12039" max="12039" width="16.28515625" style="551" customWidth="1"/>
    <col min="12040" max="12040" width="11.5703125" style="551"/>
    <col min="12041" max="12041" width="17.7109375" style="551" customWidth="1"/>
    <col min="12042" max="12283" width="11.5703125" style="551"/>
    <col min="12284" max="12284" width="3.42578125" style="551" customWidth="1"/>
    <col min="12285" max="12286" width="18.28515625" style="551" customWidth="1"/>
    <col min="12287" max="12287" width="17.42578125" style="551" customWidth="1"/>
    <col min="12288" max="12288" width="15.7109375" style="551" customWidth="1"/>
    <col min="12289" max="12289" width="16" style="551" customWidth="1"/>
    <col min="12290" max="12291" width="17" style="551" customWidth="1"/>
    <col min="12292" max="12292" width="15.42578125" style="551" customWidth="1"/>
    <col min="12293" max="12293" width="15.28515625" style="551" customWidth="1"/>
    <col min="12294" max="12294" width="17.7109375" style="551" customWidth="1"/>
    <col min="12295" max="12295" width="16.28515625" style="551" customWidth="1"/>
    <col min="12296" max="12296" width="11.5703125" style="551"/>
    <col min="12297" max="12297" width="17.7109375" style="551" customWidth="1"/>
    <col min="12298" max="12539" width="11.5703125" style="551"/>
    <col min="12540" max="12540" width="3.42578125" style="551" customWidth="1"/>
    <col min="12541" max="12542" width="18.28515625" style="551" customWidth="1"/>
    <col min="12543" max="12543" width="17.42578125" style="551" customWidth="1"/>
    <col min="12544" max="12544" width="15.7109375" style="551" customWidth="1"/>
    <col min="12545" max="12545" width="16" style="551" customWidth="1"/>
    <col min="12546" max="12547" width="17" style="551" customWidth="1"/>
    <col min="12548" max="12548" width="15.42578125" style="551" customWidth="1"/>
    <col min="12549" max="12549" width="15.28515625" style="551" customWidth="1"/>
    <col min="12550" max="12550" width="17.7109375" style="551" customWidth="1"/>
    <col min="12551" max="12551" width="16.28515625" style="551" customWidth="1"/>
    <col min="12552" max="12552" width="11.5703125" style="551"/>
    <col min="12553" max="12553" width="17.7109375" style="551" customWidth="1"/>
    <col min="12554" max="12795" width="11.5703125" style="551"/>
    <col min="12796" max="12796" width="3.42578125" style="551" customWidth="1"/>
    <col min="12797" max="12798" width="18.28515625" style="551" customWidth="1"/>
    <col min="12799" max="12799" width="17.42578125" style="551" customWidth="1"/>
    <col min="12800" max="12800" width="15.7109375" style="551" customWidth="1"/>
    <col min="12801" max="12801" width="16" style="551" customWidth="1"/>
    <col min="12802" max="12803" width="17" style="551" customWidth="1"/>
    <col min="12804" max="12804" width="15.42578125" style="551" customWidth="1"/>
    <col min="12805" max="12805" width="15.28515625" style="551" customWidth="1"/>
    <col min="12806" max="12806" width="17.7109375" style="551" customWidth="1"/>
    <col min="12807" max="12807" width="16.28515625" style="551" customWidth="1"/>
    <col min="12808" max="12808" width="11.5703125" style="551"/>
    <col min="12809" max="12809" width="17.7109375" style="551" customWidth="1"/>
    <col min="12810" max="13051" width="11.5703125" style="551"/>
    <col min="13052" max="13052" width="3.42578125" style="551" customWidth="1"/>
    <col min="13053" max="13054" width="18.28515625" style="551" customWidth="1"/>
    <col min="13055" max="13055" width="17.42578125" style="551" customWidth="1"/>
    <col min="13056" max="13056" width="15.7109375" style="551" customWidth="1"/>
    <col min="13057" max="13057" width="16" style="551" customWidth="1"/>
    <col min="13058" max="13059" width="17" style="551" customWidth="1"/>
    <col min="13060" max="13060" width="15.42578125" style="551" customWidth="1"/>
    <col min="13061" max="13061" width="15.28515625" style="551" customWidth="1"/>
    <col min="13062" max="13062" width="17.7109375" style="551" customWidth="1"/>
    <col min="13063" max="13063" width="16.28515625" style="551" customWidth="1"/>
    <col min="13064" max="13064" width="11.5703125" style="551"/>
    <col min="13065" max="13065" width="17.7109375" style="551" customWidth="1"/>
    <col min="13066" max="13307" width="11.5703125" style="551"/>
    <col min="13308" max="13308" width="3.42578125" style="551" customWidth="1"/>
    <col min="13309" max="13310" width="18.28515625" style="551" customWidth="1"/>
    <col min="13311" max="13311" width="17.42578125" style="551" customWidth="1"/>
    <col min="13312" max="13312" width="15.7109375" style="551" customWidth="1"/>
    <col min="13313" max="13313" width="16" style="551" customWidth="1"/>
    <col min="13314" max="13315" width="17" style="551" customWidth="1"/>
    <col min="13316" max="13316" width="15.42578125" style="551" customWidth="1"/>
    <col min="13317" max="13317" width="15.28515625" style="551" customWidth="1"/>
    <col min="13318" max="13318" width="17.7109375" style="551" customWidth="1"/>
    <col min="13319" max="13319" width="16.28515625" style="551" customWidth="1"/>
    <col min="13320" max="13320" width="11.5703125" style="551"/>
    <col min="13321" max="13321" width="17.7109375" style="551" customWidth="1"/>
    <col min="13322" max="13563" width="11.5703125" style="551"/>
    <col min="13564" max="13564" width="3.42578125" style="551" customWidth="1"/>
    <col min="13565" max="13566" width="18.28515625" style="551" customWidth="1"/>
    <col min="13567" max="13567" width="17.42578125" style="551" customWidth="1"/>
    <col min="13568" max="13568" width="15.7109375" style="551" customWidth="1"/>
    <col min="13569" max="13569" width="16" style="551" customWidth="1"/>
    <col min="13570" max="13571" width="17" style="551" customWidth="1"/>
    <col min="13572" max="13572" width="15.42578125" style="551" customWidth="1"/>
    <col min="13573" max="13573" width="15.28515625" style="551" customWidth="1"/>
    <col min="13574" max="13574" width="17.7109375" style="551" customWidth="1"/>
    <col min="13575" max="13575" width="16.28515625" style="551" customWidth="1"/>
    <col min="13576" max="13576" width="11.5703125" style="551"/>
    <col min="13577" max="13577" width="17.7109375" style="551" customWidth="1"/>
    <col min="13578" max="13819" width="11.5703125" style="551"/>
    <col min="13820" max="13820" width="3.42578125" style="551" customWidth="1"/>
    <col min="13821" max="13822" width="18.28515625" style="551" customWidth="1"/>
    <col min="13823" max="13823" width="17.42578125" style="551" customWidth="1"/>
    <col min="13824" max="13824" width="15.7109375" style="551" customWidth="1"/>
    <col min="13825" max="13825" width="16" style="551" customWidth="1"/>
    <col min="13826" max="13827" width="17" style="551" customWidth="1"/>
    <col min="13828" max="13828" width="15.42578125" style="551" customWidth="1"/>
    <col min="13829" max="13829" width="15.28515625" style="551" customWidth="1"/>
    <col min="13830" max="13830" width="17.7109375" style="551" customWidth="1"/>
    <col min="13831" max="13831" width="16.28515625" style="551" customWidth="1"/>
    <col min="13832" max="13832" width="11.5703125" style="551"/>
    <col min="13833" max="13833" width="17.7109375" style="551" customWidth="1"/>
    <col min="13834" max="14075" width="11.5703125" style="551"/>
    <col min="14076" max="14076" width="3.42578125" style="551" customWidth="1"/>
    <col min="14077" max="14078" width="18.28515625" style="551" customWidth="1"/>
    <col min="14079" max="14079" width="17.42578125" style="551" customWidth="1"/>
    <col min="14080" max="14080" width="15.7109375" style="551" customWidth="1"/>
    <col min="14081" max="14081" width="16" style="551" customWidth="1"/>
    <col min="14082" max="14083" width="17" style="551" customWidth="1"/>
    <col min="14084" max="14084" width="15.42578125" style="551" customWidth="1"/>
    <col min="14085" max="14085" width="15.28515625" style="551" customWidth="1"/>
    <col min="14086" max="14086" width="17.7109375" style="551" customWidth="1"/>
    <col min="14087" max="14087" width="16.28515625" style="551" customWidth="1"/>
    <col min="14088" max="14088" width="11.5703125" style="551"/>
    <col min="14089" max="14089" width="17.7109375" style="551" customWidth="1"/>
    <col min="14090" max="14331" width="11.5703125" style="551"/>
    <col min="14332" max="14332" width="3.42578125" style="551" customWidth="1"/>
    <col min="14333" max="14334" width="18.28515625" style="551" customWidth="1"/>
    <col min="14335" max="14335" width="17.42578125" style="551" customWidth="1"/>
    <col min="14336" max="14336" width="15.7109375" style="551" customWidth="1"/>
    <col min="14337" max="14337" width="16" style="551" customWidth="1"/>
    <col min="14338" max="14339" width="17" style="551" customWidth="1"/>
    <col min="14340" max="14340" width="15.42578125" style="551" customWidth="1"/>
    <col min="14341" max="14341" width="15.28515625" style="551" customWidth="1"/>
    <col min="14342" max="14342" width="17.7109375" style="551" customWidth="1"/>
    <col min="14343" max="14343" width="16.28515625" style="551" customWidth="1"/>
    <col min="14344" max="14344" width="11.5703125" style="551"/>
    <col min="14345" max="14345" width="17.7109375" style="551" customWidth="1"/>
    <col min="14346" max="14587" width="11.5703125" style="551"/>
    <col min="14588" max="14588" width="3.42578125" style="551" customWidth="1"/>
    <col min="14589" max="14590" width="18.28515625" style="551" customWidth="1"/>
    <col min="14591" max="14591" width="17.42578125" style="551" customWidth="1"/>
    <col min="14592" max="14592" width="15.7109375" style="551" customWidth="1"/>
    <col min="14593" max="14593" width="16" style="551" customWidth="1"/>
    <col min="14594" max="14595" width="17" style="551" customWidth="1"/>
    <col min="14596" max="14596" width="15.42578125" style="551" customWidth="1"/>
    <col min="14597" max="14597" width="15.28515625" style="551" customWidth="1"/>
    <col min="14598" max="14598" width="17.7109375" style="551" customWidth="1"/>
    <col min="14599" max="14599" width="16.28515625" style="551" customWidth="1"/>
    <col min="14600" max="14600" width="11.5703125" style="551"/>
    <col min="14601" max="14601" width="17.7109375" style="551" customWidth="1"/>
    <col min="14602" max="14843" width="11.5703125" style="551"/>
    <col min="14844" max="14844" width="3.42578125" style="551" customWidth="1"/>
    <col min="14845" max="14846" width="18.28515625" style="551" customWidth="1"/>
    <col min="14847" max="14847" width="17.42578125" style="551" customWidth="1"/>
    <col min="14848" max="14848" width="15.7109375" style="551" customWidth="1"/>
    <col min="14849" max="14849" width="16" style="551" customWidth="1"/>
    <col min="14850" max="14851" width="17" style="551" customWidth="1"/>
    <col min="14852" max="14852" width="15.42578125" style="551" customWidth="1"/>
    <col min="14853" max="14853" width="15.28515625" style="551" customWidth="1"/>
    <col min="14854" max="14854" width="17.7109375" style="551" customWidth="1"/>
    <col min="14855" max="14855" width="16.28515625" style="551" customWidth="1"/>
    <col min="14856" max="14856" width="11.5703125" style="551"/>
    <col min="14857" max="14857" width="17.7109375" style="551" customWidth="1"/>
    <col min="14858" max="15099" width="11.5703125" style="551"/>
    <col min="15100" max="15100" width="3.42578125" style="551" customWidth="1"/>
    <col min="15101" max="15102" width="18.28515625" style="551" customWidth="1"/>
    <col min="15103" max="15103" width="17.42578125" style="551" customWidth="1"/>
    <col min="15104" max="15104" width="15.7109375" style="551" customWidth="1"/>
    <col min="15105" max="15105" width="16" style="551" customWidth="1"/>
    <col min="15106" max="15107" width="17" style="551" customWidth="1"/>
    <col min="15108" max="15108" width="15.42578125" style="551" customWidth="1"/>
    <col min="15109" max="15109" width="15.28515625" style="551" customWidth="1"/>
    <col min="15110" max="15110" width="17.7109375" style="551" customWidth="1"/>
    <col min="15111" max="15111" width="16.28515625" style="551" customWidth="1"/>
    <col min="15112" max="15112" width="11.5703125" style="551"/>
    <col min="15113" max="15113" width="17.7109375" style="551" customWidth="1"/>
    <col min="15114" max="15355" width="11.5703125" style="551"/>
    <col min="15356" max="15356" width="3.42578125" style="551" customWidth="1"/>
    <col min="15357" max="15358" width="18.28515625" style="551" customWidth="1"/>
    <col min="15359" max="15359" width="17.42578125" style="551" customWidth="1"/>
    <col min="15360" max="15360" width="15.7109375" style="551" customWidth="1"/>
    <col min="15361" max="15361" width="16" style="551" customWidth="1"/>
    <col min="15362" max="15363" width="17" style="551" customWidth="1"/>
    <col min="15364" max="15364" width="15.42578125" style="551" customWidth="1"/>
    <col min="15365" max="15365" width="15.28515625" style="551" customWidth="1"/>
    <col min="15366" max="15366" width="17.7109375" style="551" customWidth="1"/>
    <col min="15367" max="15367" width="16.28515625" style="551" customWidth="1"/>
    <col min="15368" max="15368" width="11.5703125" style="551"/>
    <col min="15369" max="15369" width="17.7109375" style="551" customWidth="1"/>
    <col min="15370" max="15611" width="11.5703125" style="551"/>
    <col min="15612" max="15612" width="3.42578125" style="551" customWidth="1"/>
    <col min="15613" max="15614" width="18.28515625" style="551" customWidth="1"/>
    <col min="15615" max="15615" width="17.42578125" style="551" customWidth="1"/>
    <col min="15616" max="15616" width="15.7109375" style="551" customWidth="1"/>
    <col min="15617" max="15617" width="16" style="551" customWidth="1"/>
    <col min="15618" max="15619" width="17" style="551" customWidth="1"/>
    <col min="15620" max="15620" width="15.42578125" style="551" customWidth="1"/>
    <col min="15621" max="15621" width="15.28515625" style="551" customWidth="1"/>
    <col min="15622" max="15622" width="17.7109375" style="551" customWidth="1"/>
    <col min="15623" max="15623" width="16.28515625" style="551" customWidth="1"/>
    <col min="15624" max="15624" width="11.5703125" style="551"/>
    <col min="15625" max="15625" width="17.7109375" style="551" customWidth="1"/>
    <col min="15626" max="15867" width="11.5703125" style="551"/>
    <col min="15868" max="15868" width="3.42578125" style="551" customWidth="1"/>
    <col min="15869" max="15870" width="18.28515625" style="551" customWidth="1"/>
    <col min="15871" max="15871" width="17.42578125" style="551" customWidth="1"/>
    <col min="15872" max="15872" width="15.7109375" style="551" customWidth="1"/>
    <col min="15873" max="15873" width="16" style="551" customWidth="1"/>
    <col min="15874" max="15875" width="17" style="551" customWidth="1"/>
    <col min="15876" max="15876" width="15.42578125" style="551" customWidth="1"/>
    <col min="15877" max="15877" width="15.28515625" style="551" customWidth="1"/>
    <col min="15878" max="15878" width="17.7109375" style="551" customWidth="1"/>
    <col min="15879" max="15879" width="16.28515625" style="551" customWidth="1"/>
    <col min="15880" max="15880" width="11.5703125" style="551"/>
    <col min="15881" max="15881" width="17.7109375" style="551" customWidth="1"/>
    <col min="15882" max="16123" width="11.5703125" style="551"/>
    <col min="16124" max="16124" width="3.42578125" style="551" customWidth="1"/>
    <col min="16125" max="16126" width="18.28515625" style="551" customWidth="1"/>
    <col min="16127" max="16127" width="17.42578125" style="551" customWidth="1"/>
    <col min="16128" max="16128" width="15.7109375" style="551" customWidth="1"/>
    <col min="16129" max="16129" width="16" style="551" customWidth="1"/>
    <col min="16130" max="16131" width="17" style="551" customWidth="1"/>
    <col min="16132" max="16132" width="15.42578125" style="551" customWidth="1"/>
    <col min="16133" max="16133" width="15.28515625" style="551" customWidth="1"/>
    <col min="16134" max="16134" width="17.7109375" style="551" customWidth="1"/>
    <col min="16135" max="16135" width="16.28515625" style="551" customWidth="1"/>
    <col min="16136" max="16136" width="11.5703125" style="551"/>
    <col min="16137" max="16137" width="17.7109375" style="551" customWidth="1"/>
    <col min="16138" max="16382" width="11.5703125" style="551"/>
    <col min="16383" max="16384" width="11.5703125" style="551" customWidth="1"/>
  </cols>
  <sheetData>
    <row r="1" spans="1:18" ht="17.45" customHeight="1">
      <c r="A1" s="151"/>
      <c r="C1" s="152"/>
      <c r="D1" s="701"/>
      <c r="E1" s="701"/>
      <c r="F1" s="701"/>
      <c r="G1" s="152"/>
      <c r="H1" s="152"/>
      <c r="I1" s="152"/>
      <c r="J1" s="152"/>
      <c r="K1" s="152"/>
      <c r="L1" s="152"/>
      <c r="Q1" s="152"/>
    </row>
    <row r="2" spans="1:18" ht="15.75">
      <c r="A2" s="151"/>
      <c r="B2" s="984" t="s">
        <v>740</v>
      </c>
      <c r="D2" s="727"/>
      <c r="E2" s="728"/>
      <c r="F2" s="727"/>
      <c r="G2" s="729"/>
      <c r="H2" s="555"/>
      <c r="I2" s="555"/>
      <c r="J2" s="555"/>
      <c r="K2" s="152"/>
      <c r="L2" s="152"/>
      <c r="Q2" s="152"/>
    </row>
    <row r="3" spans="1:18" ht="12" customHeight="1">
      <c r="A3" s="151"/>
      <c r="B3" s="986" t="s">
        <v>397</v>
      </c>
      <c r="C3" s="985" t="s">
        <v>540</v>
      </c>
      <c r="D3" s="727"/>
      <c r="E3" s="728"/>
      <c r="F3" s="727"/>
      <c r="G3" s="729"/>
      <c r="H3" s="555"/>
      <c r="K3" s="152"/>
      <c r="L3" s="152"/>
      <c r="Q3" s="152"/>
    </row>
    <row r="4" spans="1:18" ht="15">
      <c r="A4" s="151"/>
      <c r="C4" s="727"/>
      <c r="D4" s="727"/>
      <c r="E4" s="728"/>
      <c r="F4" s="727"/>
      <c r="G4" s="729"/>
      <c r="H4" s="555"/>
      <c r="I4" s="555"/>
      <c r="J4" s="555"/>
      <c r="K4" s="152"/>
      <c r="L4" s="152"/>
      <c r="Q4" s="152"/>
    </row>
    <row r="5" spans="1:18" ht="15">
      <c r="A5" s="151"/>
      <c r="B5" s="732" t="s">
        <v>59</v>
      </c>
      <c r="C5" s="727"/>
      <c r="D5" s="727"/>
      <c r="E5" s="728"/>
      <c r="F5" s="727"/>
      <c r="G5" s="729"/>
      <c r="H5" s="555"/>
      <c r="I5" s="555"/>
      <c r="J5" s="555"/>
      <c r="K5" s="152"/>
      <c r="L5" s="152"/>
      <c r="Q5" s="152"/>
    </row>
    <row r="6" spans="1:18" ht="15">
      <c r="A6" s="151"/>
      <c r="B6" s="733" t="s">
        <v>647</v>
      </c>
      <c r="C6" s="1015">
        <f ca="1">TODAY()</f>
        <v>42445</v>
      </c>
      <c r="D6" s="1015"/>
      <c r="E6" s="731"/>
      <c r="F6" s="731"/>
      <c r="G6" s="727"/>
      <c r="H6" s="152"/>
      <c r="I6" s="152"/>
      <c r="J6" s="152"/>
      <c r="K6" s="152"/>
      <c r="L6" s="152"/>
      <c r="Q6" s="152"/>
    </row>
    <row r="7" spans="1:18" ht="15.75">
      <c r="A7" s="151"/>
      <c r="B7" s="709"/>
      <c r="C7" s="152"/>
      <c r="D7" s="701"/>
      <c r="E7" s="701"/>
      <c r="F7" s="701"/>
      <c r="G7" s="152"/>
      <c r="H7" s="152"/>
      <c r="I7" s="152"/>
      <c r="J7" s="152"/>
      <c r="K7" s="152"/>
      <c r="L7" s="152"/>
      <c r="Q7" s="152"/>
    </row>
    <row r="8" spans="1:18" ht="42.75" customHeight="1">
      <c r="A8" s="552"/>
      <c r="B8" s="711" t="s">
        <v>570</v>
      </c>
      <c r="C8" s="711" t="s">
        <v>41</v>
      </c>
      <c r="D8" s="711" t="s">
        <v>493</v>
      </c>
      <c r="E8" s="711" t="s">
        <v>642</v>
      </c>
      <c r="F8" s="711" t="s">
        <v>643</v>
      </c>
      <c r="G8" s="711" t="s">
        <v>644</v>
      </c>
      <c r="H8" s="711" t="s">
        <v>212</v>
      </c>
      <c r="I8" s="711" t="s">
        <v>213</v>
      </c>
      <c r="J8" s="711" t="s">
        <v>214</v>
      </c>
      <c r="K8" s="711" t="s">
        <v>672</v>
      </c>
      <c r="L8" s="711" t="s">
        <v>645</v>
      </c>
      <c r="M8" s="711" t="s">
        <v>494</v>
      </c>
      <c r="N8" s="711" t="s">
        <v>646</v>
      </c>
      <c r="O8" s="711" t="s">
        <v>673</v>
      </c>
      <c r="P8" s="711" t="s">
        <v>687</v>
      </c>
      <c r="Q8" s="711" t="s">
        <v>703</v>
      </c>
      <c r="R8" s="551">
        <f>'FC 1'!I52</f>
        <v>1220</v>
      </c>
    </row>
    <row r="9" spans="1:18" ht="16.5" customHeight="1">
      <c r="A9" s="552"/>
      <c r="B9" s="716" t="s">
        <v>571</v>
      </c>
      <c r="C9" s="719">
        <v>2</v>
      </c>
      <c r="D9" s="954" t="s">
        <v>573</v>
      </c>
      <c r="E9" s="721">
        <v>69</v>
      </c>
      <c r="F9" s="717">
        <v>50</v>
      </c>
      <c r="G9" s="721">
        <v>119</v>
      </c>
      <c r="H9" s="717">
        <f>K9/1.09/2</f>
        <v>52605.504587155956</v>
      </c>
      <c r="I9" s="721">
        <f>K9/1.09/2</f>
        <v>52605.504587155956</v>
      </c>
      <c r="J9" s="715">
        <f t="shared" ref="J9:J72" si="0">I9*0.18</f>
        <v>9468.9908256880717</v>
      </c>
      <c r="K9" s="721">
        <f>(E9+F9/2)*L9</f>
        <v>114680</v>
      </c>
      <c r="L9" s="717">
        <f>R8</f>
        <v>1220</v>
      </c>
      <c r="M9" s="739" t="s">
        <v>495</v>
      </c>
      <c r="N9" s="719"/>
      <c r="O9" s="719"/>
      <c r="P9" s="719"/>
      <c r="Q9" s="721"/>
      <c r="R9" s="551">
        <v>1.0847966935639435</v>
      </c>
    </row>
    <row r="10" spans="1:18" ht="16.5" customHeight="1">
      <c r="A10" s="552"/>
      <c r="B10" s="718" t="s">
        <v>571</v>
      </c>
      <c r="C10" s="720">
        <v>2</v>
      </c>
      <c r="D10" s="955" t="s">
        <v>574</v>
      </c>
      <c r="E10" s="722">
        <v>69</v>
      </c>
      <c r="F10" s="715">
        <v>50</v>
      </c>
      <c r="G10" s="722">
        <v>119</v>
      </c>
      <c r="H10" s="715">
        <f t="shared" ref="H10:H11" si="1">K10/1.09/2</f>
        <v>52605.504587155956</v>
      </c>
      <c r="I10" s="722">
        <f t="shared" ref="I10:I12" si="2">K10/1.09/2</f>
        <v>52605.504587155956</v>
      </c>
      <c r="J10" s="715">
        <f t="shared" si="0"/>
        <v>9468.9908256880717</v>
      </c>
      <c r="K10" s="722">
        <f t="shared" ref="K10:K17" si="3">(E10+F10/2)*L10</f>
        <v>114680</v>
      </c>
      <c r="L10" s="715">
        <f>$R$8</f>
        <v>1220</v>
      </c>
      <c r="M10" s="739" t="s">
        <v>495</v>
      </c>
      <c r="N10" s="723"/>
      <c r="O10" s="723"/>
      <c r="P10" s="723"/>
      <c r="Q10" s="722"/>
      <c r="R10" s="551">
        <v>1.0847966935639435</v>
      </c>
    </row>
    <row r="11" spans="1:18" ht="16.5" customHeight="1">
      <c r="A11" s="552"/>
      <c r="B11" s="718" t="s">
        <v>571</v>
      </c>
      <c r="C11" s="720">
        <v>2</v>
      </c>
      <c r="D11" s="955" t="s">
        <v>575</v>
      </c>
      <c r="E11" s="722">
        <v>69</v>
      </c>
      <c r="F11" s="715">
        <v>25</v>
      </c>
      <c r="G11" s="722">
        <v>94</v>
      </c>
      <c r="H11" s="715">
        <f t="shared" si="1"/>
        <v>45610.091743119265</v>
      </c>
      <c r="I11" s="722">
        <f t="shared" si="2"/>
        <v>45610.091743119265</v>
      </c>
      <c r="J11" s="715">
        <f t="shared" si="0"/>
        <v>8209.8165137614669</v>
      </c>
      <c r="K11" s="722">
        <f t="shared" si="3"/>
        <v>99430</v>
      </c>
      <c r="L11" s="715">
        <f t="shared" ref="L11:L74" si="4">$R$8</f>
        <v>1220</v>
      </c>
      <c r="M11" s="739" t="s">
        <v>495</v>
      </c>
      <c r="N11" s="723"/>
      <c r="O11" s="723"/>
      <c r="P11" s="723"/>
      <c r="Q11" s="722"/>
      <c r="R11" s="551">
        <v>1.0847966935639439</v>
      </c>
    </row>
    <row r="12" spans="1:18" ht="16.5" customHeight="1">
      <c r="A12" s="552"/>
      <c r="B12" s="718" t="s">
        <v>571</v>
      </c>
      <c r="C12" s="720">
        <v>2</v>
      </c>
      <c r="D12" s="955" t="s">
        <v>576</v>
      </c>
      <c r="E12" s="722">
        <v>69</v>
      </c>
      <c r="F12" s="715">
        <v>25</v>
      </c>
      <c r="G12" s="722">
        <v>94</v>
      </c>
      <c r="H12" s="715">
        <f>K12/1.09/2</f>
        <v>45610.091743119265</v>
      </c>
      <c r="I12" s="722">
        <f t="shared" si="2"/>
        <v>45610.091743119265</v>
      </c>
      <c r="J12" s="715">
        <f t="shared" si="0"/>
        <v>8209.8165137614669</v>
      </c>
      <c r="K12" s="722">
        <f t="shared" si="3"/>
        <v>99430</v>
      </c>
      <c r="L12" s="715">
        <f t="shared" si="4"/>
        <v>1220</v>
      </c>
      <c r="M12" s="739" t="s">
        <v>495</v>
      </c>
      <c r="N12" s="723"/>
      <c r="O12" s="723"/>
      <c r="P12" s="723"/>
      <c r="Q12" s="722"/>
      <c r="R12" s="551">
        <v>1.0847966935639435</v>
      </c>
    </row>
    <row r="13" spans="1:18" ht="16.5" customHeight="1">
      <c r="A13" s="552"/>
      <c r="B13" s="718" t="s">
        <v>572</v>
      </c>
      <c r="C13" s="720">
        <v>2</v>
      </c>
      <c r="D13" s="955" t="s">
        <v>577</v>
      </c>
      <c r="E13" s="722">
        <v>83</v>
      </c>
      <c r="F13" s="715">
        <v>23</v>
      </c>
      <c r="G13" s="722">
        <v>106</v>
      </c>
      <c r="H13" s="715">
        <f t="shared" ref="H13:H76" si="5">K13/1.09/2</f>
        <v>52885.321100917427</v>
      </c>
      <c r="I13" s="722">
        <f t="shared" ref="I13:I76" si="6">K13/1.09/2</f>
        <v>52885.321100917427</v>
      </c>
      <c r="J13" s="715">
        <f t="shared" si="0"/>
        <v>9519.357798165136</v>
      </c>
      <c r="K13" s="722">
        <f>(E13+F13/2)*L13</f>
        <v>115290</v>
      </c>
      <c r="L13" s="715">
        <f t="shared" si="4"/>
        <v>1220</v>
      </c>
      <c r="M13" s="739" t="s">
        <v>495</v>
      </c>
      <c r="N13" s="723"/>
      <c r="O13" s="723"/>
      <c r="P13" s="723"/>
      <c r="Q13" s="722"/>
      <c r="R13" s="551">
        <v>1.0847966935639435</v>
      </c>
    </row>
    <row r="14" spans="1:18" ht="16.5" customHeight="1">
      <c r="A14" s="552"/>
      <c r="B14" s="718" t="s">
        <v>572</v>
      </c>
      <c r="C14" s="720">
        <v>2</v>
      </c>
      <c r="D14" s="955" t="s">
        <v>578</v>
      </c>
      <c r="E14" s="722">
        <v>83</v>
      </c>
      <c r="F14" s="715">
        <v>23</v>
      </c>
      <c r="G14" s="722">
        <v>106</v>
      </c>
      <c r="H14" s="715">
        <f t="shared" si="5"/>
        <v>52885.321100917427</v>
      </c>
      <c r="I14" s="722">
        <f t="shared" si="6"/>
        <v>52885.321100917427</v>
      </c>
      <c r="J14" s="715">
        <f t="shared" si="0"/>
        <v>9519.357798165136</v>
      </c>
      <c r="K14" s="722">
        <f t="shared" si="3"/>
        <v>115290</v>
      </c>
      <c r="L14" s="715">
        <f t="shared" si="4"/>
        <v>1220</v>
      </c>
      <c r="M14" s="739" t="s">
        <v>496</v>
      </c>
      <c r="N14" s="723"/>
      <c r="O14" s="723"/>
      <c r="P14" s="723"/>
      <c r="Q14" s="722"/>
      <c r="R14" s="551">
        <v>1.0739487266283041</v>
      </c>
    </row>
    <row r="15" spans="1:18" ht="16.5" customHeight="1">
      <c r="A15" s="552"/>
      <c r="B15" s="718" t="s">
        <v>572</v>
      </c>
      <c r="C15" s="720">
        <v>2</v>
      </c>
      <c r="D15" s="955" t="s">
        <v>579</v>
      </c>
      <c r="E15" s="722">
        <v>83</v>
      </c>
      <c r="F15" s="715">
        <v>23</v>
      </c>
      <c r="G15" s="722">
        <v>106</v>
      </c>
      <c r="H15" s="715">
        <f t="shared" si="5"/>
        <v>52885.321100917427</v>
      </c>
      <c r="I15" s="722">
        <f t="shared" si="6"/>
        <v>52885.321100917427</v>
      </c>
      <c r="J15" s="715">
        <f t="shared" si="0"/>
        <v>9519.357798165136</v>
      </c>
      <c r="K15" s="722">
        <f t="shared" si="3"/>
        <v>115290</v>
      </c>
      <c r="L15" s="715">
        <f t="shared" si="4"/>
        <v>1220</v>
      </c>
      <c r="M15" s="739" t="s">
        <v>496</v>
      </c>
      <c r="N15" s="723"/>
      <c r="O15" s="723"/>
      <c r="P15" s="723"/>
      <c r="Q15" s="722"/>
      <c r="R15" s="551">
        <v>1.0739487266283041</v>
      </c>
    </row>
    <row r="16" spans="1:18" ht="16.5" customHeight="1">
      <c r="A16" s="552"/>
      <c r="B16" s="718" t="s">
        <v>572</v>
      </c>
      <c r="C16" s="720">
        <v>2</v>
      </c>
      <c r="D16" s="955" t="s">
        <v>580</v>
      </c>
      <c r="E16" s="722">
        <v>83</v>
      </c>
      <c r="F16" s="715">
        <v>23</v>
      </c>
      <c r="G16" s="722">
        <v>106</v>
      </c>
      <c r="H16" s="715">
        <f t="shared" si="5"/>
        <v>52885.321100917427</v>
      </c>
      <c r="I16" s="722">
        <f t="shared" si="6"/>
        <v>52885.321100917427</v>
      </c>
      <c r="J16" s="715">
        <f t="shared" si="0"/>
        <v>9519.357798165136</v>
      </c>
      <c r="K16" s="722">
        <f t="shared" si="3"/>
        <v>115290</v>
      </c>
      <c r="L16" s="715">
        <f t="shared" si="4"/>
        <v>1220</v>
      </c>
      <c r="M16" s="739" t="s">
        <v>496</v>
      </c>
      <c r="N16" s="723"/>
      <c r="O16" s="723"/>
      <c r="P16" s="723"/>
      <c r="Q16" s="722"/>
      <c r="R16" s="551">
        <v>1.0739487266283043</v>
      </c>
    </row>
    <row r="17" spans="1:18" ht="16.5" customHeight="1">
      <c r="A17" s="552"/>
      <c r="B17" s="718" t="s">
        <v>571</v>
      </c>
      <c r="C17" s="720">
        <v>2</v>
      </c>
      <c r="D17" s="955" t="s">
        <v>581</v>
      </c>
      <c r="E17" s="722">
        <v>69</v>
      </c>
      <c r="F17" s="715">
        <v>50</v>
      </c>
      <c r="G17" s="722">
        <v>119</v>
      </c>
      <c r="H17" s="715">
        <f t="shared" si="5"/>
        <v>52605.504587155956</v>
      </c>
      <c r="I17" s="722">
        <f t="shared" si="6"/>
        <v>52605.504587155956</v>
      </c>
      <c r="J17" s="715">
        <f t="shared" si="0"/>
        <v>9468.9908256880717</v>
      </c>
      <c r="K17" s="722">
        <f t="shared" si="3"/>
        <v>114680</v>
      </c>
      <c r="L17" s="715">
        <f t="shared" si="4"/>
        <v>1220</v>
      </c>
      <c r="M17" s="739" t="s">
        <v>496</v>
      </c>
      <c r="N17" s="723"/>
      <c r="O17" s="723"/>
      <c r="P17" s="723"/>
      <c r="Q17" s="722"/>
      <c r="R17" s="551">
        <v>1.0739487266283041</v>
      </c>
    </row>
    <row r="18" spans="1:18" ht="16.5" customHeight="1">
      <c r="A18" s="552"/>
      <c r="B18" s="718" t="s">
        <v>571</v>
      </c>
      <c r="C18" s="720">
        <v>2</v>
      </c>
      <c r="D18" s="955" t="s">
        <v>720</v>
      </c>
      <c r="E18" s="722">
        <v>69</v>
      </c>
      <c r="F18" s="715">
        <v>50</v>
      </c>
      <c r="G18" s="722">
        <v>119</v>
      </c>
      <c r="H18" s="715">
        <f t="shared" si="5"/>
        <v>52605.504587155956</v>
      </c>
      <c r="I18" s="722">
        <f t="shared" si="6"/>
        <v>52605.504587155956</v>
      </c>
      <c r="J18" s="715">
        <f t="shared" si="0"/>
        <v>9468.9908256880717</v>
      </c>
      <c r="K18" s="722">
        <f t="shared" ref="K18:K19" si="7">(E18+F18/2)*L18</f>
        <v>114680</v>
      </c>
      <c r="L18" s="715">
        <f t="shared" si="4"/>
        <v>1220</v>
      </c>
      <c r="M18" s="739" t="s">
        <v>496</v>
      </c>
      <c r="N18" s="723"/>
      <c r="O18" s="723"/>
      <c r="P18" s="723"/>
      <c r="Q18" s="722"/>
      <c r="R18" s="551">
        <v>2.0739487266282999</v>
      </c>
    </row>
    <row r="19" spans="1:18" ht="16.5" customHeight="1">
      <c r="A19" s="552"/>
      <c r="B19" s="718" t="s">
        <v>571</v>
      </c>
      <c r="C19" s="720">
        <v>3</v>
      </c>
      <c r="D19" s="955" t="s">
        <v>582</v>
      </c>
      <c r="E19" s="722">
        <v>69</v>
      </c>
      <c r="F19" s="715"/>
      <c r="G19" s="722">
        <v>69</v>
      </c>
      <c r="H19" s="715">
        <f t="shared" si="5"/>
        <v>38614.678899082566</v>
      </c>
      <c r="I19" s="722">
        <f t="shared" si="6"/>
        <v>38614.678899082566</v>
      </c>
      <c r="J19" s="715">
        <f t="shared" si="0"/>
        <v>6950.6422018348612</v>
      </c>
      <c r="K19" s="722">
        <f t="shared" si="7"/>
        <v>84180</v>
      </c>
      <c r="L19" s="715">
        <f t="shared" si="4"/>
        <v>1220</v>
      </c>
      <c r="M19" s="739" t="s">
        <v>495</v>
      </c>
      <c r="N19" s="723"/>
      <c r="O19" s="723"/>
      <c r="P19" s="723"/>
      <c r="Q19" s="722"/>
      <c r="R19" s="551">
        <v>3.0739487266282999</v>
      </c>
    </row>
    <row r="20" spans="1:18" ht="16.5" customHeight="1">
      <c r="A20" s="552"/>
      <c r="B20" s="718" t="s">
        <v>571</v>
      </c>
      <c r="C20" s="720">
        <v>3</v>
      </c>
      <c r="D20" s="955" t="s">
        <v>583</v>
      </c>
      <c r="E20" s="722">
        <v>69</v>
      </c>
      <c r="F20" s="715"/>
      <c r="G20" s="722">
        <v>69</v>
      </c>
      <c r="H20" s="715">
        <f t="shared" si="5"/>
        <v>38614.678899082566</v>
      </c>
      <c r="I20" s="722">
        <f t="shared" si="6"/>
        <v>38614.678899082566</v>
      </c>
      <c r="J20" s="715">
        <f t="shared" si="0"/>
        <v>6950.6422018348612</v>
      </c>
      <c r="K20" s="722">
        <f t="shared" ref="K20:K24" si="8">(E20+F20/2)*L20</f>
        <v>84180</v>
      </c>
      <c r="L20" s="715">
        <f t="shared" si="4"/>
        <v>1220</v>
      </c>
      <c r="M20" s="739" t="s">
        <v>495</v>
      </c>
      <c r="N20" s="724"/>
      <c r="O20" s="724"/>
      <c r="P20" s="724"/>
      <c r="Q20" s="722"/>
      <c r="R20" s="551">
        <v>1.0740561322415281</v>
      </c>
    </row>
    <row r="21" spans="1:18" ht="16.5" customHeight="1">
      <c r="A21" s="552"/>
      <c r="B21" s="718" t="s">
        <v>571</v>
      </c>
      <c r="C21" s="720">
        <v>3</v>
      </c>
      <c r="D21" s="955" t="s">
        <v>584</v>
      </c>
      <c r="E21" s="722">
        <v>69</v>
      </c>
      <c r="F21" s="715"/>
      <c r="G21" s="722">
        <v>69</v>
      </c>
      <c r="H21" s="715">
        <f t="shared" si="5"/>
        <v>38614.678899082566</v>
      </c>
      <c r="I21" s="722">
        <f t="shared" si="6"/>
        <v>38614.678899082566</v>
      </c>
      <c r="J21" s="715">
        <f t="shared" si="0"/>
        <v>6950.6422018348612</v>
      </c>
      <c r="K21" s="722">
        <f t="shared" si="8"/>
        <v>84180</v>
      </c>
      <c r="L21" s="715">
        <f t="shared" si="4"/>
        <v>1220</v>
      </c>
      <c r="M21" s="739" t="s">
        <v>495</v>
      </c>
      <c r="N21" s="724"/>
      <c r="O21" s="724"/>
      <c r="P21" s="724"/>
      <c r="Q21" s="722"/>
      <c r="R21" s="551">
        <v>1.0740561322415281</v>
      </c>
    </row>
    <row r="22" spans="1:18" ht="16.5" customHeight="1">
      <c r="A22" s="552"/>
      <c r="B22" s="718" t="s">
        <v>571</v>
      </c>
      <c r="C22" s="720">
        <v>3</v>
      </c>
      <c r="D22" s="955" t="s">
        <v>585</v>
      </c>
      <c r="E22" s="722">
        <v>69</v>
      </c>
      <c r="F22" s="715"/>
      <c r="G22" s="722">
        <v>69</v>
      </c>
      <c r="H22" s="715">
        <f t="shared" si="5"/>
        <v>38614.678899082566</v>
      </c>
      <c r="I22" s="722">
        <f t="shared" si="6"/>
        <v>38614.678899082566</v>
      </c>
      <c r="J22" s="715">
        <f t="shared" si="0"/>
        <v>6950.6422018348612</v>
      </c>
      <c r="K22" s="722">
        <f t="shared" si="8"/>
        <v>84180</v>
      </c>
      <c r="L22" s="715">
        <f t="shared" si="4"/>
        <v>1220</v>
      </c>
      <c r="M22" s="739" t="s">
        <v>495</v>
      </c>
      <c r="N22" s="724"/>
      <c r="O22" s="724"/>
      <c r="P22" s="724"/>
      <c r="Q22" s="722"/>
      <c r="R22" s="551">
        <v>1.0740561322415281</v>
      </c>
    </row>
    <row r="23" spans="1:18" ht="16.5" customHeight="1">
      <c r="A23" s="552"/>
      <c r="B23" s="718" t="s">
        <v>571</v>
      </c>
      <c r="C23" s="720">
        <v>3</v>
      </c>
      <c r="D23" s="955" t="s">
        <v>586</v>
      </c>
      <c r="E23" s="722">
        <v>69</v>
      </c>
      <c r="F23" s="715"/>
      <c r="G23" s="722">
        <v>69</v>
      </c>
      <c r="H23" s="715">
        <f t="shared" si="5"/>
        <v>38614.678899082566</v>
      </c>
      <c r="I23" s="722">
        <f t="shared" si="6"/>
        <v>38614.678899082566</v>
      </c>
      <c r="J23" s="715">
        <f t="shared" si="0"/>
        <v>6950.6422018348612</v>
      </c>
      <c r="K23" s="722">
        <f t="shared" si="8"/>
        <v>84180</v>
      </c>
      <c r="L23" s="715">
        <f t="shared" si="4"/>
        <v>1220</v>
      </c>
      <c r="M23" s="739" t="s">
        <v>495</v>
      </c>
      <c r="N23" s="724"/>
      <c r="O23" s="724"/>
      <c r="P23" s="724"/>
      <c r="Q23" s="722"/>
      <c r="R23" s="551">
        <v>1.0740561322415281</v>
      </c>
    </row>
    <row r="24" spans="1:18" ht="16.5" customHeight="1">
      <c r="A24" s="552"/>
      <c r="B24" s="718" t="s">
        <v>571</v>
      </c>
      <c r="C24" s="720">
        <v>3</v>
      </c>
      <c r="D24" s="955" t="s">
        <v>587</v>
      </c>
      <c r="E24" s="722">
        <v>69</v>
      </c>
      <c r="F24" s="715"/>
      <c r="G24" s="722">
        <v>69</v>
      </c>
      <c r="H24" s="715">
        <f t="shared" si="5"/>
        <v>38614.678899082566</v>
      </c>
      <c r="I24" s="722">
        <f t="shared" si="6"/>
        <v>38614.678899082566</v>
      </c>
      <c r="J24" s="715">
        <f t="shared" si="0"/>
        <v>6950.6422018348612</v>
      </c>
      <c r="K24" s="722">
        <f t="shared" si="8"/>
        <v>84180</v>
      </c>
      <c r="L24" s="715">
        <f t="shared" si="4"/>
        <v>1220</v>
      </c>
      <c r="M24" s="739" t="s">
        <v>496</v>
      </c>
      <c r="N24" s="724"/>
      <c r="O24" s="724"/>
      <c r="P24" s="724"/>
      <c r="Q24" s="722"/>
      <c r="R24" s="551">
        <v>1.0633155709191129</v>
      </c>
    </row>
    <row r="25" spans="1:18" ht="16.5" customHeight="1">
      <c r="A25" s="552"/>
      <c r="B25" s="718" t="s">
        <v>571</v>
      </c>
      <c r="C25" s="720">
        <v>4</v>
      </c>
      <c r="D25" s="955" t="s">
        <v>588</v>
      </c>
      <c r="E25" s="722">
        <v>69</v>
      </c>
      <c r="F25" s="715"/>
      <c r="G25" s="722">
        <v>69</v>
      </c>
      <c r="H25" s="715">
        <f t="shared" si="5"/>
        <v>38614.678899082566</v>
      </c>
      <c r="I25" s="722">
        <f t="shared" si="6"/>
        <v>38614.678899082566</v>
      </c>
      <c r="J25" s="715">
        <f t="shared" si="0"/>
        <v>6950.6422018348612</v>
      </c>
      <c r="K25" s="722">
        <f>(E25+F25/2)*L25</f>
        <v>84180</v>
      </c>
      <c r="L25" s="715">
        <f t="shared" si="4"/>
        <v>1220</v>
      </c>
      <c r="M25" s="739" t="s">
        <v>495</v>
      </c>
      <c r="N25" s="723"/>
      <c r="O25" s="723"/>
      <c r="P25" s="723"/>
      <c r="Q25" s="722"/>
      <c r="R25" s="551">
        <v>1.0634219131104239</v>
      </c>
    </row>
    <row r="26" spans="1:18" ht="16.5" customHeight="1">
      <c r="A26" s="552"/>
      <c r="B26" s="718" t="s">
        <v>571</v>
      </c>
      <c r="C26" s="720">
        <v>4</v>
      </c>
      <c r="D26" s="955" t="s">
        <v>589</v>
      </c>
      <c r="E26" s="722">
        <v>69</v>
      </c>
      <c r="F26" s="715"/>
      <c r="G26" s="722">
        <v>69</v>
      </c>
      <c r="H26" s="715">
        <f t="shared" si="5"/>
        <v>38614.678899082566</v>
      </c>
      <c r="I26" s="722">
        <f t="shared" si="6"/>
        <v>38614.678899082566</v>
      </c>
      <c r="J26" s="715">
        <f t="shared" si="0"/>
        <v>6950.6422018348612</v>
      </c>
      <c r="K26" s="722">
        <f t="shared" ref="K26:K33" si="9">(E26+F26/2)*L26</f>
        <v>84180</v>
      </c>
      <c r="L26" s="715">
        <f t="shared" si="4"/>
        <v>1220</v>
      </c>
      <c r="M26" s="739" t="s">
        <v>495</v>
      </c>
      <c r="N26" s="723"/>
      <c r="O26" s="723"/>
      <c r="P26" s="723"/>
      <c r="Q26" s="722"/>
      <c r="R26" s="551">
        <v>1.0634219131104239</v>
      </c>
    </row>
    <row r="27" spans="1:18" ht="16.5" customHeight="1">
      <c r="A27" s="552"/>
      <c r="B27" s="718" t="s">
        <v>571</v>
      </c>
      <c r="C27" s="720">
        <v>4</v>
      </c>
      <c r="D27" s="955" t="s">
        <v>590</v>
      </c>
      <c r="E27" s="722">
        <v>69</v>
      </c>
      <c r="F27" s="715"/>
      <c r="G27" s="722">
        <v>69</v>
      </c>
      <c r="H27" s="715">
        <f t="shared" si="5"/>
        <v>38614.678899082566</v>
      </c>
      <c r="I27" s="722">
        <f t="shared" si="6"/>
        <v>38614.678899082566</v>
      </c>
      <c r="J27" s="715">
        <f t="shared" si="0"/>
        <v>6950.6422018348612</v>
      </c>
      <c r="K27" s="722">
        <f t="shared" si="9"/>
        <v>84180</v>
      </c>
      <c r="L27" s="715">
        <f t="shared" si="4"/>
        <v>1220</v>
      </c>
      <c r="M27" s="739" t="s">
        <v>495</v>
      </c>
      <c r="N27" s="723"/>
      <c r="O27" s="723"/>
      <c r="P27" s="723"/>
      <c r="Q27" s="722"/>
      <c r="R27" s="551">
        <v>1.0634219131104241</v>
      </c>
    </row>
    <row r="28" spans="1:18" ht="16.5" customHeight="1">
      <c r="A28" s="552"/>
      <c r="B28" s="718" t="s">
        <v>571</v>
      </c>
      <c r="C28" s="720">
        <v>4</v>
      </c>
      <c r="D28" s="955" t="s">
        <v>591</v>
      </c>
      <c r="E28" s="722">
        <v>69</v>
      </c>
      <c r="F28" s="715"/>
      <c r="G28" s="722">
        <v>69</v>
      </c>
      <c r="H28" s="715">
        <f t="shared" si="5"/>
        <v>38614.678899082566</v>
      </c>
      <c r="I28" s="722">
        <f t="shared" si="6"/>
        <v>38614.678899082566</v>
      </c>
      <c r="J28" s="715">
        <f t="shared" si="0"/>
        <v>6950.6422018348612</v>
      </c>
      <c r="K28" s="722">
        <f t="shared" si="9"/>
        <v>84180</v>
      </c>
      <c r="L28" s="715">
        <f t="shared" si="4"/>
        <v>1220</v>
      </c>
      <c r="M28" s="739" t="s">
        <v>495</v>
      </c>
      <c r="N28" s="723"/>
      <c r="O28" s="723"/>
      <c r="P28" s="723"/>
      <c r="Q28" s="722"/>
      <c r="R28" s="551">
        <v>1.0634219131104241</v>
      </c>
    </row>
    <row r="29" spans="1:18" ht="16.5" customHeight="1">
      <c r="A29" s="552"/>
      <c r="B29" s="718" t="s">
        <v>572</v>
      </c>
      <c r="C29" s="720">
        <v>4</v>
      </c>
      <c r="D29" s="955" t="s">
        <v>592</v>
      </c>
      <c r="E29" s="722">
        <v>83</v>
      </c>
      <c r="F29" s="715"/>
      <c r="G29" s="722">
        <v>83</v>
      </c>
      <c r="H29" s="715">
        <f t="shared" si="5"/>
        <v>46449.541284403669</v>
      </c>
      <c r="I29" s="722">
        <f t="shared" si="6"/>
        <v>46449.541284403669</v>
      </c>
      <c r="J29" s="715">
        <f t="shared" si="0"/>
        <v>8360.9174311926599</v>
      </c>
      <c r="K29" s="722">
        <f t="shared" si="9"/>
        <v>101260</v>
      </c>
      <c r="L29" s="715">
        <f t="shared" si="4"/>
        <v>1220</v>
      </c>
      <c r="M29" s="739" t="s">
        <v>496</v>
      </c>
      <c r="N29" s="723"/>
      <c r="O29" s="723"/>
      <c r="P29" s="723"/>
      <c r="Q29" s="722"/>
      <c r="R29" s="551">
        <v>1.0634219131104239</v>
      </c>
    </row>
    <row r="30" spans="1:18" ht="16.5" customHeight="1">
      <c r="A30" s="552"/>
      <c r="B30" s="718" t="s">
        <v>572</v>
      </c>
      <c r="C30" s="720">
        <v>4</v>
      </c>
      <c r="D30" s="955" t="s">
        <v>593</v>
      </c>
      <c r="E30" s="722">
        <v>83</v>
      </c>
      <c r="F30" s="715"/>
      <c r="G30" s="722">
        <v>83</v>
      </c>
      <c r="H30" s="715">
        <f t="shared" si="5"/>
        <v>46449.541284403669</v>
      </c>
      <c r="I30" s="722">
        <f t="shared" si="6"/>
        <v>46449.541284403669</v>
      </c>
      <c r="J30" s="715">
        <f t="shared" si="0"/>
        <v>8360.9174311926599</v>
      </c>
      <c r="K30" s="722">
        <f t="shared" si="9"/>
        <v>101260</v>
      </c>
      <c r="L30" s="715">
        <f t="shared" si="4"/>
        <v>1220</v>
      </c>
      <c r="M30" s="739" t="s">
        <v>496</v>
      </c>
      <c r="N30" s="723"/>
      <c r="O30" s="723"/>
      <c r="P30" s="723"/>
      <c r="Q30" s="722"/>
      <c r="R30" s="551">
        <v>1.0527876939793197</v>
      </c>
    </row>
    <row r="31" spans="1:18" ht="16.5" customHeight="1">
      <c r="A31" s="552"/>
      <c r="B31" s="718" t="s">
        <v>572</v>
      </c>
      <c r="C31" s="720">
        <v>4</v>
      </c>
      <c r="D31" s="955" t="s">
        <v>594</v>
      </c>
      <c r="E31" s="722">
        <v>83</v>
      </c>
      <c r="F31" s="715"/>
      <c r="G31" s="722">
        <v>83</v>
      </c>
      <c r="H31" s="715">
        <f t="shared" si="5"/>
        <v>46449.541284403669</v>
      </c>
      <c r="I31" s="722">
        <f t="shared" si="6"/>
        <v>46449.541284403669</v>
      </c>
      <c r="J31" s="715">
        <f t="shared" si="0"/>
        <v>8360.9174311926599</v>
      </c>
      <c r="K31" s="722">
        <f t="shared" si="9"/>
        <v>101260</v>
      </c>
      <c r="L31" s="715">
        <f t="shared" si="4"/>
        <v>1220</v>
      </c>
      <c r="M31" s="739" t="s">
        <v>496</v>
      </c>
      <c r="N31" s="723"/>
      <c r="O31" s="723"/>
      <c r="P31" s="723"/>
      <c r="Q31" s="722"/>
      <c r="R31" s="551">
        <v>1.0527876939793199</v>
      </c>
    </row>
    <row r="32" spans="1:18" ht="16.5" customHeight="1">
      <c r="A32" s="552"/>
      <c r="B32" s="718" t="s">
        <v>572</v>
      </c>
      <c r="C32" s="720">
        <v>4</v>
      </c>
      <c r="D32" s="955" t="s">
        <v>595</v>
      </c>
      <c r="E32" s="722">
        <v>83</v>
      </c>
      <c r="F32" s="715"/>
      <c r="G32" s="722">
        <v>83</v>
      </c>
      <c r="H32" s="715">
        <f t="shared" si="5"/>
        <v>46449.541284403669</v>
      </c>
      <c r="I32" s="722">
        <f t="shared" si="6"/>
        <v>46449.541284403669</v>
      </c>
      <c r="J32" s="715">
        <f t="shared" si="0"/>
        <v>8360.9174311926599</v>
      </c>
      <c r="K32" s="722">
        <f t="shared" si="9"/>
        <v>101260</v>
      </c>
      <c r="L32" s="715">
        <f t="shared" si="4"/>
        <v>1220</v>
      </c>
      <c r="M32" s="739" t="s">
        <v>496</v>
      </c>
      <c r="N32" s="723"/>
      <c r="O32" s="723"/>
      <c r="P32" s="723"/>
      <c r="Q32" s="722"/>
      <c r="R32" s="551">
        <v>1.0527876939793195</v>
      </c>
    </row>
    <row r="33" spans="1:18" ht="16.5" customHeight="1">
      <c r="A33" s="552"/>
      <c r="B33" s="718" t="s">
        <v>571</v>
      </c>
      <c r="C33" s="720">
        <v>4</v>
      </c>
      <c r="D33" s="955" t="s">
        <v>596</v>
      </c>
      <c r="E33" s="722">
        <v>69</v>
      </c>
      <c r="F33" s="715"/>
      <c r="G33" s="722">
        <v>69</v>
      </c>
      <c r="H33" s="715">
        <f t="shared" si="5"/>
        <v>38614.678899082566</v>
      </c>
      <c r="I33" s="722">
        <f t="shared" si="6"/>
        <v>38614.678899082566</v>
      </c>
      <c r="J33" s="715">
        <f t="shared" si="0"/>
        <v>6950.6422018348612</v>
      </c>
      <c r="K33" s="722">
        <f t="shared" si="9"/>
        <v>84180</v>
      </c>
      <c r="L33" s="715">
        <f t="shared" si="4"/>
        <v>1220</v>
      </c>
      <c r="M33" s="739" t="s">
        <v>496</v>
      </c>
      <c r="N33" s="723"/>
      <c r="O33" s="723"/>
      <c r="P33" s="723"/>
      <c r="Q33" s="722"/>
      <c r="R33" s="551">
        <v>1.0527876939793199</v>
      </c>
    </row>
    <row r="34" spans="1:18" ht="16.5" customHeight="1">
      <c r="A34" s="552"/>
      <c r="B34" s="718" t="s">
        <v>571</v>
      </c>
      <c r="C34" s="720">
        <v>4</v>
      </c>
      <c r="D34" s="955" t="s">
        <v>721</v>
      </c>
      <c r="E34" s="722">
        <v>69</v>
      </c>
      <c r="F34" s="715"/>
      <c r="G34" s="722">
        <v>69</v>
      </c>
      <c r="H34" s="715">
        <f t="shared" si="5"/>
        <v>38614.678899082566</v>
      </c>
      <c r="I34" s="722">
        <f t="shared" si="6"/>
        <v>38614.678899082566</v>
      </c>
      <c r="J34" s="715">
        <f t="shared" si="0"/>
        <v>6950.6422018348612</v>
      </c>
      <c r="K34" s="722">
        <f t="shared" ref="K34" si="10">(E34+F34/2)*L34</f>
        <v>84180</v>
      </c>
      <c r="L34" s="715">
        <f t="shared" si="4"/>
        <v>1220</v>
      </c>
      <c r="M34" s="739" t="s">
        <v>496</v>
      </c>
      <c r="N34" s="723"/>
      <c r="O34" s="723"/>
      <c r="P34" s="723"/>
      <c r="Q34" s="722"/>
      <c r="R34" s="551">
        <v>1.0527876939793199</v>
      </c>
    </row>
    <row r="35" spans="1:18" ht="16.5" customHeight="1">
      <c r="A35" s="552"/>
      <c r="B35" s="718" t="s">
        <v>571</v>
      </c>
      <c r="C35" s="720">
        <v>5</v>
      </c>
      <c r="D35" s="955" t="s">
        <v>597</v>
      </c>
      <c r="E35" s="722">
        <v>69</v>
      </c>
      <c r="F35" s="715"/>
      <c r="G35" s="722">
        <v>69</v>
      </c>
      <c r="H35" s="715">
        <f t="shared" si="5"/>
        <v>38614.678899082566</v>
      </c>
      <c r="I35" s="722">
        <f t="shared" si="6"/>
        <v>38614.678899082566</v>
      </c>
      <c r="J35" s="715">
        <f t="shared" si="0"/>
        <v>6950.6422018348612</v>
      </c>
      <c r="K35" s="722">
        <f>(E35+F35/2)*L35</f>
        <v>84180</v>
      </c>
      <c r="L35" s="715">
        <f t="shared" si="4"/>
        <v>1220</v>
      </c>
      <c r="M35" s="739" t="s">
        <v>495</v>
      </c>
      <c r="N35" s="723"/>
      <c r="O35" s="723"/>
      <c r="P35" s="723"/>
      <c r="Q35" s="722"/>
      <c r="R35" s="551">
        <v>1.0528929832776472</v>
      </c>
    </row>
    <row r="36" spans="1:18" ht="16.5" customHeight="1">
      <c r="A36" s="552"/>
      <c r="B36" s="718" t="s">
        <v>571</v>
      </c>
      <c r="C36" s="720">
        <v>5</v>
      </c>
      <c r="D36" s="955" t="s">
        <v>598</v>
      </c>
      <c r="E36" s="722">
        <v>69</v>
      </c>
      <c r="F36" s="715"/>
      <c r="G36" s="722">
        <v>69</v>
      </c>
      <c r="H36" s="715">
        <f t="shared" si="5"/>
        <v>38614.678899082566</v>
      </c>
      <c r="I36" s="722">
        <f t="shared" si="6"/>
        <v>38614.678899082566</v>
      </c>
      <c r="J36" s="715">
        <f t="shared" si="0"/>
        <v>6950.6422018348612</v>
      </c>
      <c r="K36" s="722">
        <f t="shared" ref="K36:K40" si="11">(E36+F36/2)*L36</f>
        <v>84180</v>
      </c>
      <c r="L36" s="715">
        <f t="shared" si="4"/>
        <v>1220</v>
      </c>
      <c r="M36" s="739" t="s">
        <v>495</v>
      </c>
      <c r="N36" s="723"/>
      <c r="O36" s="723"/>
      <c r="P36" s="723"/>
      <c r="Q36" s="722"/>
      <c r="R36" s="551">
        <v>1.0528929832776472</v>
      </c>
    </row>
    <row r="37" spans="1:18" ht="16.5" customHeight="1">
      <c r="A37" s="552"/>
      <c r="B37" s="718" t="s">
        <v>571</v>
      </c>
      <c r="C37" s="720">
        <v>5</v>
      </c>
      <c r="D37" s="955" t="s">
        <v>599</v>
      </c>
      <c r="E37" s="722">
        <v>69</v>
      </c>
      <c r="F37" s="715"/>
      <c r="G37" s="722">
        <v>69</v>
      </c>
      <c r="H37" s="715">
        <f t="shared" si="5"/>
        <v>38614.678899082566</v>
      </c>
      <c r="I37" s="722">
        <f t="shared" si="6"/>
        <v>38614.678899082566</v>
      </c>
      <c r="J37" s="715">
        <f t="shared" si="0"/>
        <v>6950.6422018348612</v>
      </c>
      <c r="K37" s="722">
        <f t="shared" si="11"/>
        <v>84180</v>
      </c>
      <c r="L37" s="715">
        <f t="shared" si="4"/>
        <v>1220</v>
      </c>
      <c r="M37" s="739" t="s">
        <v>495</v>
      </c>
      <c r="N37" s="723"/>
      <c r="O37" s="723"/>
      <c r="P37" s="723"/>
      <c r="Q37" s="722"/>
      <c r="R37" s="551">
        <v>1.0528929832776479</v>
      </c>
    </row>
    <row r="38" spans="1:18" ht="16.5" customHeight="1">
      <c r="A38" s="552"/>
      <c r="B38" s="718" t="s">
        <v>571</v>
      </c>
      <c r="C38" s="720">
        <v>5</v>
      </c>
      <c r="D38" s="955" t="s">
        <v>600</v>
      </c>
      <c r="E38" s="722">
        <v>69</v>
      </c>
      <c r="F38" s="715"/>
      <c r="G38" s="722">
        <v>69</v>
      </c>
      <c r="H38" s="715">
        <f t="shared" si="5"/>
        <v>38614.678899082566</v>
      </c>
      <c r="I38" s="722">
        <f t="shared" si="6"/>
        <v>38614.678899082566</v>
      </c>
      <c r="J38" s="715">
        <f t="shared" si="0"/>
        <v>6950.6422018348612</v>
      </c>
      <c r="K38" s="722">
        <f t="shared" si="11"/>
        <v>84180</v>
      </c>
      <c r="L38" s="715">
        <f t="shared" si="4"/>
        <v>1220</v>
      </c>
      <c r="M38" s="739" t="s">
        <v>495</v>
      </c>
      <c r="N38" s="723"/>
      <c r="O38" s="723"/>
      <c r="P38" s="723"/>
      <c r="Q38" s="722"/>
      <c r="R38" s="551">
        <v>1.0528929832776477</v>
      </c>
    </row>
    <row r="39" spans="1:18" ht="16.5" customHeight="1">
      <c r="A39" s="552"/>
      <c r="B39" s="718" t="s">
        <v>571</v>
      </c>
      <c r="C39" s="720">
        <v>5</v>
      </c>
      <c r="D39" s="955" t="s">
        <v>601</v>
      </c>
      <c r="E39" s="722">
        <v>69</v>
      </c>
      <c r="F39" s="715"/>
      <c r="G39" s="722">
        <v>69</v>
      </c>
      <c r="H39" s="715">
        <f t="shared" si="5"/>
        <v>38614.678899082566</v>
      </c>
      <c r="I39" s="722">
        <f t="shared" si="6"/>
        <v>38614.678899082566</v>
      </c>
      <c r="J39" s="715">
        <f t="shared" si="0"/>
        <v>6950.6422018348612</v>
      </c>
      <c r="K39" s="722">
        <f t="shared" si="11"/>
        <v>84180</v>
      </c>
      <c r="L39" s="715">
        <f t="shared" si="4"/>
        <v>1220</v>
      </c>
      <c r="M39" s="739" t="s">
        <v>496</v>
      </c>
      <c r="N39" s="723"/>
      <c r="O39" s="723"/>
      <c r="P39" s="723"/>
      <c r="Q39" s="722"/>
      <c r="R39" s="551">
        <v>1.0528929832776477</v>
      </c>
    </row>
    <row r="40" spans="1:18" ht="16.5" customHeight="1">
      <c r="A40" s="552"/>
      <c r="B40" s="718" t="s">
        <v>571</v>
      </c>
      <c r="C40" s="720">
        <v>5</v>
      </c>
      <c r="D40" s="955" t="s">
        <v>602</v>
      </c>
      <c r="E40" s="722">
        <v>69</v>
      </c>
      <c r="F40" s="715"/>
      <c r="G40" s="722">
        <v>69</v>
      </c>
      <c r="H40" s="715">
        <f t="shared" si="5"/>
        <v>38614.678899082566</v>
      </c>
      <c r="I40" s="722">
        <f t="shared" si="6"/>
        <v>38614.678899082566</v>
      </c>
      <c r="J40" s="715">
        <f t="shared" si="0"/>
        <v>6950.6422018348612</v>
      </c>
      <c r="K40" s="722">
        <f t="shared" si="11"/>
        <v>84180</v>
      </c>
      <c r="L40" s="715">
        <f t="shared" si="4"/>
        <v>1220</v>
      </c>
      <c r="M40" s="739" t="s">
        <v>496</v>
      </c>
      <c r="N40" s="723"/>
      <c r="O40" s="723"/>
      <c r="P40" s="723"/>
      <c r="Q40" s="722"/>
      <c r="R40" s="551">
        <v>1.042364053444871</v>
      </c>
    </row>
    <row r="41" spans="1:18" ht="16.5" customHeight="1">
      <c r="A41" s="552"/>
      <c r="B41" s="718" t="s">
        <v>571</v>
      </c>
      <c r="C41" s="720">
        <v>6</v>
      </c>
      <c r="D41" s="955" t="s">
        <v>603</v>
      </c>
      <c r="E41" s="722">
        <v>69</v>
      </c>
      <c r="F41" s="715"/>
      <c r="G41" s="722">
        <v>69</v>
      </c>
      <c r="H41" s="715">
        <f t="shared" si="5"/>
        <v>38614.678899082566</v>
      </c>
      <c r="I41" s="722">
        <f t="shared" si="6"/>
        <v>38614.678899082566</v>
      </c>
      <c r="J41" s="715">
        <f t="shared" si="0"/>
        <v>6950.6422018348612</v>
      </c>
      <c r="K41" s="722">
        <f>(E41+F41/2)*L41</f>
        <v>84180</v>
      </c>
      <c r="L41" s="715">
        <f t="shared" si="4"/>
        <v>1220</v>
      </c>
      <c r="M41" s="739" t="s">
        <v>495</v>
      </c>
      <c r="N41" s="723"/>
      <c r="O41" s="723"/>
      <c r="P41" s="723"/>
      <c r="Q41" s="722"/>
      <c r="R41" s="551">
        <v>1.0424683002748987</v>
      </c>
    </row>
    <row r="42" spans="1:18" ht="16.5" customHeight="1">
      <c r="A42" s="552"/>
      <c r="B42" s="718" t="s">
        <v>571</v>
      </c>
      <c r="C42" s="720">
        <v>6</v>
      </c>
      <c r="D42" s="955" t="s">
        <v>604</v>
      </c>
      <c r="E42" s="722">
        <v>69</v>
      </c>
      <c r="F42" s="715"/>
      <c r="G42" s="722">
        <v>69</v>
      </c>
      <c r="H42" s="715">
        <f t="shared" si="5"/>
        <v>38614.678899082566</v>
      </c>
      <c r="I42" s="722">
        <f t="shared" si="6"/>
        <v>38614.678899082566</v>
      </c>
      <c r="J42" s="715">
        <f t="shared" si="0"/>
        <v>6950.6422018348612</v>
      </c>
      <c r="K42" s="722">
        <f t="shared" ref="K42:K50" si="12">(E42+F42/2)*L42</f>
        <v>84180</v>
      </c>
      <c r="L42" s="715">
        <f t="shared" si="4"/>
        <v>1220</v>
      </c>
      <c r="M42" s="739" t="s">
        <v>495</v>
      </c>
      <c r="N42" s="723"/>
      <c r="O42" s="723"/>
      <c r="P42" s="723"/>
      <c r="Q42" s="722"/>
      <c r="R42" s="551">
        <v>1.0424683002748985</v>
      </c>
    </row>
    <row r="43" spans="1:18" ht="16.5" customHeight="1">
      <c r="A43" s="552"/>
      <c r="B43" s="718" t="s">
        <v>571</v>
      </c>
      <c r="C43" s="720">
        <v>6</v>
      </c>
      <c r="D43" s="955" t="s">
        <v>605</v>
      </c>
      <c r="E43" s="722">
        <v>69</v>
      </c>
      <c r="F43" s="715"/>
      <c r="G43" s="722">
        <v>69</v>
      </c>
      <c r="H43" s="715">
        <f t="shared" si="5"/>
        <v>38614.678899082566</v>
      </c>
      <c r="I43" s="722">
        <f t="shared" si="6"/>
        <v>38614.678899082566</v>
      </c>
      <c r="J43" s="715">
        <f t="shared" si="0"/>
        <v>6950.6422018348612</v>
      </c>
      <c r="K43" s="722">
        <f t="shared" si="12"/>
        <v>84180</v>
      </c>
      <c r="L43" s="715">
        <f t="shared" si="4"/>
        <v>1220</v>
      </c>
      <c r="M43" s="739" t="s">
        <v>495</v>
      </c>
      <c r="N43" s="723"/>
      <c r="O43" s="723"/>
      <c r="P43" s="723"/>
      <c r="Q43" s="722"/>
      <c r="R43" s="551">
        <v>1.0424683002748987</v>
      </c>
    </row>
    <row r="44" spans="1:18" ht="16.5" customHeight="1">
      <c r="A44" s="552"/>
      <c r="B44" s="718" t="s">
        <v>571</v>
      </c>
      <c r="C44" s="720">
        <v>6</v>
      </c>
      <c r="D44" s="955" t="s">
        <v>606</v>
      </c>
      <c r="E44" s="722">
        <v>69</v>
      </c>
      <c r="F44" s="715"/>
      <c r="G44" s="722">
        <v>69</v>
      </c>
      <c r="H44" s="715">
        <f t="shared" si="5"/>
        <v>38614.678899082566</v>
      </c>
      <c r="I44" s="722">
        <f t="shared" si="6"/>
        <v>38614.678899082566</v>
      </c>
      <c r="J44" s="715">
        <f t="shared" si="0"/>
        <v>6950.6422018348612</v>
      </c>
      <c r="K44" s="722">
        <f t="shared" si="12"/>
        <v>84180</v>
      </c>
      <c r="L44" s="715">
        <f t="shared" si="4"/>
        <v>1220</v>
      </c>
      <c r="M44" s="739" t="s">
        <v>495</v>
      </c>
      <c r="N44" s="723"/>
      <c r="O44" s="723"/>
      <c r="P44" s="723"/>
      <c r="Q44" s="722"/>
      <c r="R44" s="551">
        <v>1.0424683002748985</v>
      </c>
    </row>
    <row r="45" spans="1:18" ht="16.5" customHeight="1">
      <c r="A45" s="552"/>
      <c r="B45" s="718" t="s">
        <v>572</v>
      </c>
      <c r="C45" s="720">
        <v>6</v>
      </c>
      <c r="D45" s="955" t="s">
        <v>607</v>
      </c>
      <c r="E45" s="722">
        <v>83</v>
      </c>
      <c r="F45" s="715"/>
      <c r="G45" s="722">
        <v>83</v>
      </c>
      <c r="H45" s="715">
        <f t="shared" si="5"/>
        <v>46449.541284403669</v>
      </c>
      <c r="I45" s="722">
        <f t="shared" si="6"/>
        <v>46449.541284403669</v>
      </c>
      <c r="J45" s="715">
        <f t="shared" si="0"/>
        <v>8360.9174311926599</v>
      </c>
      <c r="K45" s="722">
        <f t="shared" si="12"/>
        <v>101260</v>
      </c>
      <c r="L45" s="715">
        <f t="shared" si="4"/>
        <v>1220</v>
      </c>
      <c r="M45" s="739" t="s">
        <v>496</v>
      </c>
      <c r="N45" s="723"/>
      <c r="O45" s="723"/>
      <c r="P45" s="723"/>
      <c r="Q45" s="722"/>
      <c r="R45" s="551">
        <v>1.0424683002748985</v>
      </c>
    </row>
    <row r="46" spans="1:18" ht="16.5" customHeight="1">
      <c r="A46" s="552"/>
      <c r="B46" s="718" t="s">
        <v>572</v>
      </c>
      <c r="C46" s="720">
        <v>6</v>
      </c>
      <c r="D46" s="955" t="s">
        <v>608</v>
      </c>
      <c r="E46" s="722">
        <v>83</v>
      </c>
      <c r="F46" s="715"/>
      <c r="G46" s="722">
        <v>83</v>
      </c>
      <c r="H46" s="715">
        <f t="shared" si="5"/>
        <v>46449.541284403669</v>
      </c>
      <c r="I46" s="722">
        <f t="shared" si="6"/>
        <v>46449.541284403669</v>
      </c>
      <c r="J46" s="715">
        <f t="shared" si="0"/>
        <v>8360.9174311926599</v>
      </c>
      <c r="K46" s="722">
        <f t="shared" si="12"/>
        <v>101260</v>
      </c>
      <c r="L46" s="715">
        <f t="shared" si="4"/>
        <v>1220</v>
      </c>
      <c r="M46" s="739" t="s">
        <v>496</v>
      </c>
      <c r="N46" s="723"/>
      <c r="O46" s="723"/>
      <c r="P46" s="723"/>
      <c r="Q46" s="722"/>
      <c r="R46" s="551">
        <v>1.0320436172721494</v>
      </c>
    </row>
    <row r="47" spans="1:18" ht="16.5" customHeight="1">
      <c r="A47" s="552"/>
      <c r="B47" s="718" t="s">
        <v>572</v>
      </c>
      <c r="C47" s="720">
        <v>6</v>
      </c>
      <c r="D47" s="955" t="s">
        <v>609</v>
      </c>
      <c r="E47" s="722">
        <v>83</v>
      </c>
      <c r="F47" s="715"/>
      <c r="G47" s="722">
        <v>83</v>
      </c>
      <c r="H47" s="715">
        <f t="shared" si="5"/>
        <v>46449.541284403669</v>
      </c>
      <c r="I47" s="722">
        <f t="shared" si="6"/>
        <v>46449.541284403669</v>
      </c>
      <c r="J47" s="715">
        <f t="shared" si="0"/>
        <v>8360.9174311926599</v>
      </c>
      <c r="K47" s="722">
        <f t="shared" si="12"/>
        <v>101260</v>
      </c>
      <c r="L47" s="715">
        <f t="shared" si="4"/>
        <v>1220</v>
      </c>
      <c r="M47" s="739" t="s">
        <v>496</v>
      </c>
      <c r="N47" s="723"/>
      <c r="O47" s="723"/>
      <c r="P47" s="723"/>
      <c r="Q47" s="722"/>
      <c r="R47" s="551">
        <v>1.0320436172721494</v>
      </c>
    </row>
    <row r="48" spans="1:18" ht="16.5" customHeight="1">
      <c r="A48" s="552"/>
      <c r="B48" s="718" t="s">
        <v>572</v>
      </c>
      <c r="C48" s="720">
        <v>6</v>
      </c>
      <c r="D48" s="955" t="s">
        <v>610</v>
      </c>
      <c r="E48" s="722">
        <v>83</v>
      </c>
      <c r="F48" s="715"/>
      <c r="G48" s="722">
        <v>83</v>
      </c>
      <c r="H48" s="715">
        <f t="shared" si="5"/>
        <v>46449.541284403669</v>
      </c>
      <c r="I48" s="722">
        <f t="shared" si="6"/>
        <v>46449.541284403669</v>
      </c>
      <c r="J48" s="715">
        <f t="shared" si="0"/>
        <v>8360.9174311926599</v>
      </c>
      <c r="K48" s="722">
        <f t="shared" si="12"/>
        <v>101260</v>
      </c>
      <c r="L48" s="715">
        <f t="shared" si="4"/>
        <v>1220</v>
      </c>
      <c r="M48" s="739" t="s">
        <v>496</v>
      </c>
      <c r="N48" s="723"/>
      <c r="O48" s="723"/>
      <c r="P48" s="723"/>
      <c r="Q48" s="722"/>
      <c r="R48" s="551">
        <v>1.0320436172721494</v>
      </c>
    </row>
    <row r="49" spans="1:18" ht="16.5" customHeight="1">
      <c r="A49" s="552"/>
      <c r="B49" s="718" t="s">
        <v>571</v>
      </c>
      <c r="C49" s="720">
        <v>6</v>
      </c>
      <c r="D49" s="955" t="s">
        <v>611</v>
      </c>
      <c r="E49" s="722">
        <v>69</v>
      </c>
      <c r="F49" s="715"/>
      <c r="G49" s="722">
        <v>69</v>
      </c>
      <c r="H49" s="715">
        <f t="shared" si="5"/>
        <v>38614.678899082566</v>
      </c>
      <c r="I49" s="722">
        <f t="shared" si="6"/>
        <v>38614.678899082566</v>
      </c>
      <c r="J49" s="715">
        <f t="shared" si="0"/>
        <v>6950.6422018348612</v>
      </c>
      <c r="K49" s="722">
        <f t="shared" si="12"/>
        <v>84180</v>
      </c>
      <c r="L49" s="715">
        <f t="shared" si="4"/>
        <v>1220</v>
      </c>
      <c r="M49" s="739" t="s">
        <v>496</v>
      </c>
      <c r="N49" s="723"/>
      <c r="O49" s="723"/>
      <c r="P49" s="723"/>
      <c r="Q49" s="722"/>
      <c r="R49" s="551">
        <v>1.0320436172721494</v>
      </c>
    </row>
    <row r="50" spans="1:18" ht="16.5" customHeight="1">
      <c r="A50" s="552"/>
      <c r="B50" s="718" t="s">
        <v>571</v>
      </c>
      <c r="C50" s="720">
        <v>6</v>
      </c>
      <c r="D50" s="955" t="s">
        <v>722</v>
      </c>
      <c r="E50" s="722">
        <v>69</v>
      </c>
      <c r="F50" s="715"/>
      <c r="G50" s="722">
        <v>69</v>
      </c>
      <c r="H50" s="715">
        <f t="shared" si="5"/>
        <v>38614.678899082566</v>
      </c>
      <c r="I50" s="722">
        <f t="shared" si="6"/>
        <v>38614.678899082566</v>
      </c>
      <c r="J50" s="715">
        <f t="shared" si="0"/>
        <v>6950.6422018348612</v>
      </c>
      <c r="K50" s="722">
        <f t="shared" si="12"/>
        <v>84180</v>
      </c>
      <c r="L50" s="715">
        <f t="shared" si="4"/>
        <v>1220</v>
      </c>
      <c r="M50" s="739" t="s">
        <v>496</v>
      </c>
      <c r="N50" s="723"/>
      <c r="O50" s="723"/>
      <c r="P50" s="723"/>
      <c r="Q50" s="722"/>
      <c r="R50" s="551">
        <v>1.0320436172721494</v>
      </c>
    </row>
    <row r="51" spans="1:18" ht="16.5" customHeight="1">
      <c r="A51" s="552"/>
      <c r="B51" s="718" t="s">
        <v>571</v>
      </c>
      <c r="C51" s="720">
        <v>7</v>
      </c>
      <c r="D51" s="955" t="s">
        <v>612</v>
      </c>
      <c r="E51" s="722">
        <v>69</v>
      </c>
      <c r="F51" s="715"/>
      <c r="G51" s="722">
        <v>69</v>
      </c>
      <c r="H51" s="715">
        <f t="shared" si="5"/>
        <v>38614.678899082566</v>
      </c>
      <c r="I51" s="722">
        <f t="shared" si="6"/>
        <v>38614.678899082566</v>
      </c>
      <c r="J51" s="715">
        <f t="shared" si="0"/>
        <v>6950.6422018348612</v>
      </c>
      <c r="K51" s="722">
        <f>(E51+F51/2)*L51</f>
        <v>84180</v>
      </c>
      <c r="L51" s="715">
        <f t="shared" si="4"/>
        <v>1220</v>
      </c>
      <c r="M51" s="739" t="s">
        <v>495</v>
      </c>
      <c r="N51" s="723"/>
      <c r="O51" s="723"/>
      <c r="P51" s="723"/>
      <c r="Q51" s="722"/>
      <c r="R51" s="551">
        <v>1.0320436172721494</v>
      </c>
    </row>
    <row r="52" spans="1:18" ht="16.5" customHeight="1">
      <c r="A52" s="552"/>
      <c r="B52" s="718" t="s">
        <v>571</v>
      </c>
      <c r="C52" s="720">
        <v>7</v>
      </c>
      <c r="D52" s="955" t="s">
        <v>613</v>
      </c>
      <c r="E52" s="722">
        <v>69</v>
      </c>
      <c r="F52" s="715"/>
      <c r="G52" s="722">
        <v>69</v>
      </c>
      <c r="H52" s="715">
        <f t="shared" si="5"/>
        <v>38614.678899082566</v>
      </c>
      <c r="I52" s="722">
        <f t="shared" si="6"/>
        <v>38614.678899082566</v>
      </c>
      <c r="J52" s="715">
        <f t="shared" si="0"/>
        <v>6950.6422018348612</v>
      </c>
      <c r="K52" s="722">
        <f t="shared" ref="K52:K56" si="13">(E52+F52/2)*L52</f>
        <v>84180</v>
      </c>
      <c r="L52" s="715">
        <f t="shared" si="4"/>
        <v>1220</v>
      </c>
      <c r="M52" s="739" t="s">
        <v>495</v>
      </c>
      <c r="N52" s="723"/>
      <c r="O52" s="723"/>
      <c r="P52" s="723"/>
      <c r="Q52" s="722"/>
      <c r="R52" s="551">
        <v>1.0320436172721494</v>
      </c>
    </row>
    <row r="53" spans="1:18" ht="16.5" customHeight="1">
      <c r="A53" s="552"/>
      <c r="B53" s="718" t="s">
        <v>571</v>
      </c>
      <c r="C53" s="720">
        <v>7</v>
      </c>
      <c r="D53" s="955" t="s">
        <v>614</v>
      </c>
      <c r="E53" s="722">
        <v>69</v>
      </c>
      <c r="F53" s="715"/>
      <c r="G53" s="722">
        <v>69</v>
      </c>
      <c r="H53" s="715">
        <f t="shared" si="5"/>
        <v>38614.678899082566</v>
      </c>
      <c r="I53" s="722">
        <f t="shared" si="6"/>
        <v>38614.678899082566</v>
      </c>
      <c r="J53" s="715">
        <f t="shared" si="0"/>
        <v>6950.6422018348612</v>
      </c>
      <c r="K53" s="722">
        <f t="shared" si="13"/>
        <v>84180</v>
      </c>
      <c r="L53" s="715">
        <f t="shared" si="4"/>
        <v>1220</v>
      </c>
      <c r="M53" s="739" t="s">
        <v>495</v>
      </c>
      <c r="N53" s="723"/>
      <c r="O53" s="723"/>
      <c r="P53" s="723"/>
      <c r="Q53" s="722"/>
      <c r="R53" s="551">
        <v>1.0320436172721494</v>
      </c>
    </row>
    <row r="54" spans="1:18" ht="16.5" customHeight="1">
      <c r="A54" s="552"/>
      <c r="B54" s="718" t="s">
        <v>571</v>
      </c>
      <c r="C54" s="720">
        <v>7</v>
      </c>
      <c r="D54" s="955" t="s">
        <v>615</v>
      </c>
      <c r="E54" s="722">
        <v>69</v>
      </c>
      <c r="F54" s="715"/>
      <c r="G54" s="722">
        <v>69</v>
      </c>
      <c r="H54" s="715">
        <f t="shared" si="5"/>
        <v>38614.678899082566</v>
      </c>
      <c r="I54" s="722">
        <f t="shared" si="6"/>
        <v>38614.678899082566</v>
      </c>
      <c r="J54" s="715">
        <f t="shared" si="0"/>
        <v>6950.6422018348612</v>
      </c>
      <c r="K54" s="722">
        <f t="shared" si="13"/>
        <v>84180</v>
      </c>
      <c r="L54" s="715">
        <f t="shared" si="4"/>
        <v>1220</v>
      </c>
      <c r="M54" s="739" t="s">
        <v>495</v>
      </c>
      <c r="N54" s="723"/>
      <c r="O54" s="723"/>
      <c r="P54" s="723"/>
      <c r="Q54" s="722"/>
      <c r="R54" s="551">
        <v>1.0320436172721494</v>
      </c>
    </row>
    <row r="55" spans="1:18" ht="16.5" customHeight="1">
      <c r="A55" s="552"/>
      <c r="B55" s="718" t="s">
        <v>571</v>
      </c>
      <c r="C55" s="720">
        <v>7</v>
      </c>
      <c r="D55" s="955" t="s">
        <v>616</v>
      </c>
      <c r="E55" s="722">
        <v>69</v>
      </c>
      <c r="F55" s="715"/>
      <c r="G55" s="722">
        <v>69</v>
      </c>
      <c r="H55" s="715">
        <f t="shared" si="5"/>
        <v>38614.678899082566</v>
      </c>
      <c r="I55" s="722">
        <f t="shared" si="6"/>
        <v>38614.678899082566</v>
      </c>
      <c r="J55" s="715">
        <f t="shared" si="0"/>
        <v>6950.6422018348612</v>
      </c>
      <c r="K55" s="722">
        <f t="shared" si="13"/>
        <v>84180</v>
      </c>
      <c r="L55" s="715">
        <f t="shared" si="4"/>
        <v>1220</v>
      </c>
      <c r="M55" s="739" t="s">
        <v>496</v>
      </c>
      <c r="N55" s="723"/>
      <c r="O55" s="723"/>
      <c r="P55" s="723"/>
      <c r="Q55" s="722"/>
      <c r="R55" s="551">
        <v>1.0320436172721494</v>
      </c>
    </row>
    <row r="56" spans="1:18" ht="16.5" customHeight="1">
      <c r="A56" s="552"/>
      <c r="B56" s="718" t="s">
        <v>571</v>
      </c>
      <c r="C56" s="720">
        <v>7</v>
      </c>
      <c r="D56" s="955" t="s">
        <v>617</v>
      </c>
      <c r="E56" s="722">
        <v>69</v>
      </c>
      <c r="F56" s="715"/>
      <c r="G56" s="722">
        <v>69</v>
      </c>
      <c r="H56" s="715">
        <f t="shared" si="5"/>
        <v>38614.678899082566</v>
      </c>
      <c r="I56" s="722">
        <f t="shared" si="6"/>
        <v>38614.678899082566</v>
      </c>
      <c r="J56" s="715">
        <f t="shared" si="0"/>
        <v>6950.6422018348612</v>
      </c>
      <c r="K56" s="722">
        <f t="shared" si="13"/>
        <v>84180</v>
      </c>
      <c r="L56" s="715">
        <f t="shared" si="4"/>
        <v>1220</v>
      </c>
      <c r="M56" s="739" t="s">
        <v>496</v>
      </c>
      <c r="N56" s="723"/>
      <c r="O56" s="723"/>
      <c r="P56" s="723"/>
      <c r="Q56" s="722"/>
      <c r="R56" s="551">
        <v>1.0217231810994281</v>
      </c>
    </row>
    <row r="57" spans="1:18" ht="16.5" customHeight="1">
      <c r="A57" s="552"/>
      <c r="B57" s="718" t="s">
        <v>571</v>
      </c>
      <c r="C57" s="720">
        <v>8</v>
      </c>
      <c r="D57" s="955" t="s">
        <v>618</v>
      </c>
      <c r="E57" s="722">
        <v>69</v>
      </c>
      <c r="F57" s="715"/>
      <c r="G57" s="722">
        <v>69</v>
      </c>
      <c r="H57" s="715">
        <f t="shared" si="5"/>
        <v>38614.678899082566</v>
      </c>
      <c r="I57" s="722">
        <f t="shared" si="6"/>
        <v>38614.678899082566</v>
      </c>
      <c r="J57" s="715">
        <f t="shared" si="0"/>
        <v>6950.6422018348612</v>
      </c>
      <c r="K57" s="722">
        <f>(E57+F57/2)*L57</f>
        <v>84180</v>
      </c>
      <c r="L57" s="715">
        <f t="shared" si="4"/>
        <v>1220</v>
      </c>
      <c r="M57" s="739" t="s">
        <v>495</v>
      </c>
      <c r="N57" s="723"/>
      <c r="O57" s="723"/>
      <c r="P57" s="723"/>
      <c r="Q57" s="722"/>
      <c r="R57" s="551">
        <v>1.0216189342694004</v>
      </c>
    </row>
    <row r="58" spans="1:18" ht="16.5" customHeight="1">
      <c r="A58" s="552"/>
      <c r="B58" s="718" t="s">
        <v>571</v>
      </c>
      <c r="C58" s="720">
        <v>8</v>
      </c>
      <c r="D58" s="955" t="s">
        <v>619</v>
      </c>
      <c r="E58" s="722">
        <v>69</v>
      </c>
      <c r="F58" s="715"/>
      <c r="G58" s="722">
        <v>69</v>
      </c>
      <c r="H58" s="715">
        <f t="shared" si="5"/>
        <v>38614.678899082566</v>
      </c>
      <c r="I58" s="722">
        <f t="shared" si="6"/>
        <v>38614.678899082566</v>
      </c>
      <c r="J58" s="715">
        <f t="shared" si="0"/>
        <v>6950.6422018348612</v>
      </c>
      <c r="K58" s="722">
        <f t="shared" ref="K58:K65" si="14">(E58+F58/2)*L58</f>
        <v>84180</v>
      </c>
      <c r="L58" s="715">
        <f t="shared" si="4"/>
        <v>1220</v>
      </c>
      <c r="M58" s="739" t="s">
        <v>495</v>
      </c>
      <c r="N58" s="723"/>
      <c r="O58" s="723"/>
      <c r="P58" s="723"/>
      <c r="Q58" s="722"/>
      <c r="R58" s="551">
        <v>1.0216189342694004</v>
      </c>
    </row>
    <row r="59" spans="1:18" ht="16.5" customHeight="1">
      <c r="A59" s="552"/>
      <c r="B59" s="718" t="s">
        <v>571</v>
      </c>
      <c r="C59" s="720">
        <v>8</v>
      </c>
      <c r="D59" s="955" t="s">
        <v>620</v>
      </c>
      <c r="E59" s="722">
        <v>69</v>
      </c>
      <c r="F59" s="715"/>
      <c r="G59" s="722">
        <v>69</v>
      </c>
      <c r="H59" s="715">
        <f t="shared" si="5"/>
        <v>38614.678899082566</v>
      </c>
      <c r="I59" s="722">
        <f t="shared" si="6"/>
        <v>38614.678899082566</v>
      </c>
      <c r="J59" s="715">
        <f t="shared" si="0"/>
        <v>6950.6422018348612</v>
      </c>
      <c r="K59" s="722">
        <f t="shared" si="14"/>
        <v>84180</v>
      </c>
      <c r="L59" s="715">
        <f t="shared" si="4"/>
        <v>1220</v>
      </c>
      <c r="M59" s="739" t="s">
        <v>495</v>
      </c>
      <c r="N59" s="723"/>
      <c r="O59" s="723"/>
      <c r="P59" s="723"/>
      <c r="Q59" s="722"/>
      <c r="R59" s="551">
        <v>1.0216189342694006</v>
      </c>
    </row>
    <row r="60" spans="1:18" ht="16.5" customHeight="1">
      <c r="A60" s="552"/>
      <c r="B60" s="718" t="s">
        <v>571</v>
      </c>
      <c r="C60" s="720">
        <v>8</v>
      </c>
      <c r="D60" s="955" t="s">
        <v>621</v>
      </c>
      <c r="E60" s="722">
        <v>69</v>
      </c>
      <c r="F60" s="715"/>
      <c r="G60" s="722">
        <v>69</v>
      </c>
      <c r="H60" s="715">
        <f t="shared" si="5"/>
        <v>38614.678899082566</v>
      </c>
      <c r="I60" s="722">
        <f t="shared" si="6"/>
        <v>38614.678899082566</v>
      </c>
      <c r="J60" s="715">
        <f t="shared" si="0"/>
        <v>6950.6422018348612</v>
      </c>
      <c r="K60" s="722">
        <f t="shared" si="14"/>
        <v>84180</v>
      </c>
      <c r="L60" s="715">
        <f t="shared" si="4"/>
        <v>1220</v>
      </c>
      <c r="M60" s="739" t="s">
        <v>495</v>
      </c>
      <c r="N60" s="723"/>
      <c r="O60" s="723"/>
      <c r="P60" s="723"/>
      <c r="Q60" s="722"/>
      <c r="R60" s="551">
        <v>1.0216189342694006</v>
      </c>
    </row>
    <row r="61" spans="1:18" ht="16.5" customHeight="1">
      <c r="A61" s="552"/>
      <c r="B61" s="718" t="s">
        <v>572</v>
      </c>
      <c r="C61" s="720">
        <v>8</v>
      </c>
      <c r="D61" s="955" t="s">
        <v>622</v>
      </c>
      <c r="E61" s="722">
        <v>83</v>
      </c>
      <c r="F61" s="715"/>
      <c r="G61" s="722">
        <v>83</v>
      </c>
      <c r="H61" s="715">
        <f t="shared" si="5"/>
        <v>46449.541284403669</v>
      </c>
      <c r="I61" s="722">
        <f t="shared" si="6"/>
        <v>46449.541284403669</v>
      </c>
      <c r="J61" s="715">
        <f t="shared" si="0"/>
        <v>8360.9174311926599</v>
      </c>
      <c r="K61" s="722">
        <f t="shared" si="14"/>
        <v>101260</v>
      </c>
      <c r="L61" s="715">
        <f t="shared" si="4"/>
        <v>1220</v>
      </c>
      <c r="M61" s="739" t="s">
        <v>496</v>
      </c>
      <c r="N61" s="723"/>
      <c r="O61" s="723"/>
      <c r="P61" s="723"/>
      <c r="Q61" s="722"/>
      <c r="R61" s="551">
        <v>1.0216189342694006</v>
      </c>
    </row>
    <row r="62" spans="1:18" ht="16.5" customHeight="1">
      <c r="A62" s="552"/>
      <c r="B62" s="718" t="s">
        <v>572</v>
      </c>
      <c r="C62" s="720">
        <v>8</v>
      </c>
      <c r="D62" s="955" t="s">
        <v>623</v>
      </c>
      <c r="E62" s="722">
        <v>83</v>
      </c>
      <c r="F62" s="715"/>
      <c r="G62" s="722">
        <v>83</v>
      </c>
      <c r="H62" s="715">
        <f t="shared" si="5"/>
        <v>46449.541284403669</v>
      </c>
      <c r="I62" s="722">
        <f t="shared" si="6"/>
        <v>46449.541284403669</v>
      </c>
      <c r="J62" s="715">
        <f t="shared" si="0"/>
        <v>8360.9174311926599</v>
      </c>
      <c r="K62" s="722">
        <f t="shared" si="14"/>
        <v>101260</v>
      </c>
      <c r="L62" s="715">
        <f t="shared" si="4"/>
        <v>1220</v>
      </c>
      <c r="M62" s="739" t="s">
        <v>496</v>
      </c>
      <c r="N62" s="723"/>
      <c r="O62" s="723"/>
      <c r="P62" s="723"/>
      <c r="Q62" s="722"/>
      <c r="R62" s="551">
        <v>1.0114027449267065</v>
      </c>
    </row>
    <row r="63" spans="1:18" ht="16.5" customHeight="1">
      <c r="A63" s="552"/>
      <c r="B63" s="718" t="s">
        <v>572</v>
      </c>
      <c r="C63" s="720">
        <v>8</v>
      </c>
      <c r="D63" s="955" t="s">
        <v>624</v>
      </c>
      <c r="E63" s="722">
        <v>83</v>
      </c>
      <c r="F63" s="715"/>
      <c r="G63" s="722">
        <v>83</v>
      </c>
      <c r="H63" s="715">
        <f t="shared" si="5"/>
        <v>46449.541284403669</v>
      </c>
      <c r="I63" s="722">
        <f t="shared" si="6"/>
        <v>46449.541284403669</v>
      </c>
      <c r="J63" s="715">
        <f t="shared" si="0"/>
        <v>8360.9174311926599</v>
      </c>
      <c r="K63" s="722">
        <f t="shared" si="14"/>
        <v>101260</v>
      </c>
      <c r="L63" s="715">
        <f t="shared" si="4"/>
        <v>1220</v>
      </c>
      <c r="M63" s="739" t="s">
        <v>496</v>
      </c>
      <c r="N63" s="723"/>
      <c r="O63" s="723"/>
      <c r="P63" s="723"/>
      <c r="Q63" s="722"/>
      <c r="R63" s="551">
        <v>1.0114027449267065</v>
      </c>
    </row>
    <row r="64" spans="1:18" ht="16.5" customHeight="1">
      <c r="A64" s="552"/>
      <c r="B64" s="718" t="s">
        <v>572</v>
      </c>
      <c r="C64" s="720">
        <v>8</v>
      </c>
      <c r="D64" s="955" t="s">
        <v>625</v>
      </c>
      <c r="E64" s="722">
        <v>83</v>
      </c>
      <c r="F64" s="715"/>
      <c r="G64" s="722">
        <v>83</v>
      </c>
      <c r="H64" s="715">
        <f t="shared" si="5"/>
        <v>46449.541284403669</v>
      </c>
      <c r="I64" s="722">
        <f t="shared" si="6"/>
        <v>46449.541284403669</v>
      </c>
      <c r="J64" s="715">
        <f t="shared" si="0"/>
        <v>8360.9174311926599</v>
      </c>
      <c r="K64" s="722">
        <f t="shared" si="14"/>
        <v>101260</v>
      </c>
      <c r="L64" s="715">
        <f t="shared" si="4"/>
        <v>1220</v>
      </c>
      <c r="M64" s="739" t="s">
        <v>496</v>
      </c>
      <c r="N64" s="723"/>
      <c r="O64" s="723"/>
      <c r="P64" s="723"/>
      <c r="Q64" s="722"/>
      <c r="R64" s="551">
        <v>1.0114027449267065</v>
      </c>
    </row>
    <row r="65" spans="1:18" ht="16.5" customHeight="1">
      <c r="A65" s="552"/>
      <c r="B65" s="718" t="s">
        <v>571</v>
      </c>
      <c r="C65" s="720">
        <v>8</v>
      </c>
      <c r="D65" s="955" t="s">
        <v>626</v>
      </c>
      <c r="E65" s="722">
        <v>69</v>
      </c>
      <c r="F65" s="715"/>
      <c r="G65" s="722">
        <v>69</v>
      </c>
      <c r="H65" s="715">
        <f t="shared" si="5"/>
        <v>38614.678899082566</v>
      </c>
      <c r="I65" s="722">
        <f t="shared" si="6"/>
        <v>38614.678899082566</v>
      </c>
      <c r="J65" s="715">
        <f t="shared" si="0"/>
        <v>6950.6422018348612</v>
      </c>
      <c r="K65" s="722">
        <f t="shared" si="14"/>
        <v>84180</v>
      </c>
      <c r="L65" s="715">
        <f t="shared" si="4"/>
        <v>1220</v>
      </c>
      <c r="M65" s="739" t="s">
        <v>496</v>
      </c>
      <c r="N65" s="723"/>
      <c r="O65" s="723"/>
      <c r="P65" s="723"/>
      <c r="Q65" s="722"/>
      <c r="R65" s="551">
        <v>1.0114027449267065</v>
      </c>
    </row>
    <row r="66" spans="1:18" ht="16.5" customHeight="1">
      <c r="A66" s="552"/>
      <c r="B66" s="718" t="s">
        <v>571</v>
      </c>
      <c r="C66" s="720">
        <v>8</v>
      </c>
      <c r="D66" s="955" t="s">
        <v>723</v>
      </c>
      <c r="E66" s="722">
        <v>69</v>
      </c>
      <c r="F66" s="715"/>
      <c r="G66" s="722">
        <v>69</v>
      </c>
      <c r="H66" s="715">
        <f t="shared" si="5"/>
        <v>38614.678899082566</v>
      </c>
      <c r="I66" s="722">
        <f t="shared" si="6"/>
        <v>38614.678899082566</v>
      </c>
      <c r="J66" s="715">
        <f t="shared" si="0"/>
        <v>6950.6422018348612</v>
      </c>
      <c r="K66" s="722">
        <f>(E66+F66/2)*L66</f>
        <v>84180</v>
      </c>
      <c r="L66" s="715">
        <f t="shared" si="4"/>
        <v>1220</v>
      </c>
      <c r="M66" s="739" t="s">
        <v>496</v>
      </c>
      <c r="N66" s="723"/>
      <c r="O66" s="723"/>
      <c r="P66" s="723"/>
      <c r="Q66" s="722"/>
      <c r="R66" s="551">
        <v>1.0114027449267065</v>
      </c>
    </row>
    <row r="67" spans="1:18" ht="16.5" customHeight="1">
      <c r="A67" s="552"/>
      <c r="B67" s="718" t="s">
        <v>571</v>
      </c>
      <c r="C67" s="720">
        <v>9</v>
      </c>
      <c r="D67" s="955" t="s">
        <v>627</v>
      </c>
      <c r="E67" s="722">
        <v>69</v>
      </c>
      <c r="F67" s="715"/>
      <c r="G67" s="722">
        <v>69</v>
      </c>
      <c r="H67" s="715">
        <f t="shared" si="5"/>
        <v>38614.678899082566</v>
      </c>
      <c r="I67" s="722">
        <f t="shared" si="6"/>
        <v>38614.678899082566</v>
      </c>
      <c r="J67" s="715">
        <f t="shared" si="0"/>
        <v>6950.6422018348612</v>
      </c>
      <c r="K67" s="722">
        <f>(E67+F67/2)*L67</f>
        <v>84180</v>
      </c>
      <c r="L67" s="715">
        <f t="shared" si="4"/>
        <v>1220</v>
      </c>
      <c r="M67" s="739" t="s">
        <v>495</v>
      </c>
      <c r="N67" s="723"/>
      <c r="O67" s="723"/>
      <c r="P67" s="723"/>
      <c r="Q67" s="722"/>
      <c r="R67" s="551">
        <v>1.0111942512666516</v>
      </c>
    </row>
    <row r="68" spans="1:18" ht="16.5" customHeight="1">
      <c r="A68" s="552"/>
      <c r="B68" s="718" t="s">
        <v>571</v>
      </c>
      <c r="C68" s="720">
        <v>9</v>
      </c>
      <c r="D68" s="955" t="s">
        <v>628</v>
      </c>
      <c r="E68" s="722">
        <v>69</v>
      </c>
      <c r="F68" s="715"/>
      <c r="G68" s="722">
        <v>69</v>
      </c>
      <c r="H68" s="715">
        <f t="shared" si="5"/>
        <v>38614.678899082566</v>
      </c>
      <c r="I68" s="722">
        <f t="shared" si="6"/>
        <v>38614.678899082566</v>
      </c>
      <c r="J68" s="715">
        <f t="shared" si="0"/>
        <v>6950.6422018348612</v>
      </c>
      <c r="K68" s="722">
        <f t="shared" ref="K68:K71" si="15">(E68+F68/2)*L68</f>
        <v>84180</v>
      </c>
      <c r="L68" s="715">
        <f t="shared" si="4"/>
        <v>1220</v>
      </c>
      <c r="M68" s="739" t="s">
        <v>495</v>
      </c>
      <c r="N68" s="723"/>
      <c r="O68" s="723"/>
      <c r="P68" s="723"/>
      <c r="Q68" s="722"/>
      <c r="R68" s="551">
        <v>1.0111942512666516</v>
      </c>
    </row>
    <row r="69" spans="1:18" ht="16.5" customHeight="1">
      <c r="A69" s="552"/>
      <c r="B69" s="718" t="s">
        <v>571</v>
      </c>
      <c r="C69" s="720">
        <v>9</v>
      </c>
      <c r="D69" s="955" t="s">
        <v>629</v>
      </c>
      <c r="E69" s="722">
        <v>69</v>
      </c>
      <c r="F69" s="715"/>
      <c r="G69" s="722">
        <v>69</v>
      </c>
      <c r="H69" s="715">
        <f t="shared" si="5"/>
        <v>38614.678899082566</v>
      </c>
      <c r="I69" s="722">
        <f t="shared" si="6"/>
        <v>38614.678899082566</v>
      </c>
      <c r="J69" s="715">
        <f t="shared" si="0"/>
        <v>6950.6422018348612</v>
      </c>
      <c r="K69" s="722">
        <f t="shared" si="15"/>
        <v>84180</v>
      </c>
      <c r="L69" s="715">
        <f t="shared" si="4"/>
        <v>1220</v>
      </c>
      <c r="M69" s="739" t="s">
        <v>495</v>
      </c>
      <c r="N69" s="723"/>
      <c r="O69" s="723"/>
      <c r="P69" s="723"/>
      <c r="Q69" s="722"/>
      <c r="R69" s="551">
        <v>1.0111942512666516</v>
      </c>
    </row>
    <row r="70" spans="1:18" ht="16.5" customHeight="1">
      <c r="A70" s="552"/>
      <c r="B70" s="718" t="s">
        <v>571</v>
      </c>
      <c r="C70" s="720">
        <v>9</v>
      </c>
      <c r="D70" s="955" t="s">
        <v>630</v>
      </c>
      <c r="E70" s="722">
        <v>69</v>
      </c>
      <c r="F70" s="715"/>
      <c r="G70" s="722">
        <v>69</v>
      </c>
      <c r="H70" s="715">
        <f t="shared" si="5"/>
        <v>38614.678899082566</v>
      </c>
      <c r="I70" s="722">
        <f t="shared" si="6"/>
        <v>38614.678899082566</v>
      </c>
      <c r="J70" s="715">
        <f t="shared" si="0"/>
        <v>6950.6422018348612</v>
      </c>
      <c r="K70" s="722">
        <f t="shared" si="15"/>
        <v>84180</v>
      </c>
      <c r="L70" s="715">
        <f t="shared" si="4"/>
        <v>1220</v>
      </c>
      <c r="M70" s="739" t="s">
        <v>495</v>
      </c>
      <c r="N70" s="723"/>
      <c r="O70" s="723"/>
      <c r="P70" s="723"/>
      <c r="Q70" s="722"/>
      <c r="R70" s="551">
        <v>1.0111942512666516</v>
      </c>
    </row>
    <row r="71" spans="1:18" ht="16.5" customHeight="1">
      <c r="A71" s="552"/>
      <c r="B71" s="718" t="s">
        <v>571</v>
      </c>
      <c r="C71" s="720">
        <v>9</v>
      </c>
      <c r="D71" s="955" t="s">
        <v>631</v>
      </c>
      <c r="E71" s="722">
        <v>69</v>
      </c>
      <c r="F71" s="715"/>
      <c r="G71" s="722">
        <v>69</v>
      </c>
      <c r="H71" s="715">
        <f t="shared" si="5"/>
        <v>38614.678899082566</v>
      </c>
      <c r="I71" s="722">
        <f t="shared" si="6"/>
        <v>38614.678899082566</v>
      </c>
      <c r="J71" s="715">
        <f t="shared" si="0"/>
        <v>6950.6422018348612</v>
      </c>
      <c r="K71" s="722">
        <f t="shared" si="15"/>
        <v>84180</v>
      </c>
      <c r="L71" s="715">
        <f t="shared" si="4"/>
        <v>1220</v>
      </c>
      <c r="M71" s="739" t="s">
        <v>496</v>
      </c>
      <c r="N71" s="723"/>
      <c r="O71" s="723"/>
      <c r="P71" s="723"/>
      <c r="Q71" s="722"/>
      <c r="R71" s="551">
        <v>1.0111942512666514</v>
      </c>
    </row>
    <row r="72" spans="1:18" ht="16.5" customHeight="1">
      <c r="A72" s="552"/>
      <c r="B72" s="718" t="s">
        <v>571</v>
      </c>
      <c r="C72" s="720">
        <v>9</v>
      </c>
      <c r="D72" s="955" t="s">
        <v>632</v>
      </c>
      <c r="E72" s="722">
        <v>69</v>
      </c>
      <c r="F72" s="715"/>
      <c r="G72" s="722">
        <v>69</v>
      </c>
      <c r="H72" s="715">
        <f t="shared" si="5"/>
        <v>38614.678899082566</v>
      </c>
      <c r="I72" s="722">
        <f t="shared" si="6"/>
        <v>38614.678899082566</v>
      </c>
      <c r="J72" s="715">
        <f t="shared" si="0"/>
        <v>6950.6422018348612</v>
      </c>
      <c r="K72" s="722">
        <f t="shared" ref="K72" si="16">(E72+F72/2)*L72</f>
        <v>84180</v>
      </c>
      <c r="L72" s="715">
        <f t="shared" si="4"/>
        <v>1220</v>
      </c>
      <c r="M72" s="739" t="s">
        <v>496</v>
      </c>
      <c r="N72" s="723"/>
      <c r="O72" s="723"/>
      <c r="P72" s="723"/>
      <c r="Q72" s="722"/>
      <c r="R72" s="551">
        <v>1.0010823087539849</v>
      </c>
    </row>
    <row r="73" spans="1:18" ht="16.5" customHeight="1">
      <c r="A73" s="552"/>
      <c r="B73" s="718" t="s">
        <v>571</v>
      </c>
      <c r="C73" s="720">
        <v>10</v>
      </c>
      <c r="D73" s="955" t="s">
        <v>633</v>
      </c>
      <c r="E73" s="722">
        <v>69</v>
      </c>
      <c r="F73" s="715"/>
      <c r="G73" s="722">
        <v>69</v>
      </c>
      <c r="H73" s="715">
        <f t="shared" si="5"/>
        <v>38614.678899082566</v>
      </c>
      <c r="I73" s="722">
        <f t="shared" si="6"/>
        <v>38614.678899082566</v>
      </c>
      <c r="J73" s="715">
        <f t="shared" ref="J73:J92" si="17">I73*0.18</f>
        <v>6950.6422018348612</v>
      </c>
      <c r="K73" s="722">
        <f>(E73+F73/2)*L73</f>
        <v>84180</v>
      </c>
      <c r="L73" s="715">
        <f t="shared" si="4"/>
        <v>1220</v>
      </c>
      <c r="M73" s="739" t="s">
        <v>495</v>
      </c>
      <c r="N73" s="723"/>
      <c r="O73" s="723"/>
      <c r="P73" s="723"/>
      <c r="Q73" s="722"/>
      <c r="R73" s="551">
        <v>1.0007695682639026</v>
      </c>
    </row>
    <row r="74" spans="1:18" ht="16.5" customHeight="1">
      <c r="A74" s="552"/>
      <c r="B74" s="718" t="s">
        <v>571</v>
      </c>
      <c r="C74" s="720">
        <v>10</v>
      </c>
      <c r="D74" s="955" t="s">
        <v>634</v>
      </c>
      <c r="E74" s="722">
        <v>69</v>
      </c>
      <c r="F74" s="715"/>
      <c r="G74" s="722">
        <v>69</v>
      </c>
      <c r="H74" s="715">
        <f t="shared" si="5"/>
        <v>38614.678899082566</v>
      </c>
      <c r="I74" s="722">
        <f t="shared" si="6"/>
        <v>38614.678899082566</v>
      </c>
      <c r="J74" s="715">
        <f t="shared" si="17"/>
        <v>6950.6422018348612</v>
      </c>
      <c r="K74" s="722">
        <f t="shared" ref="K74:K81" si="18">(E74+F74/2)*L74</f>
        <v>84180</v>
      </c>
      <c r="L74" s="715">
        <f t="shared" si="4"/>
        <v>1220</v>
      </c>
      <c r="M74" s="739" t="s">
        <v>495</v>
      </c>
      <c r="N74" s="723"/>
      <c r="O74" s="723"/>
      <c r="P74" s="723"/>
      <c r="Q74" s="722"/>
      <c r="R74" s="551">
        <v>1.0007695682639026</v>
      </c>
    </row>
    <row r="75" spans="1:18" ht="16.5" customHeight="1">
      <c r="A75" s="552"/>
      <c r="B75" s="718" t="s">
        <v>571</v>
      </c>
      <c r="C75" s="720">
        <v>10</v>
      </c>
      <c r="D75" s="955" t="s">
        <v>635</v>
      </c>
      <c r="E75" s="722">
        <v>69</v>
      </c>
      <c r="F75" s="715"/>
      <c r="G75" s="722">
        <v>69</v>
      </c>
      <c r="H75" s="715">
        <f t="shared" si="5"/>
        <v>38614.678899082566</v>
      </c>
      <c r="I75" s="722">
        <f t="shared" si="6"/>
        <v>38614.678899082566</v>
      </c>
      <c r="J75" s="715">
        <f t="shared" si="17"/>
        <v>6950.6422018348612</v>
      </c>
      <c r="K75" s="722">
        <f t="shared" si="18"/>
        <v>84180</v>
      </c>
      <c r="L75" s="715">
        <f t="shared" ref="L75:L92" si="19">$R$8</f>
        <v>1220</v>
      </c>
      <c r="M75" s="739" t="s">
        <v>495</v>
      </c>
      <c r="N75" s="723"/>
      <c r="O75" s="723"/>
      <c r="P75" s="723"/>
      <c r="Q75" s="722"/>
      <c r="R75" s="551">
        <v>1.0007695682639026</v>
      </c>
    </row>
    <row r="76" spans="1:18" ht="16.5" customHeight="1">
      <c r="A76" s="552"/>
      <c r="B76" s="718" t="s">
        <v>571</v>
      </c>
      <c r="C76" s="720">
        <v>10</v>
      </c>
      <c r="D76" s="955" t="s">
        <v>636</v>
      </c>
      <c r="E76" s="722">
        <v>69</v>
      </c>
      <c r="F76" s="715"/>
      <c r="G76" s="722">
        <v>69</v>
      </c>
      <c r="H76" s="715">
        <f t="shared" si="5"/>
        <v>38614.678899082566</v>
      </c>
      <c r="I76" s="722">
        <f t="shared" si="6"/>
        <v>38614.678899082566</v>
      </c>
      <c r="J76" s="715">
        <f t="shared" si="17"/>
        <v>6950.6422018348612</v>
      </c>
      <c r="K76" s="722">
        <f t="shared" si="18"/>
        <v>84180</v>
      </c>
      <c r="L76" s="715">
        <f t="shared" si="19"/>
        <v>1220</v>
      </c>
      <c r="M76" s="739" t="s">
        <v>495</v>
      </c>
      <c r="N76" s="723"/>
      <c r="O76" s="723"/>
      <c r="P76" s="723"/>
      <c r="Q76" s="722"/>
      <c r="R76" s="551">
        <v>1.0007695682639026</v>
      </c>
    </row>
    <row r="77" spans="1:18" ht="16.5" customHeight="1">
      <c r="A77" s="552"/>
      <c r="B77" s="718" t="s">
        <v>571</v>
      </c>
      <c r="C77" s="720">
        <v>10</v>
      </c>
      <c r="D77" s="955" t="s">
        <v>637</v>
      </c>
      <c r="E77" s="722">
        <v>41.5</v>
      </c>
      <c r="F77" s="715"/>
      <c r="G77" s="722">
        <v>41.5</v>
      </c>
      <c r="H77" s="715">
        <f t="shared" ref="H77:H92" si="20">K77/1.09/2</f>
        <v>23224.770642201835</v>
      </c>
      <c r="I77" s="722">
        <f t="shared" ref="I77:I92" si="21">K77/1.09/2</f>
        <v>23224.770642201835</v>
      </c>
      <c r="J77" s="715">
        <f t="shared" si="17"/>
        <v>4180.45871559633</v>
      </c>
      <c r="K77" s="722">
        <f t="shared" si="18"/>
        <v>50630</v>
      </c>
      <c r="L77" s="715">
        <f t="shared" si="19"/>
        <v>1220</v>
      </c>
      <c r="M77" s="739" t="s">
        <v>496</v>
      </c>
      <c r="N77" s="723"/>
      <c r="O77" s="723"/>
      <c r="P77" s="723"/>
      <c r="Q77" s="722"/>
      <c r="R77" s="551">
        <v>1.0007695682639026</v>
      </c>
    </row>
    <row r="78" spans="1:18" ht="16.5" customHeight="1">
      <c r="A78" s="552"/>
      <c r="B78" s="718" t="s">
        <v>571</v>
      </c>
      <c r="C78" s="720">
        <v>10</v>
      </c>
      <c r="D78" s="955" t="s">
        <v>638</v>
      </c>
      <c r="E78" s="722">
        <v>41.5</v>
      </c>
      <c r="F78" s="715"/>
      <c r="G78" s="722">
        <v>41.5</v>
      </c>
      <c r="H78" s="715">
        <f t="shared" si="20"/>
        <v>23224.770642201835</v>
      </c>
      <c r="I78" s="722">
        <f t="shared" si="21"/>
        <v>23224.770642201835</v>
      </c>
      <c r="J78" s="715">
        <f t="shared" si="17"/>
        <v>4180.45871559633</v>
      </c>
      <c r="K78" s="722">
        <f t="shared" si="18"/>
        <v>50630</v>
      </c>
      <c r="L78" s="715">
        <f t="shared" si="19"/>
        <v>1220</v>
      </c>
      <c r="M78" s="739" t="s">
        <v>496</v>
      </c>
      <c r="N78" s="723"/>
      <c r="O78" s="723"/>
      <c r="P78" s="723"/>
      <c r="Q78" s="722"/>
      <c r="R78" s="551">
        <v>0.99076187258126347</v>
      </c>
    </row>
    <row r="79" spans="1:18" ht="16.5" customHeight="1">
      <c r="A79" s="552"/>
      <c r="B79" s="718" t="s">
        <v>571</v>
      </c>
      <c r="C79" s="720">
        <v>10</v>
      </c>
      <c r="D79" s="955" t="s">
        <v>639</v>
      </c>
      <c r="E79" s="722">
        <v>41.5</v>
      </c>
      <c r="F79" s="715"/>
      <c r="G79" s="722">
        <v>41.5</v>
      </c>
      <c r="H79" s="715">
        <f t="shared" si="20"/>
        <v>23224.770642201835</v>
      </c>
      <c r="I79" s="722">
        <f t="shared" si="21"/>
        <v>23224.770642201835</v>
      </c>
      <c r="J79" s="715">
        <f t="shared" si="17"/>
        <v>4180.45871559633</v>
      </c>
      <c r="K79" s="722">
        <f>(E79+F79/2)*L79</f>
        <v>50630</v>
      </c>
      <c r="L79" s="715">
        <f t="shared" si="19"/>
        <v>1220</v>
      </c>
      <c r="M79" s="739" t="s">
        <v>496</v>
      </c>
      <c r="N79" s="723"/>
      <c r="O79" s="723"/>
      <c r="P79" s="723"/>
      <c r="Q79" s="722"/>
      <c r="R79" s="551">
        <v>0.99076187258126325</v>
      </c>
    </row>
    <row r="80" spans="1:18" ht="16.5" customHeight="1">
      <c r="A80" s="552"/>
      <c r="B80" s="718" t="s">
        <v>571</v>
      </c>
      <c r="C80" s="720">
        <v>10</v>
      </c>
      <c r="D80" s="955" t="s">
        <v>640</v>
      </c>
      <c r="E80" s="722">
        <v>41.5</v>
      </c>
      <c r="F80" s="715"/>
      <c r="G80" s="722">
        <v>41.5</v>
      </c>
      <c r="H80" s="715">
        <f t="shared" si="20"/>
        <v>23224.770642201835</v>
      </c>
      <c r="I80" s="722">
        <f t="shared" si="21"/>
        <v>23224.770642201835</v>
      </c>
      <c r="J80" s="715">
        <f t="shared" si="17"/>
        <v>4180.45871559633</v>
      </c>
      <c r="K80" s="722">
        <f t="shared" si="18"/>
        <v>50630</v>
      </c>
      <c r="L80" s="715">
        <f t="shared" si="19"/>
        <v>1220</v>
      </c>
      <c r="M80" s="739" t="s">
        <v>496</v>
      </c>
      <c r="N80" s="723"/>
      <c r="O80" s="723"/>
      <c r="P80" s="723"/>
      <c r="Q80" s="722"/>
      <c r="R80" s="551">
        <v>0.99076187258126347</v>
      </c>
    </row>
    <row r="81" spans="1:18" ht="16.5" customHeight="1">
      <c r="A81" s="552"/>
      <c r="B81" s="718" t="s">
        <v>571</v>
      </c>
      <c r="C81" s="720">
        <v>10</v>
      </c>
      <c r="D81" s="955" t="s">
        <v>641</v>
      </c>
      <c r="E81" s="722">
        <v>69</v>
      </c>
      <c r="F81" s="715"/>
      <c r="G81" s="722">
        <v>69</v>
      </c>
      <c r="H81" s="715">
        <f t="shared" si="20"/>
        <v>38614.678899082566</v>
      </c>
      <c r="I81" s="722">
        <f t="shared" si="21"/>
        <v>38614.678899082566</v>
      </c>
      <c r="J81" s="715">
        <f t="shared" si="17"/>
        <v>6950.6422018348612</v>
      </c>
      <c r="K81" s="722">
        <f t="shared" si="18"/>
        <v>84180</v>
      </c>
      <c r="L81" s="715">
        <f t="shared" si="19"/>
        <v>1220</v>
      </c>
      <c r="M81" s="739" t="s">
        <v>496</v>
      </c>
      <c r="N81" s="723"/>
      <c r="O81" s="723"/>
      <c r="P81" s="723"/>
      <c r="Q81" s="722"/>
      <c r="R81" s="551">
        <v>0.99076187258126358</v>
      </c>
    </row>
    <row r="82" spans="1:18" ht="16.5" customHeight="1">
      <c r="A82" s="552"/>
      <c r="B82" s="718" t="s">
        <v>571</v>
      </c>
      <c r="C82" s="720">
        <v>11</v>
      </c>
      <c r="D82" s="955" t="s">
        <v>724</v>
      </c>
      <c r="E82" s="722">
        <v>69</v>
      </c>
      <c r="F82" s="715"/>
      <c r="G82" s="722">
        <v>69</v>
      </c>
      <c r="H82" s="715">
        <f t="shared" si="20"/>
        <v>38614.678899082566</v>
      </c>
      <c r="I82" s="722">
        <f t="shared" si="21"/>
        <v>38614.678899082566</v>
      </c>
      <c r="J82" s="715">
        <f t="shared" si="17"/>
        <v>6950.6422018348612</v>
      </c>
      <c r="K82" s="722">
        <f t="shared" ref="K82" si="22">(E82+F82/2)*L82</f>
        <v>84180</v>
      </c>
      <c r="L82" s="715">
        <f t="shared" si="19"/>
        <v>1220</v>
      </c>
      <c r="M82" s="739" t="s">
        <v>496</v>
      </c>
      <c r="N82" s="723"/>
      <c r="O82" s="723"/>
      <c r="P82" s="723"/>
      <c r="Q82" s="722"/>
      <c r="R82" s="551">
        <v>0.99076187258126358</v>
      </c>
    </row>
    <row r="83" spans="1:18" ht="16.5" customHeight="1">
      <c r="A83" s="552"/>
      <c r="B83" s="718" t="s">
        <v>571</v>
      </c>
      <c r="C83" s="720">
        <v>11</v>
      </c>
      <c r="D83" s="955" t="s">
        <v>726</v>
      </c>
      <c r="E83" s="722">
        <v>69</v>
      </c>
      <c r="F83" s="715"/>
      <c r="G83" s="722">
        <v>69</v>
      </c>
      <c r="H83" s="715">
        <f t="shared" si="20"/>
        <v>38614.678899082566</v>
      </c>
      <c r="I83" s="722">
        <f t="shared" si="21"/>
        <v>38614.678899082566</v>
      </c>
      <c r="J83" s="715">
        <f t="shared" si="17"/>
        <v>6950.6422018348612</v>
      </c>
      <c r="K83" s="722">
        <f>(E83+F83/2)*L83</f>
        <v>84180</v>
      </c>
      <c r="L83" s="715">
        <f t="shared" si="19"/>
        <v>1220</v>
      </c>
      <c r="M83" s="739" t="s">
        <v>495</v>
      </c>
      <c r="N83" s="723"/>
      <c r="O83" s="723"/>
      <c r="P83" s="723"/>
      <c r="Q83" s="722"/>
      <c r="R83" s="551">
        <v>1.0007695682639026</v>
      </c>
    </row>
    <row r="84" spans="1:18" ht="16.5" customHeight="1">
      <c r="A84" s="552"/>
      <c r="B84" s="718" t="s">
        <v>571</v>
      </c>
      <c r="C84" s="720">
        <v>11</v>
      </c>
      <c r="D84" s="955" t="s">
        <v>727</v>
      </c>
      <c r="E84" s="722">
        <v>69</v>
      </c>
      <c r="F84" s="715"/>
      <c r="G84" s="722">
        <v>69</v>
      </c>
      <c r="H84" s="715">
        <f t="shared" si="20"/>
        <v>38614.678899082566</v>
      </c>
      <c r="I84" s="722">
        <f t="shared" si="21"/>
        <v>38614.678899082566</v>
      </c>
      <c r="J84" s="715">
        <f t="shared" si="17"/>
        <v>6950.6422018348612</v>
      </c>
      <c r="K84" s="722">
        <f t="shared" ref="K84:K88" si="23">(E84+F84/2)*L84</f>
        <v>84180</v>
      </c>
      <c r="L84" s="715">
        <f t="shared" si="19"/>
        <v>1220</v>
      </c>
      <c r="M84" s="739" t="s">
        <v>495</v>
      </c>
      <c r="N84" s="723"/>
      <c r="O84" s="723"/>
      <c r="P84" s="723"/>
      <c r="Q84" s="722"/>
      <c r="R84" s="551">
        <v>1.0007695682639026</v>
      </c>
    </row>
    <row r="85" spans="1:18" ht="16.5" customHeight="1">
      <c r="A85" s="552"/>
      <c r="B85" s="718" t="s">
        <v>571</v>
      </c>
      <c r="C85" s="720">
        <v>11</v>
      </c>
      <c r="D85" s="955" t="s">
        <v>728</v>
      </c>
      <c r="E85" s="722">
        <v>69</v>
      </c>
      <c r="F85" s="715"/>
      <c r="G85" s="722">
        <v>69</v>
      </c>
      <c r="H85" s="715">
        <f t="shared" si="20"/>
        <v>38614.678899082566</v>
      </c>
      <c r="I85" s="722">
        <f t="shared" si="21"/>
        <v>38614.678899082566</v>
      </c>
      <c r="J85" s="715">
        <f t="shared" si="17"/>
        <v>6950.6422018348612</v>
      </c>
      <c r="K85" s="722">
        <f t="shared" si="23"/>
        <v>84180</v>
      </c>
      <c r="L85" s="715">
        <f t="shared" si="19"/>
        <v>1220</v>
      </c>
      <c r="M85" s="739" t="s">
        <v>495</v>
      </c>
      <c r="N85" s="723"/>
      <c r="O85" s="723"/>
      <c r="P85" s="723"/>
      <c r="Q85" s="722"/>
      <c r="R85" s="551">
        <v>1.0007695682639026</v>
      </c>
    </row>
    <row r="86" spans="1:18" ht="16.5" customHeight="1">
      <c r="A86" s="552"/>
      <c r="B86" s="718" t="s">
        <v>571</v>
      </c>
      <c r="C86" s="720">
        <v>11</v>
      </c>
      <c r="D86" s="955" t="s">
        <v>729</v>
      </c>
      <c r="E86" s="722">
        <v>69</v>
      </c>
      <c r="F86" s="715"/>
      <c r="G86" s="722">
        <v>69</v>
      </c>
      <c r="H86" s="715">
        <f t="shared" si="20"/>
        <v>38614.678899082566</v>
      </c>
      <c r="I86" s="722">
        <f t="shared" si="21"/>
        <v>38614.678899082566</v>
      </c>
      <c r="J86" s="715">
        <f t="shared" si="17"/>
        <v>6950.6422018348612</v>
      </c>
      <c r="K86" s="722">
        <f t="shared" si="23"/>
        <v>84180</v>
      </c>
      <c r="L86" s="715">
        <f t="shared" si="19"/>
        <v>1220</v>
      </c>
      <c r="M86" s="739" t="s">
        <v>495</v>
      </c>
      <c r="N86" s="723"/>
      <c r="O86" s="723"/>
      <c r="P86" s="723"/>
      <c r="Q86" s="722"/>
      <c r="R86" s="551">
        <v>1.0007695682639026</v>
      </c>
    </row>
    <row r="87" spans="1:18" ht="16.5" customHeight="1">
      <c r="A87" s="552"/>
      <c r="B87" s="718" t="s">
        <v>571</v>
      </c>
      <c r="C87" s="720">
        <v>11</v>
      </c>
      <c r="D87" s="955" t="s">
        <v>730</v>
      </c>
      <c r="E87" s="722">
        <v>41.5</v>
      </c>
      <c r="F87" s="715"/>
      <c r="G87" s="722">
        <v>41.5</v>
      </c>
      <c r="H87" s="715">
        <f t="shared" si="20"/>
        <v>23224.770642201835</v>
      </c>
      <c r="I87" s="722">
        <f t="shared" si="21"/>
        <v>23224.770642201835</v>
      </c>
      <c r="J87" s="715">
        <f t="shared" si="17"/>
        <v>4180.45871559633</v>
      </c>
      <c r="K87" s="722">
        <f t="shared" si="23"/>
        <v>50630</v>
      </c>
      <c r="L87" s="715">
        <f t="shared" si="19"/>
        <v>1220</v>
      </c>
      <c r="M87" s="739" t="s">
        <v>496</v>
      </c>
      <c r="N87" s="723"/>
      <c r="O87" s="723"/>
      <c r="P87" s="723"/>
      <c r="Q87" s="722"/>
      <c r="R87" s="551">
        <v>1.0007695682639026</v>
      </c>
    </row>
    <row r="88" spans="1:18" ht="16.5" customHeight="1">
      <c r="A88" s="552"/>
      <c r="B88" s="718" t="s">
        <v>571</v>
      </c>
      <c r="C88" s="720">
        <v>11</v>
      </c>
      <c r="D88" s="955" t="s">
        <v>731</v>
      </c>
      <c r="E88" s="722">
        <v>41.5</v>
      </c>
      <c r="F88" s="715"/>
      <c r="G88" s="722">
        <v>41.5</v>
      </c>
      <c r="H88" s="715">
        <f t="shared" si="20"/>
        <v>23224.770642201835</v>
      </c>
      <c r="I88" s="722">
        <f t="shared" si="21"/>
        <v>23224.770642201835</v>
      </c>
      <c r="J88" s="715">
        <f t="shared" si="17"/>
        <v>4180.45871559633</v>
      </c>
      <c r="K88" s="722">
        <f t="shared" si="23"/>
        <v>50630</v>
      </c>
      <c r="L88" s="715">
        <f t="shared" si="19"/>
        <v>1220</v>
      </c>
      <c r="M88" s="739" t="s">
        <v>496</v>
      </c>
      <c r="N88" s="723"/>
      <c r="O88" s="723"/>
      <c r="P88" s="723"/>
      <c r="Q88" s="722"/>
      <c r="R88" s="551">
        <v>0.99076187258126347</v>
      </c>
    </row>
    <row r="89" spans="1:18" ht="16.5" customHeight="1">
      <c r="A89" s="552"/>
      <c r="B89" s="718" t="s">
        <v>571</v>
      </c>
      <c r="C89" s="720">
        <v>11</v>
      </c>
      <c r="D89" s="955" t="s">
        <v>732</v>
      </c>
      <c r="E89" s="722">
        <v>41.5</v>
      </c>
      <c r="F89" s="715"/>
      <c r="G89" s="722">
        <v>41.5</v>
      </c>
      <c r="H89" s="715">
        <f t="shared" si="20"/>
        <v>23224.770642201835</v>
      </c>
      <c r="I89" s="722">
        <f t="shared" si="21"/>
        <v>23224.770642201835</v>
      </c>
      <c r="J89" s="715">
        <f t="shared" si="17"/>
        <v>4180.45871559633</v>
      </c>
      <c r="K89" s="722">
        <f>(E89+F89/2)*L89</f>
        <v>50630</v>
      </c>
      <c r="L89" s="715">
        <f t="shared" si="19"/>
        <v>1220</v>
      </c>
      <c r="M89" s="739" t="s">
        <v>496</v>
      </c>
      <c r="N89" s="723"/>
      <c r="O89" s="723"/>
      <c r="P89" s="723"/>
      <c r="Q89" s="722"/>
      <c r="R89" s="551">
        <v>0.99076187258126325</v>
      </c>
    </row>
    <row r="90" spans="1:18" ht="16.5" customHeight="1">
      <c r="A90" s="552"/>
      <c r="B90" s="718" t="s">
        <v>571</v>
      </c>
      <c r="C90" s="720">
        <v>11</v>
      </c>
      <c r="D90" s="955" t="s">
        <v>733</v>
      </c>
      <c r="E90" s="722">
        <v>41.5</v>
      </c>
      <c r="F90" s="715"/>
      <c r="G90" s="722">
        <v>41.5</v>
      </c>
      <c r="H90" s="715">
        <f t="shared" si="20"/>
        <v>23224.770642201835</v>
      </c>
      <c r="I90" s="722">
        <f t="shared" si="21"/>
        <v>23224.770642201835</v>
      </c>
      <c r="J90" s="715">
        <f t="shared" si="17"/>
        <v>4180.45871559633</v>
      </c>
      <c r="K90" s="722">
        <f t="shared" ref="K90:K91" si="24">(E90+F90/2)*L90</f>
        <v>50630</v>
      </c>
      <c r="L90" s="715">
        <f t="shared" si="19"/>
        <v>1220</v>
      </c>
      <c r="M90" s="739" t="s">
        <v>496</v>
      </c>
      <c r="N90" s="723"/>
      <c r="O90" s="723"/>
      <c r="P90" s="723"/>
      <c r="Q90" s="722"/>
      <c r="R90" s="551">
        <v>0.99076187258126347</v>
      </c>
    </row>
    <row r="91" spans="1:18" ht="16.5" customHeight="1">
      <c r="A91" s="552"/>
      <c r="B91" s="718" t="s">
        <v>571</v>
      </c>
      <c r="C91" s="720">
        <v>11</v>
      </c>
      <c r="D91" s="955" t="s">
        <v>734</v>
      </c>
      <c r="E91" s="722">
        <v>69</v>
      </c>
      <c r="F91" s="715"/>
      <c r="G91" s="722">
        <v>69</v>
      </c>
      <c r="H91" s="715">
        <f t="shared" si="20"/>
        <v>38614.678899082566</v>
      </c>
      <c r="I91" s="722">
        <f t="shared" si="21"/>
        <v>38614.678899082566</v>
      </c>
      <c r="J91" s="715">
        <f t="shared" si="17"/>
        <v>6950.6422018348612</v>
      </c>
      <c r="K91" s="722">
        <f t="shared" si="24"/>
        <v>84180</v>
      </c>
      <c r="L91" s="715">
        <f t="shared" si="19"/>
        <v>1220</v>
      </c>
      <c r="M91" s="739" t="s">
        <v>496</v>
      </c>
      <c r="N91" s="723"/>
      <c r="O91" s="723"/>
      <c r="P91" s="723"/>
      <c r="Q91" s="722"/>
      <c r="R91" s="551">
        <v>0.99076187258126358</v>
      </c>
    </row>
    <row r="92" spans="1:18" ht="16.5" customHeight="1">
      <c r="A92" s="552"/>
      <c r="B92" s="718" t="s">
        <v>571</v>
      </c>
      <c r="C92" s="720">
        <v>11</v>
      </c>
      <c r="D92" s="955" t="s">
        <v>725</v>
      </c>
      <c r="E92" s="722">
        <v>69</v>
      </c>
      <c r="F92" s="715"/>
      <c r="G92" s="722">
        <v>69</v>
      </c>
      <c r="H92" s="715">
        <f t="shared" si="20"/>
        <v>38614.678899082566</v>
      </c>
      <c r="I92" s="722">
        <f t="shared" si="21"/>
        <v>38614.678899082566</v>
      </c>
      <c r="J92" s="715">
        <f t="shared" si="17"/>
        <v>6950.6422018348612</v>
      </c>
      <c r="K92" s="722">
        <f>(E92+F92/2)*L92</f>
        <v>84180</v>
      </c>
      <c r="L92" s="715">
        <f t="shared" si="19"/>
        <v>1220</v>
      </c>
      <c r="M92" s="739" t="s">
        <v>496</v>
      </c>
      <c r="N92" s="723"/>
      <c r="O92" s="723"/>
      <c r="P92" s="723"/>
      <c r="Q92" s="722"/>
      <c r="R92" s="551">
        <v>0.99076187258126358</v>
      </c>
    </row>
    <row r="93" spans="1:18" ht="15" customHeight="1">
      <c r="A93" s="552"/>
      <c r="B93" s="1012" t="s">
        <v>4</v>
      </c>
      <c r="C93" s="1013"/>
      <c r="D93" s="1014"/>
      <c r="E93" s="726">
        <f t="shared" ref="E93" si="25">SUM(E9:E92)</f>
        <v>5800</v>
      </c>
      <c r="F93" s="726">
        <f t="shared" ref="F93" si="26">SUM(F9:F92)</f>
        <v>342</v>
      </c>
      <c r="G93" s="726">
        <f t="shared" ref="G93:J93" si="27">SUM(G9:G92)</f>
        <v>6142</v>
      </c>
      <c r="H93" s="726">
        <f t="shared" si="27"/>
        <v>3341568.8073394462</v>
      </c>
      <c r="I93" s="726">
        <f t="shared" si="27"/>
        <v>3341568.8073394462</v>
      </c>
      <c r="J93" s="726">
        <f t="shared" si="27"/>
        <v>601482.38532110094</v>
      </c>
      <c r="K93" s="726">
        <f>SUM(K9:K92)</f>
        <v>7284620</v>
      </c>
      <c r="L93" s="844"/>
      <c r="M93" s="845"/>
      <c r="N93" s="726">
        <f>SUM(N9:N81)</f>
        <v>0</v>
      </c>
      <c r="O93" s="726">
        <f>SUM(O9:O81)</f>
        <v>0</v>
      </c>
      <c r="P93" s="726">
        <f>SUM(P9:P81)</f>
        <v>0</v>
      </c>
      <c r="Q93" s="726"/>
      <c r="R93" s="726">
        <f>SUM(R9:R81)</f>
        <v>78.85865108066433</v>
      </c>
    </row>
    <row r="94" spans="1:18" ht="15" customHeight="1">
      <c r="A94" s="552"/>
      <c r="B94" s="553"/>
      <c r="C94" s="554"/>
      <c r="D94" s="554"/>
      <c r="E94" s="702"/>
      <c r="F94" s="702"/>
      <c r="G94" s="702"/>
      <c r="H94" s="702"/>
      <c r="I94" s="702"/>
      <c r="J94" s="702"/>
      <c r="K94" s="702"/>
      <c r="L94" s="702"/>
      <c r="Q94" s="702"/>
    </row>
    <row r="95" spans="1:18" ht="42.75" customHeight="1">
      <c r="A95" s="552"/>
      <c r="B95" s="711" t="s">
        <v>650</v>
      </c>
      <c r="C95" s="711" t="s">
        <v>41</v>
      </c>
      <c r="D95" s="711" t="s">
        <v>499</v>
      </c>
      <c r="E95" s="711" t="s">
        <v>642</v>
      </c>
      <c r="F95" s="711" t="s">
        <v>643</v>
      </c>
      <c r="G95" s="711" t="s">
        <v>644</v>
      </c>
      <c r="H95" s="711" t="s">
        <v>212</v>
      </c>
      <c r="I95" s="711" t="s">
        <v>213</v>
      </c>
      <c r="J95" s="711" t="s">
        <v>214</v>
      </c>
      <c r="K95" s="711" t="s">
        <v>672</v>
      </c>
      <c r="L95" s="711" t="s">
        <v>216</v>
      </c>
      <c r="M95" s="711" t="s">
        <v>494</v>
      </c>
      <c r="N95" s="738" t="s">
        <v>646</v>
      </c>
      <c r="O95" s="711" t="s">
        <v>673</v>
      </c>
      <c r="P95" s="711" t="s">
        <v>687</v>
      </c>
      <c r="Q95" s="711" t="s">
        <v>703</v>
      </c>
    </row>
    <row r="96" spans="1:18" ht="16.5" customHeight="1">
      <c r="A96" s="552"/>
      <c r="B96" s="718" t="s">
        <v>648</v>
      </c>
      <c r="C96" s="720">
        <v>1</v>
      </c>
      <c r="D96" s="714" t="s">
        <v>651</v>
      </c>
      <c r="E96" s="721">
        <v>56.45</v>
      </c>
      <c r="F96" s="717"/>
      <c r="G96" s="721">
        <v>56.45</v>
      </c>
      <c r="H96" s="717">
        <f>K96/1.09/2</f>
        <v>25894.495412844033</v>
      </c>
      <c r="I96" s="721">
        <f t="shared" ref="I96:I101" si="28">K96/1.09/2</f>
        <v>25894.495412844033</v>
      </c>
      <c r="J96" s="717">
        <f t="shared" ref="J96:J100" si="29">I96*0.18</f>
        <v>4661.0091743119256</v>
      </c>
      <c r="K96" s="721">
        <f>(E96+F96/2)*L96</f>
        <v>56450</v>
      </c>
      <c r="L96" s="717">
        <v>1000</v>
      </c>
      <c r="M96" s="736" t="s">
        <v>495</v>
      </c>
      <c r="N96" s="734"/>
      <c r="O96" s="734"/>
      <c r="P96" s="734">
        <v>1</v>
      </c>
      <c r="Q96" s="721"/>
      <c r="R96" s="734" t="s">
        <v>159</v>
      </c>
    </row>
    <row r="97" spans="1:18" ht="16.5" customHeight="1">
      <c r="A97" s="552"/>
      <c r="B97" s="718" t="s">
        <v>648</v>
      </c>
      <c r="C97" s="720">
        <v>1</v>
      </c>
      <c r="D97" s="714" t="s">
        <v>652</v>
      </c>
      <c r="E97" s="722">
        <v>56.45</v>
      </c>
      <c r="F97" s="715"/>
      <c r="G97" s="722">
        <v>56.45</v>
      </c>
      <c r="H97" s="715">
        <f t="shared" ref="H97:H101" si="30">K97/1.09/2</f>
        <v>25894.495412844033</v>
      </c>
      <c r="I97" s="722">
        <f t="shared" si="28"/>
        <v>25894.495412844033</v>
      </c>
      <c r="J97" s="715">
        <f t="shared" si="29"/>
        <v>4661.0091743119256</v>
      </c>
      <c r="K97" s="722">
        <f t="shared" ref="K97:K101" si="31">(E97+F97/2)*L97</f>
        <v>56450</v>
      </c>
      <c r="L97" s="715">
        <v>1000</v>
      </c>
      <c r="M97" s="737" t="s">
        <v>495</v>
      </c>
      <c r="N97" s="723"/>
      <c r="O97" s="723"/>
      <c r="P97" s="723">
        <v>1</v>
      </c>
      <c r="Q97" s="722"/>
      <c r="R97" s="723" t="s">
        <v>159</v>
      </c>
    </row>
    <row r="98" spans="1:18" ht="16.5" customHeight="1">
      <c r="A98" s="552"/>
      <c r="B98" s="718" t="s">
        <v>648</v>
      </c>
      <c r="C98" s="720">
        <v>1</v>
      </c>
      <c r="D98" s="714" t="s">
        <v>653</v>
      </c>
      <c r="E98" s="722">
        <v>53.87</v>
      </c>
      <c r="F98" s="715"/>
      <c r="G98" s="722">
        <v>53.87</v>
      </c>
      <c r="H98" s="715">
        <f t="shared" si="30"/>
        <v>24711.009174311926</v>
      </c>
      <c r="I98" s="722">
        <f t="shared" si="28"/>
        <v>24711.009174311926</v>
      </c>
      <c r="J98" s="715">
        <f t="shared" si="29"/>
        <v>4447.9816513761461</v>
      </c>
      <c r="K98" s="722">
        <f t="shared" si="31"/>
        <v>53870</v>
      </c>
      <c r="L98" s="715">
        <v>1000</v>
      </c>
      <c r="M98" s="737" t="s">
        <v>495</v>
      </c>
      <c r="N98" s="723"/>
      <c r="O98" s="723"/>
      <c r="P98" s="723">
        <v>1</v>
      </c>
      <c r="Q98" s="722"/>
      <c r="R98" s="723" t="s">
        <v>159</v>
      </c>
    </row>
    <row r="99" spans="1:18" ht="16.5" customHeight="1">
      <c r="A99" s="552"/>
      <c r="B99" s="718" t="s">
        <v>648</v>
      </c>
      <c r="C99" s="720">
        <v>1</v>
      </c>
      <c r="D99" s="714" t="s">
        <v>654</v>
      </c>
      <c r="E99" s="722">
        <v>68.05</v>
      </c>
      <c r="F99" s="715"/>
      <c r="G99" s="722">
        <v>68.05</v>
      </c>
      <c r="H99" s="715">
        <f t="shared" si="30"/>
        <v>31215.596330275228</v>
      </c>
      <c r="I99" s="722">
        <f t="shared" si="28"/>
        <v>31215.596330275228</v>
      </c>
      <c r="J99" s="715">
        <f t="shared" si="29"/>
        <v>5618.8073394495405</v>
      </c>
      <c r="K99" s="722">
        <f t="shared" si="31"/>
        <v>68050</v>
      </c>
      <c r="L99" s="715">
        <v>1000</v>
      </c>
      <c r="M99" s="737" t="s">
        <v>495</v>
      </c>
      <c r="N99" s="723"/>
      <c r="O99" s="723"/>
      <c r="P99" s="723">
        <v>1</v>
      </c>
      <c r="Q99" s="722"/>
      <c r="R99" s="723" t="s">
        <v>159</v>
      </c>
    </row>
    <row r="100" spans="1:18" ht="16.5" customHeight="1">
      <c r="A100" s="552"/>
      <c r="B100" s="718" t="s">
        <v>649</v>
      </c>
      <c r="C100" s="720">
        <v>1</v>
      </c>
      <c r="D100" s="714" t="s">
        <v>655</v>
      </c>
      <c r="E100" s="722">
        <v>58</v>
      </c>
      <c r="F100" s="715"/>
      <c r="G100" s="722">
        <v>58</v>
      </c>
      <c r="H100" s="715">
        <f t="shared" si="30"/>
        <v>26605.50458715596</v>
      </c>
      <c r="I100" s="722">
        <f t="shared" si="28"/>
        <v>26605.50458715596</v>
      </c>
      <c r="J100" s="715">
        <f t="shared" si="29"/>
        <v>4788.9908256880726</v>
      </c>
      <c r="K100" s="722">
        <f t="shared" si="31"/>
        <v>58000</v>
      </c>
      <c r="L100" s="715">
        <v>1000</v>
      </c>
      <c r="M100" s="737" t="s">
        <v>496</v>
      </c>
      <c r="N100" s="723"/>
      <c r="O100" s="723"/>
      <c r="P100" s="723">
        <v>1</v>
      </c>
      <c r="Q100" s="722"/>
      <c r="R100" s="723" t="s">
        <v>159</v>
      </c>
    </row>
    <row r="101" spans="1:18" ht="16.5" customHeight="1">
      <c r="A101" s="552"/>
      <c r="B101" s="718" t="s">
        <v>649</v>
      </c>
      <c r="C101" s="720">
        <v>1</v>
      </c>
      <c r="D101" s="714" t="s">
        <v>656</v>
      </c>
      <c r="E101" s="722">
        <v>58</v>
      </c>
      <c r="F101" s="715"/>
      <c r="G101" s="722">
        <v>58</v>
      </c>
      <c r="H101" s="715">
        <f t="shared" si="30"/>
        <v>26605.50458715596</v>
      </c>
      <c r="I101" s="722">
        <f t="shared" si="28"/>
        <v>26605.50458715596</v>
      </c>
      <c r="J101" s="715">
        <f>I101*0.18</f>
        <v>4788.9908256880726</v>
      </c>
      <c r="K101" s="722">
        <f t="shared" si="31"/>
        <v>58000</v>
      </c>
      <c r="L101" s="715">
        <v>1000</v>
      </c>
      <c r="M101" s="737" t="s">
        <v>496</v>
      </c>
      <c r="N101" s="723"/>
      <c r="O101" s="723"/>
      <c r="P101" s="723">
        <v>1</v>
      </c>
      <c r="Q101" s="722"/>
      <c r="R101" s="723" t="s">
        <v>159</v>
      </c>
    </row>
    <row r="102" spans="1:18" ht="16.5" customHeight="1">
      <c r="A102" s="552"/>
      <c r="B102" s="718" t="s">
        <v>649</v>
      </c>
      <c r="C102" s="720">
        <v>1</v>
      </c>
      <c r="D102" s="714" t="s">
        <v>657</v>
      </c>
      <c r="E102" s="722">
        <v>50.93</v>
      </c>
      <c r="F102" s="715"/>
      <c r="G102" s="722">
        <v>50.93</v>
      </c>
      <c r="H102" s="715">
        <f t="shared" ref="H102:H103" si="32">K102/1.09/2</f>
        <v>23362.385321100915</v>
      </c>
      <c r="I102" s="722">
        <f t="shared" ref="I102:I103" si="33">K102/1.09/2</f>
        <v>23362.385321100915</v>
      </c>
      <c r="J102" s="715">
        <f t="shared" ref="J102:J103" si="34">I102*0.18</f>
        <v>4205.2293577981645</v>
      </c>
      <c r="K102" s="722">
        <f t="shared" ref="K102:K103" si="35">(E102+F102/2)*L102</f>
        <v>50930</v>
      </c>
      <c r="L102" s="715">
        <v>1000</v>
      </c>
      <c r="M102" s="737" t="s">
        <v>496</v>
      </c>
      <c r="N102" s="723"/>
      <c r="O102" s="723"/>
      <c r="P102" s="723">
        <v>1</v>
      </c>
      <c r="Q102" s="722"/>
      <c r="R102" s="723" t="s">
        <v>159</v>
      </c>
    </row>
    <row r="103" spans="1:18" ht="16.5" customHeight="1">
      <c r="A103" s="552"/>
      <c r="B103" s="718" t="s">
        <v>649</v>
      </c>
      <c r="C103" s="720">
        <v>1</v>
      </c>
      <c r="D103" s="714" t="s">
        <v>658</v>
      </c>
      <c r="E103" s="722">
        <v>50.93</v>
      </c>
      <c r="F103" s="715"/>
      <c r="G103" s="722">
        <v>50.93</v>
      </c>
      <c r="H103" s="715">
        <f t="shared" si="32"/>
        <v>23362.385321100915</v>
      </c>
      <c r="I103" s="722">
        <f t="shared" si="33"/>
        <v>23362.385321100915</v>
      </c>
      <c r="J103" s="715">
        <f t="shared" si="34"/>
        <v>4205.2293577981645</v>
      </c>
      <c r="K103" s="722">
        <f t="shared" si="35"/>
        <v>50930</v>
      </c>
      <c r="L103" s="715">
        <v>1000</v>
      </c>
      <c r="M103" s="737" t="s">
        <v>496</v>
      </c>
      <c r="N103" s="725"/>
      <c r="O103" s="725"/>
      <c r="P103" s="725">
        <v>1</v>
      </c>
      <c r="Q103" s="722"/>
      <c r="R103" s="725" t="s">
        <v>159</v>
      </c>
    </row>
    <row r="104" spans="1:18" ht="15" customHeight="1">
      <c r="A104" s="552"/>
      <c r="B104" s="1016" t="s">
        <v>4</v>
      </c>
      <c r="C104" s="1017"/>
      <c r="D104" s="1018"/>
      <c r="E104" s="735">
        <f>SUM(E96:E103)</f>
        <v>452.68</v>
      </c>
      <c r="F104" s="735">
        <f t="shared" ref="F104:K104" si="36">SUM(F96:F103)</f>
        <v>0</v>
      </c>
      <c r="G104" s="735">
        <f t="shared" si="36"/>
        <v>452.68</v>
      </c>
      <c r="H104" s="735">
        <f t="shared" si="36"/>
        <v>207651.376146789</v>
      </c>
      <c r="I104" s="735">
        <f t="shared" si="36"/>
        <v>207651.376146789</v>
      </c>
      <c r="J104" s="735">
        <f>SUM(J96:J103)</f>
        <v>37377.247706422007</v>
      </c>
      <c r="K104" s="735">
        <f t="shared" si="36"/>
        <v>452680</v>
      </c>
      <c r="L104" s="838"/>
      <c r="M104" s="842"/>
      <c r="N104" s="843">
        <f>SUM(N96:N103)</f>
        <v>0</v>
      </c>
      <c r="O104" s="843">
        <f>SUM(O96:O103)</f>
        <v>0</v>
      </c>
      <c r="P104" s="843">
        <f t="shared" ref="P104" si="37">SUM(P96:P103)</f>
        <v>8</v>
      </c>
      <c r="Q104" s="735"/>
      <c r="R104" s="843">
        <f>SUM(R96:R103)</f>
        <v>0</v>
      </c>
    </row>
    <row r="105" spans="1:18" ht="15" customHeight="1">
      <c r="A105" s="552"/>
      <c r="B105" s="553"/>
      <c r="C105" s="554"/>
      <c r="D105" s="554"/>
      <c r="E105" s="702"/>
      <c r="F105" s="702"/>
      <c r="G105" s="702"/>
      <c r="H105" s="702"/>
      <c r="I105" s="702"/>
      <c r="J105" s="702"/>
      <c r="K105" s="702"/>
      <c r="L105" s="551"/>
      <c r="Q105" s="702"/>
    </row>
    <row r="106" spans="1:18" ht="24">
      <c r="A106" s="552"/>
      <c r="B106" s="711" t="s">
        <v>684</v>
      </c>
      <c r="C106" s="711" t="s">
        <v>87</v>
      </c>
      <c r="D106" s="711" t="s">
        <v>685</v>
      </c>
      <c r="E106" s="712" t="s">
        <v>43</v>
      </c>
      <c r="F106" s="711" t="s">
        <v>642</v>
      </c>
      <c r="G106" s="711" t="s">
        <v>643</v>
      </c>
      <c r="H106" s="742" t="s">
        <v>212</v>
      </c>
      <c r="I106" s="711" t="s">
        <v>213</v>
      </c>
      <c r="J106" s="711" t="s">
        <v>214</v>
      </c>
      <c r="K106" s="711" t="s">
        <v>672</v>
      </c>
      <c r="L106" s="711" t="s">
        <v>216</v>
      </c>
      <c r="M106" s="711" t="s">
        <v>494</v>
      </c>
      <c r="N106" s="711" t="s">
        <v>646</v>
      </c>
      <c r="O106" s="711" t="s">
        <v>673</v>
      </c>
      <c r="P106" s="711" t="s">
        <v>687</v>
      </c>
      <c r="Q106" s="711" t="s">
        <v>703</v>
      </c>
      <c r="R106" s="711" t="s">
        <v>687</v>
      </c>
    </row>
    <row r="107" spans="1:18" ht="14.25">
      <c r="A107" s="552"/>
      <c r="B107" s="718" t="s">
        <v>674</v>
      </c>
      <c r="C107" s="740" t="s">
        <v>87</v>
      </c>
      <c r="D107" s="714">
        <v>1</v>
      </c>
      <c r="E107" s="840">
        <v>1</v>
      </c>
      <c r="F107" s="722">
        <v>14.12</v>
      </c>
      <c r="G107" s="722"/>
      <c r="H107" s="715">
        <f t="shared" ref="H107" si="38">K107/1.09/2</f>
        <v>4587.1559633027518</v>
      </c>
      <c r="I107" s="722">
        <f t="shared" ref="I107" si="39">K107/1.09/2</f>
        <v>4587.1559633027518</v>
      </c>
      <c r="J107" s="715">
        <f t="shared" ref="J107" si="40">I107*0.18</f>
        <v>825.68807339449529</v>
      </c>
      <c r="K107" s="722">
        <v>10000</v>
      </c>
      <c r="L107" s="722">
        <f t="shared" ref="L107:L138" si="41">K107/F107</f>
        <v>708.21529745042494</v>
      </c>
      <c r="M107" s="722" t="s">
        <v>688</v>
      </c>
      <c r="N107" s="722"/>
      <c r="O107" s="722"/>
      <c r="P107" s="722"/>
      <c r="Q107" s="722"/>
      <c r="R107" s="722"/>
    </row>
    <row r="108" spans="1:18" ht="14.25">
      <c r="A108" s="552"/>
      <c r="B108" s="718" t="s">
        <v>674</v>
      </c>
      <c r="C108" s="846" t="s">
        <v>87</v>
      </c>
      <c r="D108" s="714">
        <v>2</v>
      </c>
      <c r="E108" s="840">
        <v>1</v>
      </c>
      <c r="F108" s="722">
        <v>14.12</v>
      </c>
      <c r="G108" s="722"/>
      <c r="H108" s="715">
        <f t="shared" ref="H108:H168" si="42">K108/1.09/2</f>
        <v>4587.1559633027518</v>
      </c>
      <c r="I108" s="722">
        <f t="shared" ref="I108:I168" si="43">K108/1.09/2</f>
        <v>4587.1559633027518</v>
      </c>
      <c r="J108" s="715">
        <f t="shared" ref="J108:J168" si="44">I108*0.18</f>
        <v>825.68807339449529</v>
      </c>
      <c r="K108" s="722">
        <f>K107</f>
        <v>10000</v>
      </c>
      <c r="L108" s="722">
        <f t="shared" si="41"/>
        <v>708.21529745042494</v>
      </c>
      <c r="M108" s="722" t="s">
        <v>688</v>
      </c>
      <c r="N108" s="722"/>
      <c r="O108" s="722"/>
      <c r="P108" s="722"/>
      <c r="Q108" s="722"/>
      <c r="R108" s="722"/>
    </row>
    <row r="109" spans="1:18" ht="14.25">
      <c r="A109" s="552"/>
      <c r="B109" s="718" t="s">
        <v>674</v>
      </c>
      <c r="C109" s="846" t="s">
        <v>87</v>
      </c>
      <c r="D109" s="714">
        <v>3</v>
      </c>
      <c r="E109" s="840">
        <v>1</v>
      </c>
      <c r="F109" s="722">
        <v>14.12</v>
      </c>
      <c r="G109" s="722"/>
      <c r="H109" s="715">
        <f t="shared" si="42"/>
        <v>4587.1559633027518</v>
      </c>
      <c r="I109" s="722">
        <f t="shared" si="43"/>
        <v>4587.1559633027518</v>
      </c>
      <c r="J109" s="715">
        <f t="shared" si="44"/>
        <v>825.68807339449529</v>
      </c>
      <c r="K109" s="722">
        <f t="shared" ref="K109:K158" si="45">K108</f>
        <v>10000</v>
      </c>
      <c r="L109" s="722">
        <f t="shared" si="41"/>
        <v>708.21529745042494</v>
      </c>
      <c r="M109" s="722" t="s">
        <v>688</v>
      </c>
      <c r="N109" s="722"/>
      <c r="O109" s="722"/>
      <c r="P109" s="722"/>
      <c r="Q109" s="722"/>
      <c r="R109" s="722"/>
    </row>
    <row r="110" spans="1:18" ht="14.25">
      <c r="A110" s="552"/>
      <c r="B110" s="718" t="s">
        <v>674</v>
      </c>
      <c r="C110" s="846" t="s">
        <v>87</v>
      </c>
      <c r="D110" s="714">
        <v>4</v>
      </c>
      <c r="E110" s="840">
        <v>1</v>
      </c>
      <c r="F110" s="722">
        <v>14.12</v>
      </c>
      <c r="G110" s="722"/>
      <c r="H110" s="715">
        <f t="shared" si="42"/>
        <v>4587.1559633027518</v>
      </c>
      <c r="I110" s="722">
        <f t="shared" si="43"/>
        <v>4587.1559633027518</v>
      </c>
      <c r="J110" s="715">
        <f t="shared" si="44"/>
        <v>825.68807339449529</v>
      </c>
      <c r="K110" s="722">
        <f t="shared" si="45"/>
        <v>10000</v>
      </c>
      <c r="L110" s="722">
        <f t="shared" si="41"/>
        <v>708.21529745042494</v>
      </c>
      <c r="M110" s="722" t="s">
        <v>688</v>
      </c>
      <c r="N110" s="722"/>
      <c r="O110" s="722"/>
      <c r="P110" s="722"/>
      <c r="Q110" s="722"/>
      <c r="R110" s="722"/>
    </row>
    <row r="111" spans="1:18" ht="14.25">
      <c r="A111" s="552"/>
      <c r="B111" s="718" t="s">
        <v>674</v>
      </c>
      <c r="C111" s="846" t="s">
        <v>87</v>
      </c>
      <c r="D111" s="714">
        <v>5</v>
      </c>
      <c r="E111" s="840">
        <v>1</v>
      </c>
      <c r="F111" s="722">
        <v>14.12</v>
      </c>
      <c r="G111" s="722"/>
      <c r="H111" s="715">
        <f t="shared" si="42"/>
        <v>4587.1559633027518</v>
      </c>
      <c r="I111" s="722">
        <f t="shared" si="43"/>
        <v>4587.1559633027518</v>
      </c>
      <c r="J111" s="715">
        <f t="shared" si="44"/>
        <v>825.68807339449529</v>
      </c>
      <c r="K111" s="722">
        <f t="shared" si="45"/>
        <v>10000</v>
      </c>
      <c r="L111" s="722">
        <f t="shared" si="41"/>
        <v>708.21529745042494</v>
      </c>
      <c r="M111" s="722" t="s">
        <v>688</v>
      </c>
      <c r="N111" s="722"/>
      <c r="O111" s="722"/>
      <c r="P111" s="722"/>
      <c r="Q111" s="722"/>
      <c r="R111" s="722"/>
    </row>
    <row r="112" spans="1:18" ht="14.25">
      <c r="A112" s="552"/>
      <c r="B112" s="718" t="s">
        <v>674</v>
      </c>
      <c r="C112" s="846" t="s">
        <v>87</v>
      </c>
      <c r="D112" s="714">
        <v>6</v>
      </c>
      <c r="E112" s="840">
        <v>1</v>
      </c>
      <c r="F112" s="722">
        <v>15.25</v>
      </c>
      <c r="G112" s="722"/>
      <c r="H112" s="715">
        <f t="shared" si="42"/>
        <v>4587.1559633027518</v>
      </c>
      <c r="I112" s="722">
        <f t="shared" si="43"/>
        <v>4587.1559633027518</v>
      </c>
      <c r="J112" s="715">
        <f t="shared" si="44"/>
        <v>825.68807339449529</v>
      </c>
      <c r="K112" s="722">
        <f t="shared" si="45"/>
        <v>10000</v>
      </c>
      <c r="L112" s="722">
        <f t="shared" si="41"/>
        <v>655.73770491803282</v>
      </c>
      <c r="M112" s="722" t="s">
        <v>688</v>
      </c>
      <c r="N112" s="722"/>
      <c r="O112" s="722"/>
      <c r="P112" s="722"/>
      <c r="Q112" s="722"/>
      <c r="R112" s="722"/>
    </row>
    <row r="113" spans="1:18" ht="14.25">
      <c r="A113" s="552"/>
      <c r="B113" s="718" t="s">
        <v>674</v>
      </c>
      <c r="C113" s="846" t="s">
        <v>87</v>
      </c>
      <c r="D113" s="714">
        <v>7</v>
      </c>
      <c r="E113" s="840">
        <v>1</v>
      </c>
      <c r="F113" s="722">
        <v>13.5</v>
      </c>
      <c r="G113" s="722"/>
      <c r="H113" s="715">
        <f t="shared" si="42"/>
        <v>4587.1559633027518</v>
      </c>
      <c r="I113" s="722">
        <f t="shared" si="43"/>
        <v>4587.1559633027518</v>
      </c>
      <c r="J113" s="715">
        <f t="shared" si="44"/>
        <v>825.68807339449529</v>
      </c>
      <c r="K113" s="722">
        <f t="shared" si="45"/>
        <v>10000</v>
      </c>
      <c r="L113" s="722">
        <f t="shared" si="41"/>
        <v>740.74074074074076</v>
      </c>
      <c r="M113" s="722" t="s">
        <v>688</v>
      </c>
      <c r="N113" s="722"/>
      <c r="O113" s="722"/>
      <c r="P113" s="722"/>
      <c r="Q113" s="722"/>
      <c r="R113" s="722"/>
    </row>
    <row r="114" spans="1:18" ht="14.25">
      <c r="A114" s="552"/>
      <c r="B114" s="718" t="s">
        <v>674</v>
      </c>
      <c r="C114" s="846" t="s">
        <v>87</v>
      </c>
      <c r="D114" s="714">
        <v>8</v>
      </c>
      <c r="E114" s="840">
        <v>1</v>
      </c>
      <c r="F114" s="722">
        <v>13.5</v>
      </c>
      <c r="G114" s="722"/>
      <c r="H114" s="715">
        <f t="shared" si="42"/>
        <v>4587.1559633027518</v>
      </c>
      <c r="I114" s="722">
        <f t="shared" si="43"/>
        <v>4587.1559633027518</v>
      </c>
      <c r="J114" s="715">
        <f t="shared" si="44"/>
        <v>825.68807339449529</v>
      </c>
      <c r="K114" s="722">
        <f t="shared" si="45"/>
        <v>10000</v>
      </c>
      <c r="L114" s="722">
        <f t="shared" si="41"/>
        <v>740.74074074074076</v>
      </c>
      <c r="M114" s="722" t="s">
        <v>688</v>
      </c>
      <c r="N114" s="722"/>
      <c r="O114" s="722"/>
      <c r="P114" s="722"/>
      <c r="Q114" s="722"/>
      <c r="R114" s="722"/>
    </row>
    <row r="115" spans="1:18" ht="14.25">
      <c r="A115" s="552"/>
      <c r="B115" s="718" t="s">
        <v>674</v>
      </c>
      <c r="C115" s="846" t="s">
        <v>87</v>
      </c>
      <c r="D115" s="714">
        <v>9</v>
      </c>
      <c r="E115" s="840">
        <v>1</v>
      </c>
      <c r="F115" s="722">
        <v>13.5</v>
      </c>
      <c r="G115" s="722"/>
      <c r="H115" s="715">
        <f t="shared" si="42"/>
        <v>4587.1559633027518</v>
      </c>
      <c r="I115" s="722">
        <f t="shared" si="43"/>
        <v>4587.1559633027518</v>
      </c>
      <c r="J115" s="715">
        <f t="shared" si="44"/>
        <v>825.68807339449529</v>
      </c>
      <c r="K115" s="722">
        <f t="shared" si="45"/>
        <v>10000</v>
      </c>
      <c r="L115" s="722">
        <f t="shared" si="41"/>
        <v>740.74074074074076</v>
      </c>
      <c r="M115" s="722" t="s">
        <v>688</v>
      </c>
      <c r="N115" s="722"/>
      <c r="O115" s="722"/>
      <c r="P115" s="722"/>
      <c r="Q115" s="722"/>
      <c r="R115" s="722"/>
    </row>
    <row r="116" spans="1:18" ht="14.25">
      <c r="A116" s="552"/>
      <c r="B116" s="718" t="s">
        <v>674</v>
      </c>
      <c r="C116" s="846" t="s">
        <v>87</v>
      </c>
      <c r="D116" s="714">
        <v>10</v>
      </c>
      <c r="E116" s="840">
        <v>1</v>
      </c>
      <c r="F116" s="722">
        <v>13.5</v>
      </c>
      <c r="G116" s="722"/>
      <c r="H116" s="715">
        <f t="shared" si="42"/>
        <v>4587.1559633027518</v>
      </c>
      <c r="I116" s="722">
        <f t="shared" si="43"/>
        <v>4587.1559633027518</v>
      </c>
      <c r="J116" s="715">
        <f t="shared" si="44"/>
        <v>825.68807339449529</v>
      </c>
      <c r="K116" s="722">
        <f t="shared" si="45"/>
        <v>10000</v>
      </c>
      <c r="L116" s="722">
        <f t="shared" si="41"/>
        <v>740.74074074074076</v>
      </c>
      <c r="M116" s="722" t="s">
        <v>688</v>
      </c>
      <c r="N116" s="722"/>
      <c r="O116" s="722"/>
      <c r="P116" s="722"/>
      <c r="Q116" s="722"/>
      <c r="R116" s="722"/>
    </row>
    <row r="117" spans="1:18" ht="14.25">
      <c r="A117" s="552"/>
      <c r="B117" s="718" t="s">
        <v>674</v>
      </c>
      <c r="C117" s="846" t="s">
        <v>87</v>
      </c>
      <c r="D117" s="714">
        <v>11</v>
      </c>
      <c r="E117" s="840">
        <v>1</v>
      </c>
      <c r="F117" s="722">
        <v>14.5</v>
      </c>
      <c r="G117" s="722"/>
      <c r="H117" s="715">
        <f t="shared" si="42"/>
        <v>4587.1559633027518</v>
      </c>
      <c r="I117" s="722">
        <f t="shared" si="43"/>
        <v>4587.1559633027518</v>
      </c>
      <c r="J117" s="715">
        <f t="shared" si="44"/>
        <v>825.68807339449529</v>
      </c>
      <c r="K117" s="722">
        <f t="shared" si="45"/>
        <v>10000</v>
      </c>
      <c r="L117" s="722">
        <f t="shared" si="41"/>
        <v>689.65517241379314</v>
      </c>
      <c r="M117" s="722" t="s">
        <v>688</v>
      </c>
      <c r="N117" s="722"/>
      <c r="O117" s="722"/>
      <c r="P117" s="722"/>
      <c r="Q117" s="722"/>
      <c r="R117" s="722"/>
    </row>
    <row r="118" spans="1:18" ht="14.25">
      <c r="A118" s="552"/>
      <c r="B118" s="718" t="s">
        <v>674</v>
      </c>
      <c r="C118" s="846" t="s">
        <v>87</v>
      </c>
      <c r="D118" s="714">
        <v>12</v>
      </c>
      <c r="E118" s="840">
        <v>1</v>
      </c>
      <c r="F118" s="722">
        <v>14.5</v>
      </c>
      <c r="G118" s="722"/>
      <c r="H118" s="715">
        <f t="shared" si="42"/>
        <v>4587.1559633027518</v>
      </c>
      <c r="I118" s="722">
        <f t="shared" si="43"/>
        <v>4587.1559633027518</v>
      </c>
      <c r="J118" s="715">
        <f t="shared" si="44"/>
        <v>825.68807339449529</v>
      </c>
      <c r="K118" s="722">
        <f t="shared" si="45"/>
        <v>10000</v>
      </c>
      <c r="L118" s="722">
        <f t="shared" si="41"/>
        <v>689.65517241379314</v>
      </c>
      <c r="M118" s="722" t="s">
        <v>688</v>
      </c>
      <c r="N118" s="722"/>
      <c r="O118" s="722"/>
      <c r="P118" s="722"/>
      <c r="Q118" s="722"/>
      <c r="R118" s="722"/>
    </row>
    <row r="119" spans="1:18" ht="14.25">
      <c r="A119" s="552"/>
      <c r="B119" s="718" t="s">
        <v>674</v>
      </c>
      <c r="C119" s="846" t="s">
        <v>87</v>
      </c>
      <c r="D119" s="714">
        <v>13</v>
      </c>
      <c r="E119" s="840">
        <v>1</v>
      </c>
      <c r="F119" s="722">
        <v>12.5</v>
      </c>
      <c r="G119" s="722"/>
      <c r="H119" s="715">
        <f t="shared" si="42"/>
        <v>4587.1559633027518</v>
      </c>
      <c r="I119" s="722">
        <f t="shared" si="43"/>
        <v>4587.1559633027518</v>
      </c>
      <c r="J119" s="715">
        <f t="shared" si="44"/>
        <v>825.68807339449529</v>
      </c>
      <c r="K119" s="722">
        <f t="shared" si="45"/>
        <v>10000</v>
      </c>
      <c r="L119" s="722">
        <f t="shared" si="41"/>
        <v>800</v>
      </c>
      <c r="M119" s="722" t="s">
        <v>688</v>
      </c>
      <c r="N119" s="722"/>
      <c r="O119" s="722"/>
      <c r="P119" s="722"/>
      <c r="Q119" s="722"/>
      <c r="R119" s="722"/>
    </row>
    <row r="120" spans="1:18" ht="14.25">
      <c r="A120" s="552"/>
      <c r="B120" s="718" t="s">
        <v>674</v>
      </c>
      <c r="C120" s="846" t="s">
        <v>87</v>
      </c>
      <c r="D120" s="714">
        <v>14</v>
      </c>
      <c r="E120" s="840">
        <v>1</v>
      </c>
      <c r="F120" s="722">
        <v>12.64</v>
      </c>
      <c r="G120" s="722"/>
      <c r="H120" s="715">
        <f t="shared" si="42"/>
        <v>4587.1559633027518</v>
      </c>
      <c r="I120" s="722">
        <f t="shared" si="43"/>
        <v>4587.1559633027518</v>
      </c>
      <c r="J120" s="715">
        <f t="shared" si="44"/>
        <v>825.68807339449529</v>
      </c>
      <c r="K120" s="722">
        <f t="shared" si="45"/>
        <v>10000</v>
      </c>
      <c r="L120" s="722">
        <f t="shared" si="41"/>
        <v>791.13924050632909</v>
      </c>
      <c r="M120" s="722" t="s">
        <v>688</v>
      </c>
      <c r="N120" s="722"/>
      <c r="O120" s="722"/>
      <c r="P120" s="722"/>
      <c r="Q120" s="722"/>
      <c r="R120" s="722"/>
    </row>
    <row r="121" spans="1:18" ht="14.25">
      <c r="A121" s="552"/>
      <c r="B121" s="718" t="s">
        <v>674</v>
      </c>
      <c r="C121" s="846" t="s">
        <v>87</v>
      </c>
      <c r="D121" s="714">
        <v>15</v>
      </c>
      <c r="E121" s="840">
        <v>1</v>
      </c>
      <c r="F121" s="722">
        <v>12.5</v>
      </c>
      <c r="G121" s="722"/>
      <c r="H121" s="715">
        <f t="shared" si="42"/>
        <v>4587.1559633027518</v>
      </c>
      <c r="I121" s="722">
        <f t="shared" si="43"/>
        <v>4587.1559633027518</v>
      </c>
      <c r="J121" s="715">
        <f t="shared" si="44"/>
        <v>825.68807339449529</v>
      </c>
      <c r="K121" s="722">
        <f t="shared" si="45"/>
        <v>10000</v>
      </c>
      <c r="L121" s="722">
        <f t="shared" si="41"/>
        <v>800</v>
      </c>
      <c r="M121" s="722" t="s">
        <v>688</v>
      </c>
      <c r="N121" s="722"/>
      <c r="O121" s="722"/>
      <c r="P121" s="722"/>
      <c r="Q121" s="722"/>
      <c r="R121" s="722"/>
    </row>
    <row r="122" spans="1:18" ht="14.25">
      <c r="A122" s="552"/>
      <c r="B122" s="718" t="s">
        <v>674</v>
      </c>
      <c r="C122" s="846" t="s">
        <v>87</v>
      </c>
      <c r="D122" s="714">
        <v>16</v>
      </c>
      <c r="E122" s="840">
        <v>1</v>
      </c>
      <c r="F122" s="722">
        <v>12.5</v>
      </c>
      <c r="G122" s="722"/>
      <c r="H122" s="715">
        <f t="shared" si="42"/>
        <v>4587.1559633027518</v>
      </c>
      <c r="I122" s="722">
        <f t="shared" si="43"/>
        <v>4587.1559633027518</v>
      </c>
      <c r="J122" s="715">
        <f t="shared" si="44"/>
        <v>825.68807339449529</v>
      </c>
      <c r="K122" s="722">
        <f t="shared" si="45"/>
        <v>10000</v>
      </c>
      <c r="L122" s="722">
        <f t="shared" si="41"/>
        <v>800</v>
      </c>
      <c r="M122" s="722" t="s">
        <v>688</v>
      </c>
      <c r="N122" s="722"/>
      <c r="O122" s="722"/>
      <c r="P122" s="722"/>
      <c r="Q122" s="722"/>
      <c r="R122" s="722"/>
    </row>
    <row r="123" spans="1:18" ht="14.25">
      <c r="A123" s="552"/>
      <c r="B123" s="718" t="s">
        <v>674</v>
      </c>
      <c r="C123" s="846" t="s">
        <v>87</v>
      </c>
      <c r="D123" s="714">
        <v>17</v>
      </c>
      <c r="E123" s="840">
        <v>1</v>
      </c>
      <c r="F123" s="722">
        <v>12.5</v>
      </c>
      <c r="G123" s="722"/>
      <c r="H123" s="715">
        <f t="shared" si="42"/>
        <v>4587.1559633027518</v>
      </c>
      <c r="I123" s="722">
        <f t="shared" si="43"/>
        <v>4587.1559633027518</v>
      </c>
      <c r="J123" s="715">
        <f t="shared" si="44"/>
        <v>825.68807339449529</v>
      </c>
      <c r="K123" s="722">
        <f t="shared" si="45"/>
        <v>10000</v>
      </c>
      <c r="L123" s="722">
        <f t="shared" si="41"/>
        <v>800</v>
      </c>
      <c r="M123" s="722" t="s">
        <v>688</v>
      </c>
      <c r="N123" s="722"/>
      <c r="O123" s="722"/>
      <c r="P123" s="722"/>
      <c r="Q123" s="722"/>
      <c r="R123" s="722"/>
    </row>
    <row r="124" spans="1:18" ht="14.25">
      <c r="A124" s="552"/>
      <c r="B124" s="718" t="s">
        <v>674</v>
      </c>
      <c r="C124" s="846" t="s">
        <v>87</v>
      </c>
      <c r="D124" s="714">
        <v>18</v>
      </c>
      <c r="E124" s="840">
        <v>1</v>
      </c>
      <c r="F124" s="722">
        <v>13.89</v>
      </c>
      <c r="G124" s="722"/>
      <c r="H124" s="715">
        <f t="shared" si="42"/>
        <v>4587.1559633027518</v>
      </c>
      <c r="I124" s="722">
        <f t="shared" si="43"/>
        <v>4587.1559633027518</v>
      </c>
      <c r="J124" s="715">
        <f t="shared" si="44"/>
        <v>825.68807339449529</v>
      </c>
      <c r="K124" s="722">
        <f t="shared" si="45"/>
        <v>10000</v>
      </c>
      <c r="L124" s="722">
        <f t="shared" si="41"/>
        <v>719.94240460763137</v>
      </c>
      <c r="M124" s="722" t="s">
        <v>688</v>
      </c>
      <c r="N124" s="722"/>
      <c r="O124" s="722"/>
      <c r="P124" s="722"/>
      <c r="Q124" s="722"/>
      <c r="R124" s="722"/>
    </row>
    <row r="125" spans="1:18" ht="14.25">
      <c r="A125" s="552"/>
      <c r="B125" s="718" t="s">
        <v>674</v>
      </c>
      <c r="C125" s="846" t="s">
        <v>87</v>
      </c>
      <c r="D125" s="714">
        <v>19</v>
      </c>
      <c r="E125" s="840">
        <v>1</v>
      </c>
      <c r="F125" s="722">
        <v>12.5</v>
      </c>
      <c r="G125" s="722"/>
      <c r="H125" s="715">
        <f t="shared" si="42"/>
        <v>4587.1559633027518</v>
      </c>
      <c r="I125" s="722">
        <f t="shared" si="43"/>
        <v>4587.1559633027518</v>
      </c>
      <c r="J125" s="715">
        <f t="shared" si="44"/>
        <v>825.68807339449529</v>
      </c>
      <c r="K125" s="722">
        <f t="shared" si="45"/>
        <v>10000</v>
      </c>
      <c r="L125" s="722">
        <f t="shared" si="41"/>
        <v>800</v>
      </c>
      <c r="M125" s="722" t="s">
        <v>688</v>
      </c>
      <c r="N125" s="722"/>
      <c r="O125" s="722"/>
      <c r="P125" s="722"/>
      <c r="Q125" s="722"/>
      <c r="R125" s="722"/>
    </row>
    <row r="126" spans="1:18" ht="14.25">
      <c r="A126" s="552"/>
      <c r="B126" s="718" t="s">
        <v>674</v>
      </c>
      <c r="C126" s="846" t="s">
        <v>87</v>
      </c>
      <c r="D126" s="714">
        <v>20</v>
      </c>
      <c r="E126" s="840">
        <v>1</v>
      </c>
      <c r="F126" s="722">
        <v>12.5</v>
      </c>
      <c r="G126" s="722"/>
      <c r="H126" s="715">
        <f t="shared" si="42"/>
        <v>4587.1559633027518</v>
      </c>
      <c r="I126" s="722">
        <f t="shared" si="43"/>
        <v>4587.1559633027518</v>
      </c>
      <c r="J126" s="715">
        <f t="shared" si="44"/>
        <v>825.68807339449529</v>
      </c>
      <c r="K126" s="722">
        <f t="shared" si="45"/>
        <v>10000</v>
      </c>
      <c r="L126" s="722">
        <f t="shared" si="41"/>
        <v>800</v>
      </c>
      <c r="M126" s="722" t="s">
        <v>688</v>
      </c>
      <c r="N126" s="722"/>
      <c r="O126" s="722"/>
      <c r="P126" s="722"/>
      <c r="Q126" s="722"/>
      <c r="R126" s="722"/>
    </row>
    <row r="127" spans="1:18" ht="14.25">
      <c r="A127" s="552"/>
      <c r="B127" s="718" t="s">
        <v>674</v>
      </c>
      <c r="C127" s="846" t="s">
        <v>87</v>
      </c>
      <c r="D127" s="714">
        <v>21</v>
      </c>
      <c r="E127" s="840">
        <v>1</v>
      </c>
      <c r="F127" s="722">
        <v>16.75</v>
      </c>
      <c r="G127" s="722"/>
      <c r="H127" s="715">
        <f t="shared" si="42"/>
        <v>4587.1559633027518</v>
      </c>
      <c r="I127" s="722">
        <f t="shared" si="43"/>
        <v>4587.1559633027518</v>
      </c>
      <c r="J127" s="715">
        <f t="shared" si="44"/>
        <v>825.68807339449529</v>
      </c>
      <c r="K127" s="722">
        <f t="shared" si="45"/>
        <v>10000</v>
      </c>
      <c r="L127" s="722">
        <f t="shared" si="41"/>
        <v>597.01492537313436</v>
      </c>
      <c r="M127" s="722" t="s">
        <v>688</v>
      </c>
      <c r="N127" s="722">
        <v>1</v>
      </c>
      <c r="O127" s="722">
        <v>1</v>
      </c>
      <c r="P127" s="722"/>
      <c r="Q127" s="722">
        <v>10000</v>
      </c>
      <c r="R127" s="722"/>
    </row>
    <row r="128" spans="1:18" ht="14.25">
      <c r="A128" s="552"/>
      <c r="B128" s="718" t="s">
        <v>674</v>
      </c>
      <c r="C128" s="846" t="s">
        <v>87</v>
      </c>
      <c r="D128" s="714">
        <v>22</v>
      </c>
      <c r="E128" s="840">
        <v>1</v>
      </c>
      <c r="F128" s="722">
        <v>12.5</v>
      </c>
      <c r="G128" s="722"/>
      <c r="H128" s="715">
        <f t="shared" si="42"/>
        <v>4587.1559633027518</v>
      </c>
      <c r="I128" s="722">
        <f t="shared" si="43"/>
        <v>4587.1559633027518</v>
      </c>
      <c r="J128" s="715">
        <f t="shared" si="44"/>
        <v>825.68807339449529</v>
      </c>
      <c r="K128" s="722">
        <f t="shared" si="45"/>
        <v>10000</v>
      </c>
      <c r="L128" s="722">
        <f t="shared" si="41"/>
        <v>800</v>
      </c>
      <c r="M128" s="722" t="s">
        <v>688</v>
      </c>
      <c r="N128" s="722"/>
      <c r="O128" s="722"/>
      <c r="P128" s="722"/>
      <c r="Q128" s="722"/>
      <c r="R128" s="722"/>
    </row>
    <row r="129" spans="1:18" ht="14.25">
      <c r="A129" s="552"/>
      <c r="B129" s="718" t="s">
        <v>674</v>
      </c>
      <c r="C129" s="846" t="s">
        <v>87</v>
      </c>
      <c r="D129" s="714">
        <v>23</v>
      </c>
      <c r="E129" s="840">
        <v>1</v>
      </c>
      <c r="F129" s="722">
        <v>12.5</v>
      </c>
      <c r="G129" s="722"/>
      <c r="H129" s="715">
        <f t="shared" si="42"/>
        <v>4587.1559633027518</v>
      </c>
      <c r="I129" s="722">
        <f t="shared" si="43"/>
        <v>4587.1559633027518</v>
      </c>
      <c r="J129" s="715">
        <f t="shared" si="44"/>
        <v>825.68807339449529</v>
      </c>
      <c r="K129" s="722">
        <f t="shared" si="45"/>
        <v>10000</v>
      </c>
      <c r="L129" s="722">
        <f t="shared" si="41"/>
        <v>800</v>
      </c>
      <c r="M129" s="722" t="s">
        <v>688</v>
      </c>
      <c r="N129" s="722"/>
      <c r="O129" s="722"/>
      <c r="P129" s="722"/>
      <c r="Q129" s="722"/>
      <c r="R129" s="722"/>
    </row>
    <row r="130" spans="1:18" ht="14.25">
      <c r="A130" s="552"/>
      <c r="B130" s="718" t="s">
        <v>674</v>
      </c>
      <c r="C130" s="846" t="s">
        <v>87</v>
      </c>
      <c r="D130" s="714">
        <v>24</v>
      </c>
      <c r="E130" s="840">
        <v>1</v>
      </c>
      <c r="F130" s="722">
        <v>13.49</v>
      </c>
      <c r="G130" s="722"/>
      <c r="H130" s="715">
        <f t="shared" si="42"/>
        <v>4587.1559633027518</v>
      </c>
      <c r="I130" s="722">
        <f t="shared" si="43"/>
        <v>4587.1559633027518</v>
      </c>
      <c r="J130" s="715">
        <f t="shared" si="44"/>
        <v>825.68807339449529</v>
      </c>
      <c r="K130" s="722">
        <f t="shared" si="45"/>
        <v>10000</v>
      </c>
      <c r="L130" s="722">
        <f t="shared" si="41"/>
        <v>741.28984432913273</v>
      </c>
      <c r="M130" s="722" t="s">
        <v>688</v>
      </c>
      <c r="N130" s="722"/>
      <c r="O130" s="722"/>
      <c r="P130" s="722"/>
      <c r="Q130" s="722"/>
      <c r="R130" s="722"/>
    </row>
    <row r="131" spans="1:18" ht="14.25">
      <c r="A131" s="552"/>
      <c r="B131" s="718" t="s">
        <v>674</v>
      </c>
      <c r="C131" s="846" t="s">
        <v>87</v>
      </c>
      <c r="D131" s="714">
        <v>25</v>
      </c>
      <c r="E131" s="840">
        <v>1</v>
      </c>
      <c r="F131" s="722">
        <v>14.36</v>
      </c>
      <c r="G131" s="722"/>
      <c r="H131" s="715">
        <f t="shared" si="42"/>
        <v>4587.1559633027518</v>
      </c>
      <c r="I131" s="722">
        <f t="shared" si="43"/>
        <v>4587.1559633027518</v>
      </c>
      <c r="J131" s="715">
        <f t="shared" si="44"/>
        <v>825.68807339449529</v>
      </c>
      <c r="K131" s="722">
        <f t="shared" si="45"/>
        <v>10000</v>
      </c>
      <c r="L131" s="722">
        <f t="shared" si="41"/>
        <v>696.3788300835655</v>
      </c>
      <c r="M131" s="722" t="s">
        <v>688</v>
      </c>
      <c r="N131" s="722"/>
      <c r="O131" s="722"/>
      <c r="P131" s="722"/>
      <c r="Q131" s="722"/>
      <c r="R131" s="722"/>
    </row>
    <row r="132" spans="1:18" ht="14.25">
      <c r="A132" s="552"/>
      <c r="B132" s="718" t="s">
        <v>674</v>
      </c>
      <c r="C132" s="846" t="s">
        <v>87</v>
      </c>
      <c r="D132" s="714">
        <v>26</v>
      </c>
      <c r="E132" s="840">
        <v>1</v>
      </c>
      <c r="F132" s="722">
        <v>14.51</v>
      </c>
      <c r="G132" s="722"/>
      <c r="H132" s="715">
        <f t="shared" si="42"/>
        <v>4587.1559633027518</v>
      </c>
      <c r="I132" s="722">
        <f t="shared" si="43"/>
        <v>4587.1559633027518</v>
      </c>
      <c r="J132" s="715">
        <f t="shared" si="44"/>
        <v>825.68807339449529</v>
      </c>
      <c r="K132" s="722">
        <f t="shared" si="45"/>
        <v>10000</v>
      </c>
      <c r="L132" s="722">
        <f t="shared" si="41"/>
        <v>689.17987594762235</v>
      </c>
      <c r="M132" s="722" t="s">
        <v>688</v>
      </c>
      <c r="N132" s="722"/>
      <c r="O132" s="722"/>
      <c r="P132" s="722"/>
      <c r="Q132" s="722"/>
      <c r="R132" s="722"/>
    </row>
    <row r="133" spans="1:18" ht="14.25">
      <c r="A133" s="552"/>
      <c r="B133" s="718" t="s">
        <v>674</v>
      </c>
      <c r="C133" s="846" t="s">
        <v>87</v>
      </c>
      <c r="D133" s="714">
        <v>27</v>
      </c>
      <c r="E133" s="840">
        <v>1</v>
      </c>
      <c r="F133" s="722">
        <v>14.12</v>
      </c>
      <c r="G133" s="722"/>
      <c r="H133" s="715">
        <f t="shared" si="42"/>
        <v>4587.1559633027518</v>
      </c>
      <c r="I133" s="722">
        <f t="shared" si="43"/>
        <v>4587.1559633027518</v>
      </c>
      <c r="J133" s="715">
        <f t="shared" si="44"/>
        <v>825.68807339449529</v>
      </c>
      <c r="K133" s="722">
        <f t="shared" si="45"/>
        <v>10000</v>
      </c>
      <c r="L133" s="722">
        <f t="shared" si="41"/>
        <v>708.21529745042494</v>
      </c>
      <c r="M133" s="722" t="s">
        <v>688</v>
      </c>
      <c r="N133" s="722"/>
      <c r="O133" s="722"/>
      <c r="P133" s="722"/>
      <c r="Q133" s="722"/>
      <c r="R133" s="722"/>
    </row>
    <row r="134" spans="1:18" ht="14.25">
      <c r="A134" s="552"/>
      <c r="B134" s="718" t="s">
        <v>674</v>
      </c>
      <c r="C134" s="846" t="s">
        <v>87</v>
      </c>
      <c r="D134" s="714">
        <v>28</v>
      </c>
      <c r="E134" s="840">
        <v>1</v>
      </c>
      <c r="F134" s="722">
        <v>14.12</v>
      </c>
      <c r="G134" s="722"/>
      <c r="H134" s="715">
        <f t="shared" si="42"/>
        <v>4587.1559633027518</v>
      </c>
      <c r="I134" s="722">
        <f t="shared" si="43"/>
        <v>4587.1559633027518</v>
      </c>
      <c r="J134" s="715">
        <f t="shared" si="44"/>
        <v>825.68807339449529</v>
      </c>
      <c r="K134" s="722">
        <f t="shared" si="45"/>
        <v>10000</v>
      </c>
      <c r="L134" s="722">
        <f t="shared" si="41"/>
        <v>708.21529745042494</v>
      </c>
      <c r="M134" s="722" t="s">
        <v>688</v>
      </c>
      <c r="N134" s="722"/>
      <c r="O134" s="722"/>
      <c r="P134" s="722"/>
      <c r="Q134" s="722"/>
      <c r="R134" s="722"/>
    </row>
    <row r="135" spans="1:18" ht="14.25">
      <c r="A135" s="552"/>
      <c r="B135" s="718" t="s">
        <v>674</v>
      </c>
      <c r="C135" s="846" t="s">
        <v>87</v>
      </c>
      <c r="D135" s="714">
        <v>29</v>
      </c>
      <c r="E135" s="840">
        <v>1</v>
      </c>
      <c r="F135" s="722">
        <v>14.12</v>
      </c>
      <c r="G135" s="722"/>
      <c r="H135" s="715">
        <f t="shared" si="42"/>
        <v>4587.1559633027518</v>
      </c>
      <c r="I135" s="722">
        <f t="shared" si="43"/>
        <v>4587.1559633027518</v>
      </c>
      <c r="J135" s="715">
        <f t="shared" si="44"/>
        <v>825.68807339449529</v>
      </c>
      <c r="K135" s="722">
        <f t="shared" si="45"/>
        <v>10000</v>
      </c>
      <c r="L135" s="722">
        <f t="shared" si="41"/>
        <v>708.21529745042494</v>
      </c>
      <c r="M135" s="722" t="s">
        <v>688</v>
      </c>
      <c r="N135" s="722"/>
      <c r="O135" s="722"/>
      <c r="P135" s="722"/>
      <c r="Q135" s="722"/>
      <c r="R135" s="722"/>
    </row>
    <row r="136" spans="1:18" ht="14.25">
      <c r="A136" s="552"/>
      <c r="B136" s="718" t="s">
        <v>675</v>
      </c>
      <c r="C136" s="846" t="s">
        <v>87</v>
      </c>
      <c r="D136" s="714">
        <v>30</v>
      </c>
      <c r="E136" s="840">
        <v>1</v>
      </c>
      <c r="F136" s="722">
        <v>14.12</v>
      </c>
      <c r="G136" s="722"/>
      <c r="H136" s="715">
        <f t="shared" si="42"/>
        <v>4587.1559633027518</v>
      </c>
      <c r="I136" s="722">
        <f t="shared" si="43"/>
        <v>4587.1559633027518</v>
      </c>
      <c r="J136" s="715">
        <f t="shared" si="44"/>
        <v>825.68807339449529</v>
      </c>
      <c r="K136" s="722">
        <f t="shared" si="45"/>
        <v>10000</v>
      </c>
      <c r="L136" s="722">
        <f t="shared" si="41"/>
        <v>708.21529745042494</v>
      </c>
      <c r="M136" s="722" t="s">
        <v>688</v>
      </c>
      <c r="N136" s="722"/>
      <c r="O136" s="722"/>
      <c r="P136" s="722"/>
      <c r="Q136" s="722"/>
      <c r="R136" s="722"/>
    </row>
    <row r="137" spans="1:18" ht="14.25">
      <c r="A137" s="552"/>
      <c r="B137" s="718" t="s">
        <v>674</v>
      </c>
      <c r="C137" s="846" t="s">
        <v>87</v>
      </c>
      <c r="D137" s="714">
        <v>31</v>
      </c>
      <c r="E137" s="840">
        <v>1</v>
      </c>
      <c r="F137" s="722">
        <v>14.12</v>
      </c>
      <c r="G137" s="722"/>
      <c r="H137" s="715">
        <f t="shared" si="42"/>
        <v>4587.1559633027518</v>
      </c>
      <c r="I137" s="722">
        <f t="shared" si="43"/>
        <v>4587.1559633027518</v>
      </c>
      <c r="J137" s="715">
        <f t="shared" si="44"/>
        <v>825.68807339449529</v>
      </c>
      <c r="K137" s="722">
        <f t="shared" si="45"/>
        <v>10000</v>
      </c>
      <c r="L137" s="722">
        <f t="shared" si="41"/>
        <v>708.21529745042494</v>
      </c>
      <c r="M137" s="722" t="s">
        <v>689</v>
      </c>
      <c r="N137" s="722"/>
      <c r="O137" s="722"/>
      <c r="P137" s="722"/>
      <c r="Q137" s="722"/>
      <c r="R137" s="722"/>
    </row>
    <row r="138" spans="1:18" ht="14.25">
      <c r="A138" s="552"/>
      <c r="B138" s="718" t="s">
        <v>674</v>
      </c>
      <c r="C138" s="846" t="s">
        <v>87</v>
      </c>
      <c r="D138" s="714">
        <v>32</v>
      </c>
      <c r="E138" s="840">
        <v>1</v>
      </c>
      <c r="F138" s="722">
        <v>15.25</v>
      </c>
      <c r="G138" s="722"/>
      <c r="H138" s="715">
        <f t="shared" si="42"/>
        <v>4587.1559633027518</v>
      </c>
      <c r="I138" s="722">
        <f t="shared" si="43"/>
        <v>4587.1559633027518</v>
      </c>
      <c r="J138" s="715">
        <f t="shared" si="44"/>
        <v>825.68807339449529</v>
      </c>
      <c r="K138" s="722">
        <f t="shared" si="45"/>
        <v>10000</v>
      </c>
      <c r="L138" s="722">
        <f t="shared" si="41"/>
        <v>655.73770491803282</v>
      </c>
      <c r="M138" s="722" t="s">
        <v>689</v>
      </c>
      <c r="N138" s="722"/>
      <c r="O138" s="722"/>
      <c r="P138" s="722"/>
      <c r="Q138" s="722"/>
      <c r="R138" s="722"/>
    </row>
    <row r="139" spans="1:18" ht="14.25">
      <c r="A139" s="552"/>
      <c r="B139" s="718" t="s">
        <v>674</v>
      </c>
      <c r="C139" s="846" t="s">
        <v>87</v>
      </c>
      <c r="D139" s="714">
        <v>33</v>
      </c>
      <c r="E139" s="840">
        <v>1</v>
      </c>
      <c r="F139" s="722">
        <v>13.5</v>
      </c>
      <c r="G139" s="722"/>
      <c r="H139" s="715">
        <f t="shared" si="42"/>
        <v>4587.1559633027518</v>
      </c>
      <c r="I139" s="722">
        <f t="shared" si="43"/>
        <v>4587.1559633027518</v>
      </c>
      <c r="J139" s="715">
        <f t="shared" si="44"/>
        <v>825.68807339449529</v>
      </c>
      <c r="K139" s="722">
        <f t="shared" si="45"/>
        <v>10000</v>
      </c>
      <c r="L139" s="722">
        <f t="shared" ref="L139:L159" si="46">K139/F139</f>
        <v>740.74074074074076</v>
      </c>
      <c r="M139" s="722" t="s">
        <v>689</v>
      </c>
      <c r="N139" s="722"/>
      <c r="O139" s="722"/>
      <c r="P139" s="722"/>
      <c r="Q139" s="722"/>
      <c r="R139" s="722"/>
    </row>
    <row r="140" spans="1:18" ht="14.25">
      <c r="A140" s="552"/>
      <c r="B140" s="718" t="s">
        <v>674</v>
      </c>
      <c r="C140" s="846" t="s">
        <v>87</v>
      </c>
      <c r="D140" s="714">
        <v>34</v>
      </c>
      <c r="E140" s="840">
        <v>1</v>
      </c>
      <c r="F140" s="722">
        <v>13.5</v>
      </c>
      <c r="G140" s="722"/>
      <c r="H140" s="715">
        <f t="shared" si="42"/>
        <v>4587.1559633027518</v>
      </c>
      <c r="I140" s="722">
        <f t="shared" si="43"/>
        <v>4587.1559633027518</v>
      </c>
      <c r="J140" s="715">
        <f t="shared" si="44"/>
        <v>825.68807339449529</v>
      </c>
      <c r="K140" s="722">
        <f t="shared" si="45"/>
        <v>10000</v>
      </c>
      <c r="L140" s="722">
        <f t="shared" si="46"/>
        <v>740.74074074074076</v>
      </c>
      <c r="M140" s="722" t="s">
        <v>689</v>
      </c>
      <c r="N140" s="722"/>
      <c r="O140" s="722"/>
      <c r="P140" s="722"/>
      <c r="Q140" s="722"/>
      <c r="R140" s="722"/>
    </row>
    <row r="141" spans="1:18" ht="14.25">
      <c r="A141" s="552"/>
      <c r="B141" s="718" t="s">
        <v>674</v>
      </c>
      <c r="C141" s="846" t="s">
        <v>87</v>
      </c>
      <c r="D141" s="714">
        <v>35</v>
      </c>
      <c r="E141" s="840">
        <v>1</v>
      </c>
      <c r="F141" s="722">
        <v>13.5</v>
      </c>
      <c r="G141" s="722"/>
      <c r="H141" s="715">
        <f t="shared" si="42"/>
        <v>4587.1559633027518</v>
      </c>
      <c r="I141" s="722">
        <f t="shared" si="43"/>
        <v>4587.1559633027518</v>
      </c>
      <c r="J141" s="715">
        <f t="shared" si="44"/>
        <v>825.68807339449529</v>
      </c>
      <c r="K141" s="722">
        <f t="shared" si="45"/>
        <v>10000</v>
      </c>
      <c r="L141" s="722">
        <f t="shared" si="46"/>
        <v>740.74074074074076</v>
      </c>
      <c r="M141" s="722" t="s">
        <v>689</v>
      </c>
      <c r="N141" s="722"/>
      <c r="O141" s="722"/>
      <c r="P141" s="722"/>
      <c r="Q141" s="722"/>
      <c r="R141" s="722"/>
    </row>
    <row r="142" spans="1:18" ht="14.25">
      <c r="A142" s="552"/>
      <c r="B142" s="718" t="s">
        <v>676</v>
      </c>
      <c r="C142" s="846" t="s">
        <v>87</v>
      </c>
      <c r="D142" s="714">
        <v>36</v>
      </c>
      <c r="E142" s="840">
        <v>1</v>
      </c>
      <c r="F142" s="722">
        <v>27.75</v>
      </c>
      <c r="G142" s="722"/>
      <c r="H142" s="715">
        <f t="shared" si="42"/>
        <v>4587.1559633027518</v>
      </c>
      <c r="I142" s="722">
        <f t="shared" si="43"/>
        <v>4587.1559633027518</v>
      </c>
      <c r="J142" s="715">
        <f t="shared" si="44"/>
        <v>825.68807339449529</v>
      </c>
      <c r="K142" s="722">
        <f t="shared" si="45"/>
        <v>10000</v>
      </c>
      <c r="L142" s="722">
        <f t="shared" si="46"/>
        <v>360.36036036036035</v>
      </c>
      <c r="M142" s="722" t="s">
        <v>689</v>
      </c>
      <c r="N142" s="722"/>
      <c r="O142" s="722"/>
      <c r="P142" s="722"/>
      <c r="Q142" s="722"/>
      <c r="R142" s="722"/>
    </row>
    <row r="143" spans="1:18" ht="14.25">
      <c r="A143" s="552"/>
      <c r="B143" s="718" t="s">
        <v>674</v>
      </c>
      <c r="C143" s="846" t="s">
        <v>87</v>
      </c>
      <c r="D143" s="714">
        <v>37</v>
      </c>
      <c r="E143" s="840">
        <v>1</v>
      </c>
      <c r="F143" s="722">
        <v>13.5</v>
      </c>
      <c r="G143" s="722"/>
      <c r="H143" s="715">
        <f t="shared" si="42"/>
        <v>4587.1559633027518</v>
      </c>
      <c r="I143" s="722">
        <f t="shared" si="43"/>
        <v>4587.1559633027518</v>
      </c>
      <c r="J143" s="715">
        <f t="shared" si="44"/>
        <v>825.68807339449529</v>
      </c>
      <c r="K143" s="722">
        <f t="shared" si="45"/>
        <v>10000</v>
      </c>
      <c r="L143" s="722">
        <f t="shared" si="46"/>
        <v>740.74074074074076</v>
      </c>
      <c r="M143" s="722" t="s">
        <v>689</v>
      </c>
      <c r="N143" s="722"/>
      <c r="O143" s="722"/>
      <c r="P143" s="722"/>
      <c r="Q143" s="722"/>
      <c r="R143" s="722"/>
    </row>
    <row r="144" spans="1:18" ht="14.25">
      <c r="A144" s="552"/>
      <c r="B144" s="718" t="s">
        <v>674</v>
      </c>
      <c r="C144" s="846" t="s">
        <v>87</v>
      </c>
      <c r="D144" s="714">
        <v>38</v>
      </c>
      <c r="E144" s="840">
        <v>1</v>
      </c>
      <c r="F144" s="722">
        <v>14.5</v>
      </c>
      <c r="G144" s="722"/>
      <c r="H144" s="715">
        <f t="shared" si="42"/>
        <v>4587.1559633027518</v>
      </c>
      <c r="I144" s="722">
        <f t="shared" si="43"/>
        <v>4587.1559633027518</v>
      </c>
      <c r="J144" s="715">
        <f t="shared" si="44"/>
        <v>825.68807339449529</v>
      </c>
      <c r="K144" s="722">
        <f t="shared" si="45"/>
        <v>10000</v>
      </c>
      <c r="L144" s="722">
        <f t="shared" si="46"/>
        <v>689.65517241379314</v>
      </c>
      <c r="M144" s="722" t="s">
        <v>689</v>
      </c>
      <c r="N144" s="722"/>
      <c r="O144" s="722"/>
      <c r="P144" s="722"/>
      <c r="Q144" s="722"/>
      <c r="R144" s="722"/>
    </row>
    <row r="145" spans="1:18" ht="14.25">
      <c r="A145" s="552"/>
      <c r="B145" s="718" t="s">
        <v>674</v>
      </c>
      <c r="C145" s="846" t="s">
        <v>87</v>
      </c>
      <c r="D145" s="714">
        <v>39</v>
      </c>
      <c r="E145" s="840">
        <v>1</v>
      </c>
      <c r="F145" s="722">
        <v>14.48</v>
      </c>
      <c r="G145" s="722"/>
      <c r="H145" s="715">
        <f t="shared" si="42"/>
        <v>4587.1559633027518</v>
      </c>
      <c r="I145" s="722">
        <f t="shared" si="43"/>
        <v>4587.1559633027518</v>
      </c>
      <c r="J145" s="715">
        <f t="shared" si="44"/>
        <v>825.68807339449529</v>
      </c>
      <c r="K145" s="722">
        <f t="shared" si="45"/>
        <v>10000</v>
      </c>
      <c r="L145" s="722">
        <f t="shared" si="46"/>
        <v>690.60773480662976</v>
      </c>
      <c r="M145" s="722" t="s">
        <v>689</v>
      </c>
      <c r="N145" s="722"/>
      <c r="O145" s="722"/>
      <c r="P145" s="722"/>
      <c r="Q145" s="722"/>
      <c r="R145" s="722"/>
    </row>
    <row r="146" spans="1:18" ht="14.25">
      <c r="A146" s="552"/>
      <c r="B146" s="718" t="s">
        <v>674</v>
      </c>
      <c r="C146" s="846" t="s">
        <v>87</v>
      </c>
      <c r="D146" s="714">
        <v>40</v>
      </c>
      <c r="E146" s="840">
        <v>1</v>
      </c>
      <c r="F146" s="722">
        <v>15.04</v>
      </c>
      <c r="G146" s="722"/>
      <c r="H146" s="715">
        <f t="shared" si="42"/>
        <v>4587.1559633027518</v>
      </c>
      <c r="I146" s="722">
        <f t="shared" si="43"/>
        <v>4587.1559633027518</v>
      </c>
      <c r="J146" s="715">
        <f t="shared" si="44"/>
        <v>825.68807339449529</v>
      </c>
      <c r="K146" s="722">
        <f t="shared" si="45"/>
        <v>10000</v>
      </c>
      <c r="L146" s="722">
        <f t="shared" si="46"/>
        <v>664.89361702127667</v>
      </c>
      <c r="M146" s="722" t="s">
        <v>689</v>
      </c>
      <c r="N146" s="722"/>
      <c r="O146" s="722"/>
      <c r="P146" s="722"/>
      <c r="Q146" s="722"/>
      <c r="R146" s="722"/>
    </row>
    <row r="147" spans="1:18" ht="14.25">
      <c r="A147" s="552"/>
      <c r="B147" s="718" t="s">
        <v>674</v>
      </c>
      <c r="C147" s="846" t="s">
        <v>87</v>
      </c>
      <c r="D147" s="714">
        <v>41</v>
      </c>
      <c r="E147" s="840">
        <v>1</v>
      </c>
      <c r="F147" s="722">
        <v>12.5</v>
      </c>
      <c r="G147" s="722"/>
      <c r="H147" s="715">
        <f t="shared" si="42"/>
        <v>4587.1559633027518</v>
      </c>
      <c r="I147" s="722">
        <f t="shared" si="43"/>
        <v>4587.1559633027518</v>
      </c>
      <c r="J147" s="715">
        <f t="shared" si="44"/>
        <v>825.68807339449529</v>
      </c>
      <c r="K147" s="722">
        <f t="shared" si="45"/>
        <v>10000</v>
      </c>
      <c r="L147" s="722">
        <f t="shared" si="46"/>
        <v>800</v>
      </c>
      <c r="M147" s="722" t="s">
        <v>689</v>
      </c>
      <c r="N147" s="722"/>
      <c r="O147" s="722"/>
      <c r="P147" s="722"/>
      <c r="Q147" s="722"/>
      <c r="R147" s="722"/>
    </row>
    <row r="148" spans="1:18" ht="14.25">
      <c r="A148" s="552"/>
      <c r="B148" s="718" t="s">
        <v>674</v>
      </c>
      <c r="C148" s="846" t="s">
        <v>87</v>
      </c>
      <c r="D148" s="714">
        <v>42</v>
      </c>
      <c r="E148" s="840">
        <v>1</v>
      </c>
      <c r="F148" s="722">
        <v>12.64</v>
      </c>
      <c r="G148" s="722"/>
      <c r="H148" s="715">
        <f t="shared" si="42"/>
        <v>4587.1559633027518</v>
      </c>
      <c r="I148" s="722">
        <f t="shared" si="43"/>
        <v>4587.1559633027518</v>
      </c>
      <c r="J148" s="715">
        <f t="shared" si="44"/>
        <v>825.68807339449529</v>
      </c>
      <c r="K148" s="722">
        <f t="shared" si="45"/>
        <v>10000</v>
      </c>
      <c r="L148" s="722">
        <f t="shared" si="46"/>
        <v>791.13924050632909</v>
      </c>
      <c r="M148" s="722" t="s">
        <v>689</v>
      </c>
      <c r="N148" s="722"/>
      <c r="O148" s="722"/>
      <c r="P148" s="722"/>
      <c r="Q148" s="722"/>
      <c r="R148" s="722"/>
    </row>
    <row r="149" spans="1:18" ht="14.25">
      <c r="A149" s="552"/>
      <c r="B149" s="718" t="s">
        <v>674</v>
      </c>
      <c r="C149" s="846" t="s">
        <v>87</v>
      </c>
      <c r="D149" s="714">
        <v>43</v>
      </c>
      <c r="E149" s="840">
        <v>1</v>
      </c>
      <c r="F149" s="722">
        <v>12.5</v>
      </c>
      <c r="G149" s="722"/>
      <c r="H149" s="715">
        <f t="shared" si="42"/>
        <v>4587.1559633027518</v>
      </c>
      <c r="I149" s="722">
        <f t="shared" si="43"/>
        <v>4587.1559633027518</v>
      </c>
      <c r="J149" s="715">
        <f t="shared" si="44"/>
        <v>825.68807339449529</v>
      </c>
      <c r="K149" s="722">
        <f t="shared" si="45"/>
        <v>10000</v>
      </c>
      <c r="L149" s="722">
        <f t="shared" si="46"/>
        <v>800</v>
      </c>
      <c r="M149" s="722" t="s">
        <v>689</v>
      </c>
      <c r="N149" s="722"/>
      <c r="O149" s="722"/>
      <c r="P149" s="722"/>
      <c r="Q149" s="722"/>
      <c r="R149" s="722"/>
    </row>
    <row r="150" spans="1:18" ht="14.25">
      <c r="A150" s="552"/>
      <c r="B150" s="718" t="s">
        <v>674</v>
      </c>
      <c r="C150" s="846" t="s">
        <v>87</v>
      </c>
      <c r="D150" s="714">
        <v>44</v>
      </c>
      <c r="E150" s="840">
        <v>1</v>
      </c>
      <c r="F150" s="722">
        <v>12.5</v>
      </c>
      <c r="G150" s="722"/>
      <c r="H150" s="715">
        <f t="shared" si="42"/>
        <v>4587.1559633027518</v>
      </c>
      <c r="I150" s="722">
        <f t="shared" si="43"/>
        <v>4587.1559633027518</v>
      </c>
      <c r="J150" s="715">
        <f t="shared" si="44"/>
        <v>825.68807339449529</v>
      </c>
      <c r="K150" s="722">
        <f t="shared" si="45"/>
        <v>10000</v>
      </c>
      <c r="L150" s="722">
        <f t="shared" si="46"/>
        <v>800</v>
      </c>
      <c r="M150" s="722" t="s">
        <v>689</v>
      </c>
      <c r="N150" s="722"/>
      <c r="O150" s="722"/>
      <c r="P150" s="722"/>
      <c r="Q150" s="722"/>
      <c r="R150" s="722"/>
    </row>
    <row r="151" spans="1:18" ht="14.25">
      <c r="A151" s="552"/>
      <c r="B151" s="718" t="s">
        <v>674</v>
      </c>
      <c r="C151" s="846" t="s">
        <v>87</v>
      </c>
      <c r="D151" s="714">
        <v>45</v>
      </c>
      <c r="E151" s="840">
        <v>1</v>
      </c>
      <c r="F151" s="722">
        <v>12.5</v>
      </c>
      <c r="G151" s="722"/>
      <c r="H151" s="715">
        <f t="shared" si="42"/>
        <v>4587.1559633027518</v>
      </c>
      <c r="I151" s="722">
        <f t="shared" si="43"/>
        <v>4587.1559633027518</v>
      </c>
      <c r="J151" s="715">
        <f t="shared" si="44"/>
        <v>825.68807339449529</v>
      </c>
      <c r="K151" s="722">
        <f t="shared" si="45"/>
        <v>10000</v>
      </c>
      <c r="L151" s="722">
        <f t="shared" si="46"/>
        <v>800</v>
      </c>
      <c r="M151" s="722" t="s">
        <v>689</v>
      </c>
      <c r="N151" s="722"/>
      <c r="O151" s="722"/>
      <c r="P151" s="722"/>
      <c r="Q151" s="722"/>
      <c r="R151" s="722"/>
    </row>
    <row r="152" spans="1:18" ht="14.25">
      <c r="A152" s="552"/>
      <c r="B152" s="718" t="s">
        <v>674</v>
      </c>
      <c r="C152" s="846" t="s">
        <v>87</v>
      </c>
      <c r="D152" s="714">
        <v>46</v>
      </c>
      <c r="E152" s="840">
        <v>1</v>
      </c>
      <c r="F152" s="722">
        <v>13.89</v>
      </c>
      <c r="G152" s="722"/>
      <c r="H152" s="715">
        <f t="shared" si="42"/>
        <v>4587.1559633027518</v>
      </c>
      <c r="I152" s="722">
        <f t="shared" si="43"/>
        <v>4587.1559633027518</v>
      </c>
      <c r="J152" s="715">
        <f t="shared" si="44"/>
        <v>825.68807339449529</v>
      </c>
      <c r="K152" s="722">
        <f t="shared" si="45"/>
        <v>10000</v>
      </c>
      <c r="L152" s="722">
        <f t="shared" si="46"/>
        <v>719.94240460763137</v>
      </c>
      <c r="M152" s="722" t="s">
        <v>689</v>
      </c>
      <c r="N152" s="722"/>
      <c r="O152" s="722"/>
      <c r="P152" s="722"/>
      <c r="Q152" s="722"/>
      <c r="R152" s="722"/>
    </row>
    <row r="153" spans="1:18" ht="14.25">
      <c r="A153" s="552"/>
      <c r="B153" s="718" t="s">
        <v>674</v>
      </c>
      <c r="C153" s="846" t="s">
        <v>87</v>
      </c>
      <c r="D153" s="714">
        <v>47</v>
      </c>
      <c r="E153" s="840">
        <v>1</v>
      </c>
      <c r="F153" s="722">
        <v>12.5</v>
      </c>
      <c r="G153" s="722"/>
      <c r="H153" s="715">
        <f t="shared" si="42"/>
        <v>4587.1559633027518</v>
      </c>
      <c r="I153" s="722">
        <f t="shared" si="43"/>
        <v>4587.1559633027518</v>
      </c>
      <c r="J153" s="715">
        <f t="shared" si="44"/>
        <v>825.68807339449529</v>
      </c>
      <c r="K153" s="722">
        <f t="shared" si="45"/>
        <v>10000</v>
      </c>
      <c r="L153" s="722">
        <f t="shared" si="46"/>
        <v>800</v>
      </c>
      <c r="M153" s="722" t="s">
        <v>689</v>
      </c>
      <c r="N153" s="722">
        <v>1</v>
      </c>
      <c r="O153" s="722"/>
      <c r="P153" s="722"/>
      <c r="Q153" s="722"/>
      <c r="R153" s="722"/>
    </row>
    <row r="154" spans="1:18" ht="14.25">
      <c r="A154" s="552"/>
      <c r="B154" s="718" t="s">
        <v>674</v>
      </c>
      <c r="C154" s="846" t="s">
        <v>87</v>
      </c>
      <c r="D154" s="714">
        <v>48</v>
      </c>
      <c r="E154" s="840">
        <v>1</v>
      </c>
      <c r="F154" s="722">
        <v>12.5</v>
      </c>
      <c r="G154" s="722"/>
      <c r="H154" s="715">
        <f t="shared" si="42"/>
        <v>4587.1559633027518</v>
      </c>
      <c r="I154" s="722">
        <f t="shared" si="43"/>
        <v>4587.1559633027518</v>
      </c>
      <c r="J154" s="715">
        <f t="shared" si="44"/>
        <v>825.68807339449529</v>
      </c>
      <c r="K154" s="722">
        <f t="shared" si="45"/>
        <v>10000</v>
      </c>
      <c r="L154" s="722">
        <f t="shared" si="46"/>
        <v>800</v>
      </c>
      <c r="M154" s="722" t="s">
        <v>689</v>
      </c>
      <c r="N154" s="722"/>
      <c r="O154" s="722"/>
      <c r="P154" s="722"/>
      <c r="Q154" s="722"/>
      <c r="R154" s="722"/>
    </row>
    <row r="155" spans="1:18" ht="14.25">
      <c r="A155" s="552"/>
      <c r="B155" s="718" t="s">
        <v>674</v>
      </c>
      <c r="C155" s="846" t="s">
        <v>87</v>
      </c>
      <c r="D155" s="714">
        <v>49</v>
      </c>
      <c r="E155" s="840">
        <v>1</v>
      </c>
      <c r="F155" s="722">
        <v>16.75</v>
      </c>
      <c r="G155" s="722"/>
      <c r="H155" s="715">
        <f t="shared" si="42"/>
        <v>4587.1559633027518</v>
      </c>
      <c r="I155" s="722">
        <f t="shared" si="43"/>
        <v>4587.1559633027518</v>
      </c>
      <c r="J155" s="715">
        <f t="shared" si="44"/>
        <v>825.68807339449529</v>
      </c>
      <c r="K155" s="722">
        <f t="shared" si="45"/>
        <v>10000</v>
      </c>
      <c r="L155" s="722">
        <f t="shared" si="46"/>
        <v>597.01492537313436</v>
      </c>
      <c r="M155" s="722" t="s">
        <v>689</v>
      </c>
      <c r="N155" s="722"/>
      <c r="O155" s="722"/>
      <c r="P155" s="722"/>
      <c r="Q155" s="722"/>
      <c r="R155" s="722"/>
    </row>
    <row r="156" spans="1:18" ht="14.25">
      <c r="A156" s="552"/>
      <c r="B156" s="718" t="s">
        <v>674</v>
      </c>
      <c r="C156" s="846" t="s">
        <v>87</v>
      </c>
      <c r="D156" s="714">
        <v>50</v>
      </c>
      <c r="E156" s="840">
        <v>1</v>
      </c>
      <c r="F156" s="722">
        <v>12.5</v>
      </c>
      <c r="G156" s="722"/>
      <c r="H156" s="715">
        <f t="shared" si="42"/>
        <v>4587.1559633027518</v>
      </c>
      <c r="I156" s="722">
        <f t="shared" si="43"/>
        <v>4587.1559633027518</v>
      </c>
      <c r="J156" s="715">
        <f t="shared" si="44"/>
        <v>825.68807339449529</v>
      </c>
      <c r="K156" s="722">
        <f t="shared" si="45"/>
        <v>10000</v>
      </c>
      <c r="L156" s="722">
        <f t="shared" si="46"/>
        <v>800</v>
      </c>
      <c r="M156" s="722" t="s">
        <v>689</v>
      </c>
      <c r="N156" s="722"/>
      <c r="O156" s="722"/>
      <c r="P156" s="722"/>
      <c r="Q156" s="722"/>
      <c r="R156" s="722"/>
    </row>
    <row r="157" spans="1:18" ht="14.25">
      <c r="A157" s="552"/>
      <c r="B157" s="718" t="s">
        <v>674</v>
      </c>
      <c r="C157" s="846" t="s">
        <v>87</v>
      </c>
      <c r="D157" s="714">
        <v>51</v>
      </c>
      <c r="E157" s="840">
        <v>1</v>
      </c>
      <c r="F157" s="722">
        <v>12.5</v>
      </c>
      <c r="G157" s="722"/>
      <c r="H157" s="715">
        <f t="shared" si="42"/>
        <v>4587.1559633027518</v>
      </c>
      <c r="I157" s="722">
        <f t="shared" si="43"/>
        <v>4587.1559633027518</v>
      </c>
      <c r="J157" s="715">
        <f t="shared" si="44"/>
        <v>825.68807339449529</v>
      </c>
      <c r="K157" s="722">
        <f t="shared" si="45"/>
        <v>10000</v>
      </c>
      <c r="L157" s="722">
        <f t="shared" si="46"/>
        <v>800</v>
      </c>
      <c r="M157" s="722" t="s">
        <v>689</v>
      </c>
      <c r="N157" s="722"/>
      <c r="O157" s="722"/>
      <c r="P157" s="722"/>
      <c r="Q157" s="722"/>
      <c r="R157" s="722"/>
    </row>
    <row r="158" spans="1:18" ht="14.25">
      <c r="A158" s="552"/>
      <c r="B158" s="718" t="s">
        <v>674</v>
      </c>
      <c r="C158" s="846" t="s">
        <v>87</v>
      </c>
      <c r="D158" s="714">
        <v>52</v>
      </c>
      <c r="E158" s="840">
        <v>1</v>
      </c>
      <c r="F158" s="722">
        <v>13.49</v>
      </c>
      <c r="G158" s="722"/>
      <c r="H158" s="715">
        <f t="shared" si="42"/>
        <v>4587.1559633027518</v>
      </c>
      <c r="I158" s="722">
        <f t="shared" si="43"/>
        <v>4587.1559633027518</v>
      </c>
      <c r="J158" s="715">
        <f t="shared" si="44"/>
        <v>825.68807339449529</v>
      </c>
      <c r="K158" s="722">
        <f t="shared" si="45"/>
        <v>10000</v>
      </c>
      <c r="L158" s="722">
        <f t="shared" si="46"/>
        <v>741.28984432913273</v>
      </c>
      <c r="M158" s="722" t="s">
        <v>689</v>
      </c>
      <c r="N158" s="722"/>
      <c r="O158" s="722"/>
      <c r="P158" s="722"/>
      <c r="Q158" s="722"/>
      <c r="R158" s="722"/>
    </row>
    <row r="159" spans="1:18" ht="14.25">
      <c r="A159" s="552"/>
      <c r="B159" s="718" t="s">
        <v>674</v>
      </c>
      <c r="C159" s="846" t="s">
        <v>87</v>
      </c>
      <c r="D159" s="714">
        <v>53</v>
      </c>
      <c r="E159" s="840">
        <v>1</v>
      </c>
      <c r="F159" s="722">
        <v>14.36</v>
      </c>
      <c r="G159" s="722"/>
      <c r="H159" s="715">
        <f t="shared" si="42"/>
        <v>4587.1559633027518</v>
      </c>
      <c r="I159" s="722">
        <f t="shared" si="43"/>
        <v>4587.1559633027518</v>
      </c>
      <c r="J159" s="715">
        <f t="shared" si="44"/>
        <v>825.68807339449529</v>
      </c>
      <c r="K159" s="722">
        <f>K158</f>
        <v>10000</v>
      </c>
      <c r="L159" s="722">
        <f t="shared" si="46"/>
        <v>696.3788300835655</v>
      </c>
      <c r="M159" s="722" t="s">
        <v>689</v>
      </c>
      <c r="N159" s="722"/>
      <c r="O159" s="722"/>
      <c r="P159" s="722"/>
      <c r="Q159" s="722"/>
      <c r="R159" s="722"/>
    </row>
    <row r="160" spans="1:18" ht="14.25">
      <c r="A160" s="552"/>
      <c r="B160" s="718" t="s">
        <v>674</v>
      </c>
      <c r="C160" s="846" t="s">
        <v>686</v>
      </c>
      <c r="D160" s="714">
        <v>54</v>
      </c>
      <c r="E160" s="840">
        <v>1</v>
      </c>
      <c r="F160" s="722"/>
      <c r="G160" s="722">
        <v>12.5</v>
      </c>
      <c r="H160" s="715">
        <f t="shared" si="42"/>
        <v>4587.1559633027518</v>
      </c>
      <c r="I160" s="722">
        <f t="shared" si="43"/>
        <v>4587.1559633027518</v>
      </c>
      <c r="J160" s="715">
        <f t="shared" si="44"/>
        <v>825.68807339449529</v>
      </c>
      <c r="K160" s="722">
        <f>K159</f>
        <v>10000</v>
      </c>
      <c r="L160" s="722">
        <f t="shared" ref="L160:L167" si="47">K160/G160</f>
        <v>800</v>
      </c>
      <c r="M160" s="722" t="s">
        <v>689</v>
      </c>
      <c r="N160" s="722"/>
      <c r="O160" s="722"/>
      <c r="P160" s="722"/>
      <c r="Q160" s="722"/>
      <c r="R160" s="722"/>
    </row>
    <row r="161" spans="1:18" ht="14.25">
      <c r="A161" s="552"/>
      <c r="B161" s="718" t="s">
        <v>674</v>
      </c>
      <c r="C161" s="846" t="s">
        <v>686</v>
      </c>
      <c r="D161" s="714" t="s">
        <v>677</v>
      </c>
      <c r="E161" s="840">
        <v>1</v>
      </c>
      <c r="F161" s="722"/>
      <c r="G161" s="722">
        <v>12.5</v>
      </c>
      <c r="H161" s="715">
        <f t="shared" si="42"/>
        <v>3899.0825688073392</v>
      </c>
      <c r="I161" s="722">
        <f t="shared" si="43"/>
        <v>3899.0825688073392</v>
      </c>
      <c r="J161" s="715">
        <f t="shared" si="44"/>
        <v>701.834862385321</v>
      </c>
      <c r="K161" s="722">
        <v>8500</v>
      </c>
      <c r="L161" s="722">
        <f t="shared" si="47"/>
        <v>680</v>
      </c>
      <c r="M161" s="722" t="s">
        <v>690</v>
      </c>
      <c r="N161" s="722"/>
      <c r="O161" s="722"/>
      <c r="P161" s="722"/>
      <c r="Q161" s="722"/>
      <c r="R161" s="722"/>
    </row>
    <row r="162" spans="1:18" ht="14.25">
      <c r="A162" s="552"/>
      <c r="B162" s="718" t="s">
        <v>674</v>
      </c>
      <c r="C162" s="846" t="s">
        <v>686</v>
      </c>
      <c r="D162" s="714" t="s">
        <v>678</v>
      </c>
      <c r="E162" s="840">
        <v>1</v>
      </c>
      <c r="F162" s="722"/>
      <c r="G162" s="722">
        <v>12.5</v>
      </c>
      <c r="H162" s="715">
        <f t="shared" si="42"/>
        <v>3899.0825688073392</v>
      </c>
      <c r="I162" s="722">
        <f t="shared" si="43"/>
        <v>3899.0825688073392</v>
      </c>
      <c r="J162" s="715">
        <f t="shared" si="44"/>
        <v>701.834862385321</v>
      </c>
      <c r="K162" s="722">
        <v>8500</v>
      </c>
      <c r="L162" s="722">
        <f t="shared" si="47"/>
        <v>680</v>
      </c>
      <c r="M162" s="722" t="s">
        <v>690</v>
      </c>
      <c r="N162" s="722"/>
      <c r="O162" s="722"/>
      <c r="P162" s="722"/>
      <c r="Q162" s="722"/>
      <c r="R162" s="722"/>
    </row>
    <row r="163" spans="1:18" ht="14.25">
      <c r="A163" s="552"/>
      <c r="B163" s="718" t="s">
        <v>674</v>
      </c>
      <c r="C163" s="846" t="s">
        <v>686</v>
      </c>
      <c r="D163" s="714" t="s">
        <v>679</v>
      </c>
      <c r="E163" s="840">
        <v>1</v>
      </c>
      <c r="F163" s="722"/>
      <c r="G163" s="722">
        <v>12.5</v>
      </c>
      <c r="H163" s="715">
        <f t="shared" si="42"/>
        <v>3899.0825688073392</v>
      </c>
      <c r="I163" s="722">
        <f t="shared" si="43"/>
        <v>3899.0825688073392</v>
      </c>
      <c r="J163" s="715">
        <f t="shared" si="44"/>
        <v>701.834862385321</v>
      </c>
      <c r="K163" s="722">
        <v>8500</v>
      </c>
      <c r="L163" s="722">
        <f t="shared" si="47"/>
        <v>680</v>
      </c>
      <c r="M163" s="722" t="s">
        <v>690</v>
      </c>
      <c r="N163" s="722"/>
      <c r="O163" s="722"/>
      <c r="P163" s="722"/>
      <c r="Q163" s="722"/>
      <c r="R163" s="722"/>
    </row>
    <row r="164" spans="1:18" ht="14.25">
      <c r="A164" s="552"/>
      <c r="B164" s="718" t="s">
        <v>674</v>
      </c>
      <c r="C164" s="846" t="s">
        <v>686</v>
      </c>
      <c r="D164" s="714" t="s">
        <v>680</v>
      </c>
      <c r="E164" s="840">
        <v>1</v>
      </c>
      <c r="F164" s="722"/>
      <c r="G164" s="722">
        <v>12.5</v>
      </c>
      <c r="H164" s="715">
        <f t="shared" si="42"/>
        <v>3899.0825688073392</v>
      </c>
      <c r="I164" s="722">
        <f t="shared" si="43"/>
        <v>3899.0825688073392</v>
      </c>
      <c r="J164" s="715">
        <f>I164*0.18</f>
        <v>701.834862385321</v>
      </c>
      <c r="K164" s="722">
        <v>8500</v>
      </c>
      <c r="L164" s="722">
        <f t="shared" si="47"/>
        <v>680</v>
      </c>
      <c r="M164" s="722" t="s">
        <v>690</v>
      </c>
      <c r="N164" s="722"/>
      <c r="O164" s="722"/>
      <c r="P164" s="722"/>
      <c r="Q164" s="722"/>
      <c r="R164" s="722"/>
    </row>
    <row r="165" spans="1:18" ht="14.25">
      <c r="A165" s="552"/>
      <c r="B165" s="718" t="s">
        <v>674</v>
      </c>
      <c r="C165" s="846" t="s">
        <v>686</v>
      </c>
      <c r="D165" s="714" t="s">
        <v>681</v>
      </c>
      <c r="E165" s="840">
        <v>1</v>
      </c>
      <c r="F165" s="722"/>
      <c r="G165" s="722">
        <v>12.5</v>
      </c>
      <c r="H165" s="715">
        <f t="shared" si="42"/>
        <v>3899.0825688073392</v>
      </c>
      <c r="I165" s="722">
        <f t="shared" si="43"/>
        <v>3899.0825688073392</v>
      </c>
      <c r="J165" s="715">
        <f>I165*0.18</f>
        <v>701.834862385321</v>
      </c>
      <c r="K165" s="722">
        <v>8500</v>
      </c>
      <c r="L165" s="722">
        <f t="shared" si="47"/>
        <v>680</v>
      </c>
      <c r="M165" s="722" t="s">
        <v>690</v>
      </c>
      <c r="N165" s="722"/>
      <c r="O165" s="722"/>
      <c r="P165" s="722"/>
      <c r="Q165" s="722"/>
      <c r="R165" s="722"/>
    </row>
    <row r="166" spans="1:18" ht="14.25">
      <c r="A166" s="552"/>
      <c r="B166" s="718" t="s">
        <v>674</v>
      </c>
      <c r="C166" s="846" t="s">
        <v>686</v>
      </c>
      <c r="D166" s="714" t="s">
        <v>682</v>
      </c>
      <c r="E166" s="840">
        <v>1</v>
      </c>
      <c r="F166" s="722"/>
      <c r="G166" s="722">
        <v>12.5</v>
      </c>
      <c r="H166" s="715">
        <f t="shared" si="42"/>
        <v>3899.0825688073392</v>
      </c>
      <c r="I166" s="722">
        <f t="shared" si="43"/>
        <v>3899.0825688073392</v>
      </c>
      <c r="J166" s="715">
        <f t="shared" si="44"/>
        <v>701.834862385321</v>
      </c>
      <c r="K166" s="722">
        <v>8500</v>
      </c>
      <c r="L166" s="722">
        <f t="shared" si="47"/>
        <v>680</v>
      </c>
      <c r="M166" s="722" t="s">
        <v>690</v>
      </c>
      <c r="N166" s="722"/>
      <c r="O166" s="722"/>
      <c r="P166" s="722"/>
      <c r="Q166" s="722"/>
      <c r="R166" s="722"/>
    </row>
    <row r="167" spans="1:18" ht="14.25">
      <c r="A167" s="552"/>
      <c r="B167" s="718" t="s">
        <v>674</v>
      </c>
      <c r="C167" s="846" t="s">
        <v>686</v>
      </c>
      <c r="D167" s="714" t="s">
        <v>683</v>
      </c>
      <c r="E167" s="840">
        <v>1</v>
      </c>
      <c r="F167" s="722"/>
      <c r="G167" s="722">
        <v>12.5</v>
      </c>
      <c r="H167" s="715">
        <f t="shared" si="42"/>
        <v>3899.0825688073392</v>
      </c>
      <c r="I167" s="722">
        <f t="shared" si="43"/>
        <v>3899.0825688073392</v>
      </c>
      <c r="J167" s="715">
        <f t="shared" si="44"/>
        <v>701.834862385321</v>
      </c>
      <c r="K167" s="722">
        <v>8500</v>
      </c>
      <c r="L167" s="722">
        <f t="shared" si="47"/>
        <v>680</v>
      </c>
      <c r="M167" s="722" t="s">
        <v>690</v>
      </c>
      <c r="N167" s="722"/>
      <c r="O167" s="722"/>
      <c r="P167" s="722"/>
      <c r="Q167" s="722"/>
      <c r="R167" s="722"/>
    </row>
    <row r="168" spans="1:18" ht="14.25">
      <c r="A168" s="552"/>
      <c r="B168" s="718" t="s">
        <v>674</v>
      </c>
      <c r="C168" s="741" t="s">
        <v>87</v>
      </c>
      <c r="D168" s="714" t="s">
        <v>661</v>
      </c>
      <c r="E168" s="840">
        <v>1</v>
      </c>
      <c r="F168" s="722">
        <v>12.5</v>
      </c>
      <c r="G168" s="722"/>
      <c r="H168" s="715">
        <f t="shared" si="42"/>
        <v>3899.0825688073392</v>
      </c>
      <c r="I168" s="722">
        <f t="shared" si="43"/>
        <v>3899.0825688073392</v>
      </c>
      <c r="J168" s="715">
        <f t="shared" si="44"/>
        <v>701.834862385321</v>
      </c>
      <c r="K168" s="722">
        <v>8500</v>
      </c>
      <c r="L168" s="722">
        <f>K168/F168</f>
        <v>680</v>
      </c>
      <c r="M168" s="722" t="s">
        <v>690</v>
      </c>
      <c r="N168" s="722"/>
      <c r="O168" s="722"/>
      <c r="P168" s="722"/>
      <c r="Q168" s="722"/>
      <c r="R168" s="722"/>
    </row>
    <row r="169" spans="1:18" ht="14.25">
      <c r="A169" s="552"/>
      <c r="B169" s="1031" t="s">
        <v>4</v>
      </c>
      <c r="C169" s="1017"/>
      <c r="D169" s="1018"/>
      <c r="E169" s="838">
        <f>SUM(E107:E168)</f>
        <v>62</v>
      </c>
      <c r="F169" s="841">
        <f>SUM(F107:F168)</f>
        <v>749.74</v>
      </c>
      <c r="G169" s="841">
        <f>SUM(G107:G168)</f>
        <v>100</v>
      </c>
      <c r="H169" s="839">
        <f>SUM(H107:H168)</f>
        <v>278899.0825688077</v>
      </c>
      <c r="I169" s="735">
        <f t="shared" ref="I169" si="48">SUM(I107:I168)</f>
        <v>278899.0825688077</v>
      </c>
      <c r="J169" s="735">
        <f t="shared" ref="J169" si="49">SUM(J107:J168)</f>
        <v>50201.834862385309</v>
      </c>
      <c r="K169" s="735">
        <f>SUM(K107:K168)</f>
        <v>608000</v>
      </c>
      <c r="L169" s="735"/>
      <c r="M169" s="735"/>
      <c r="N169" s="735">
        <f t="shared" ref="N169:P169" si="50">SUM(N107:N168)</f>
        <v>2</v>
      </c>
      <c r="O169" s="735">
        <f t="shared" si="50"/>
        <v>1</v>
      </c>
      <c r="P169" s="735">
        <f t="shared" si="50"/>
        <v>0</v>
      </c>
      <c r="Q169" s="735"/>
      <c r="R169" s="735">
        <f>SUM(R107:R168)</f>
        <v>0</v>
      </c>
    </row>
    <row r="170" spans="1:18" ht="14.25">
      <c r="A170" s="552"/>
      <c r="B170" s="555"/>
      <c r="C170" s="555"/>
      <c r="D170" s="703"/>
      <c r="E170" s="703"/>
      <c r="F170" s="555"/>
      <c r="G170" s="555"/>
      <c r="H170" s="555"/>
      <c r="I170" s="555"/>
      <c r="J170" s="555"/>
      <c r="K170" s="555"/>
      <c r="L170" s="555"/>
      <c r="Q170" s="555"/>
    </row>
    <row r="171" spans="1:18" ht="24">
      <c r="A171" s="552"/>
      <c r="B171" s="1019" t="s">
        <v>691</v>
      </c>
      <c r="C171" s="1020"/>
      <c r="D171" s="711" t="s">
        <v>685</v>
      </c>
      <c r="E171" s="712" t="s">
        <v>43</v>
      </c>
      <c r="F171" s="711" t="s">
        <v>642</v>
      </c>
      <c r="G171" s="711" t="s">
        <v>643</v>
      </c>
      <c r="H171" s="742" t="s">
        <v>212</v>
      </c>
      <c r="I171" s="711" t="s">
        <v>213</v>
      </c>
      <c r="J171" s="711" t="s">
        <v>214</v>
      </c>
      <c r="K171" s="711" t="s">
        <v>672</v>
      </c>
      <c r="L171" s="711" t="s">
        <v>216</v>
      </c>
      <c r="M171" s="711" t="s">
        <v>494</v>
      </c>
      <c r="N171" s="711" t="s">
        <v>646</v>
      </c>
      <c r="O171" s="711" t="s">
        <v>673</v>
      </c>
      <c r="P171" s="711" t="s">
        <v>687</v>
      </c>
      <c r="Q171" s="711" t="s">
        <v>703</v>
      </c>
      <c r="R171" s="711" t="s">
        <v>687</v>
      </c>
    </row>
    <row r="172" spans="1:18" ht="14.25">
      <c r="A172" s="552"/>
      <c r="B172" s="718" t="s">
        <v>692</v>
      </c>
      <c r="C172" s="714"/>
      <c r="D172" s="846">
        <v>1</v>
      </c>
      <c r="E172" s="840">
        <v>1</v>
      </c>
      <c r="F172" s="722">
        <v>2.66</v>
      </c>
      <c r="G172" s="722"/>
      <c r="H172" s="715">
        <f t="shared" ref="H172" si="51">K172/1.09/2</f>
        <v>1376.1467889908256</v>
      </c>
      <c r="I172" s="722">
        <f t="shared" ref="I172" si="52">K172/1.09/2</f>
        <v>1376.1467889908256</v>
      </c>
      <c r="J172" s="715">
        <f t="shared" ref="J172:J195" si="53">I172*0.18</f>
        <v>247.7064220183486</v>
      </c>
      <c r="K172" s="722">
        <v>3000</v>
      </c>
      <c r="L172" s="722">
        <f>K172/F172</f>
        <v>1127.8195488721803</v>
      </c>
      <c r="M172" s="722" t="s">
        <v>688</v>
      </c>
      <c r="N172" s="722"/>
      <c r="O172" s="722"/>
      <c r="P172" s="722"/>
      <c r="Q172" s="722"/>
      <c r="R172" s="722"/>
    </row>
    <row r="173" spans="1:18" ht="14.25">
      <c r="A173" s="552"/>
      <c r="B173" s="718" t="s">
        <v>692</v>
      </c>
      <c r="C173" s="714"/>
      <c r="D173" s="846">
        <v>2</v>
      </c>
      <c r="E173" s="840">
        <v>1</v>
      </c>
      <c r="F173" s="722">
        <v>3.6</v>
      </c>
      <c r="G173" s="722"/>
      <c r="H173" s="715">
        <f t="shared" ref="H173:H195" si="54">K173/1.09/2</f>
        <v>1376.1467889908256</v>
      </c>
      <c r="I173" s="722">
        <f t="shared" ref="I173:I195" si="55">K173/1.09/2</f>
        <v>1376.1467889908256</v>
      </c>
      <c r="J173" s="715">
        <f t="shared" si="53"/>
        <v>247.7064220183486</v>
      </c>
      <c r="K173" s="722">
        <f>K172</f>
        <v>3000</v>
      </c>
      <c r="L173" s="722">
        <f t="shared" ref="L173:L195" si="56">K173/F173</f>
        <v>833.33333333333326</v>
      </c>
      <c r="M173" s="722" t="s">
        <v>688</v>
      </c>
      <c r="N173" s="722"/>
      <c r="O173" s="722"/>
      <c r="P173" s="722"/>
      <c r="Q173" s="722"/>
      <c r="R173" s="722"/>
    </row>
    <row r="174" spans="1:18" ht="14.25">
      <c r="A174" s="552"/>
      <c r="B174" s="718" t="s">
        <v>692</v>
      </c>
      <c r="C174" s="714"/>
      <c r="D174" s="846">
        <v>3</v>
      </c>
      <c r="E174" s="840">
        <v>1</v>
      </c>
      <c r="F174" s="722">
        <v>2.66</v>
      </c>
      <c r="G174" s="722"/>
      <c r="H174" s="715">
        <f t="shared" si="54"/>
        <v>1376.1467889908256</v>
      </c>
      <c r="I174" s="722">
        <f t="shared" si="55"/>
        <v>1376.1467889908256</v>
      </c>
      <c r="J174" s="715">
        <f t="shared" si="53"/>
        <v>247.7064220183486</v>
      </c>
      <c r="K174" s="722">
        <f t="shared" ref="K174:K195" si="57">K173</f>
        <v>3000</v>
      </c>
      <c r="L174" s="722">
        <f t="shared" si="56"/>
        <v>1127.8195488721803</v>
      </c>
      <c r="M174" s="722" t="s">
        <v>688</v>
      </c>
      <c r="N174" s="722"/>
      <c r="O174" s="722"/>
      <c r="P174" s="722"/>
      <c r="Q174" s="722"/>
      <c r="R174" s="722"/>
    </row>
    <row r="175" spans="1:18" ht="14.25">
      <c r="A175" s="552"/>
      <c r="B175" s="718" t="s">
        <v>692</v>
      </c>
      <c r="C175" s="714"/>
      <c r="D175" s="846">
        <v>4</v>
      </c>
      <c r="E175" s="840">
        <v>1</v>
      </c>
      <c r="F175" s="722">
        <v>3.48</v>
      </c>
      <c r="G175" s="722"/>
      <c r="H175" s="715">
        <f t="shared" si="54"/>
        <v>1376.1467889908256</v>
      </c>
      <c r="I175" s="722">
        <f t="shared" si="55"/>
        <v>1376.1467889908256</v>
      </c>
      <c r="J175" s="715">
        <f t="shared" si="53"/>
        <v>247.7064220183486</v>
      </c>
      <c r="K175" s="722">
        <f t="shared" si="57"/>
        <v>3000</v>
      </c>
      <c r="L175" s="722">
        <f t="shared" si="56"/>
        <v>862.06896551724139</v>
      </c>
      <c r="M175" s="722" t="s">
        <v>688</v>
      </c>
      <c r="N175" s="722"/>
      <c r="O175" s="722"/>
      <c r="P175" s="722"/>
      <c r="Q175" s="722"/>
      <c r="R175" s="722"/>
    </row>
    <row r="176" spans="1:18" ht="14.25">
      <c r="A176" s="552"/>
      <c r="B176" s="718" t="s">
        <v>692</v>
      </c>
      <c r="C176" s="714"/>
      <c r="D176" s="846">
        <v>5</v>
      </c>
      <c r="E176" s="840">
        <v>1</v>
      </c>
      <c r="F176" s="722">
        <v>2.82</v>
      </c>
      <c r="G176" s="722"/>
      <c r="H176" s="715">
        <f t="shared" si="54"/>
        <v>1376.1467889908256</v>
      </c>
      <c r="I176" s="722">
        <f t="shared" si="55"/>
        <v>1376.1467889908256</v>
      </c>
      <c r="J176" s="715">
        <f t="shared" si="53"/>
        <v>247.7064220183486</v>
      </c>
      <c r="K176" s="722">
        <f t="shared" si="57"/>
        <v>3000</v>
      </c>
      <c r="L176" s="722">
        <f t="shared" si="56"/>
        <v>1063.8297872340427</v>
      </c>
      <c r="M176" s="722" t="s">
        <v>688</v>
      </c>
      <c r="N176" s="722"/>
      <c r="O176" s="722"/>
      <c r="P176" s="722"/>
      <c r="Q176" s="722"/>
      <c r="R176" s="722"/>
    </row>
    <row r="177" spans="1:18" ht="14.25">
      <c r="A177" s="552"/>
      <c r="B177" s="718" t="s">
        <v>692</v>
      </c>
      <c r="C177" s="714"/>
      <c r="D177" s="846">
        <v>6</v>
      </c>
      <c r="E177" s="840">
        <v>1</v>
      </c>
      <c r="F177" s="722">
        <v>3.73</v>
      </c>
      <c r="G177" s="722"/>
      <c r="H177" s="715">
        <f t="shared" si="54"/>
        <v>1376.1467889908256</v>
      </c>
      <c r="I177" s="722">
        <f t="shared" si="55"/>
        <v>1376.1467889908256</v>
      </c>
      <c r="J177" s="715">
        <f t="shared" si="53"/>
        <v>247.7064220183486</v>
      </c>
      <c r="K177" s="722">
        <f t="shared" si="57"/>
        <v>3000</v>
      </c>
      <c r="L177" s="722">
        <f t="shared" si="56"/>
        <v>804.28954423592495</v>
      </c>
      <c r="M177" s="722" t="s">
        <v>688</v>
      </c>
      <c r="N177" s="722"/>
      <c r="O177" s="722"/>
      <c r="P177" s="722"/>
      <c r="Q177" s="722"/>
      <c r="R177" s="722"/>
    </row>
    <row r="178" spans="1:18" ht="14.25">
      <c r="A178" s="552"/>
      <c r="B178" s="718" t="s">
        <v>692</v>
      </c>
      <c r="C178" s="714"/>
      <c r="D178" s="846">
        <v>7</v>
      </c>
      <c r="E178" s="840">
        <v>1</v>
      </c>
      <c r="F178" s="722">
        <v>2.87</v>
      </c>
      <c r="G178" s="722"/>
      <c r="H178" s="715">
        <f t="shared" si="54"/>
        <v>1376.1467889908256</v>
      </c>
      <c r="I178" s="722">
        <f t="shared" si="55"/>
        <v>1376.1467889908256</v>
      </c>
      <c r="J178" s="715">
        <f t="shared" si="53"/>
        <v>247.7064220183486</v>
      </c>
      <c r="K178" s="722">
        <f t="shared" si="57"/>
        <v>3000</v>
      </c>
      <c r="L178" s="722">
        <f t="shared" si="56"/>
        <v>1045.2961672473866</v>
      </c>
      <c r="M178" s="722" t="s">
        <v>688</v>
      </c>
      <c r="N178" s="722"/>
      <c r="O178" s="722"/>
      <c r="P178" s="722"/>
      <c r="Q178" s="722"/>
      <c r="R178" s="722"/>
    </row>
    <row r="179" spans="1:18" ht="14.25">
      <c r="A179" s="552"/>
      <c r="B179" s="718" t="s">
        <v>692</v>
      </c>
      <c r="C179" s="714"/>
      <c r="D179" s="846">
        <v>8</v>
      </c>
      <c r="E179" s="840">
        <v>1</v>
      </c>
      <c r="F179" s="722">
        <v>3.73</v>
      </c>
      <c r="G179" s="722"/>
      <c r="H179" s="715">
        <f t="shared" si="54"/>
        <v>1376.1467889908256</v>
      </c>
      <c r="I179" s="722">
        <f t="shared" si="55"/>
        <v>1376.1467889908256</v>
      </c>
      <c r="J179" s="715">
        <f t="shared" si="53"/>
        <v>247.7064220183486</v>
      </c>
      <c r="K179" s="722">
        <f t="shared" si="57"/>
        <v>3000</v>
      </c>
      <c r="L179" s="722">
        <f t="shared" si="56"/>
        <v>804.28954423592495</v>
      </c>
      <c r="M179" s="722" t="s">
        <v>688</v>
      </c>
      <c r="N179" s="722"/>
      <c r="O179" s="722"/>
      <c r="P179" s="722"/>
      <c r="Q179" s="722"/>
      <c r="R179" s="722"/>
    </row>
    <row r="180" spans="1:18" ht="14.25">
      <c r="A180" s="552"/>
      <c r="B180" s="718" t="s">
        <v>692</v>
      </c>
      <c r="C180" s="714"/>
      <c r="D180" s="846">
        <v>9</v>
      </c>
      <c r="E180" s="840">
        <v>1</v>
      </c>
      <c r="F180" s="722">
        <v>3.5</v>
      </c>
      <c r="G180" s="722"/>
      <c r="H180" s="715">
        <f t="shared" si="54"/>
        <v>1376.1467889908256</v>
      </c>
      <c r="I180" s="722">
        <f t="shared" si="55"/>
        <v>1376.1467889908256</v>
      </c>
      <c r="J180" s="715">
        <f t="shared" si="53"/>
        <v>247.7064220183486</v>
      </c>
      <c r="K180" s="722">
        <f t="shared" si="57"/>
        <v>3000</v>
      </c>
      <c r="L180" s="722">
        <f t="shared" si="56"/>
        <v>857.14285714285711</v>
      </c>
      <c r="M180" s="722" t="s">
        <v>688</v>
      </c>
      <c r="N180" s="722"/>
      <c r="O180" s="722"/>
      <c r="P180" s="722"/>
      <c r="Q180" s="722"/>
      <c r="R180" s="722"/>
    </row>
    <row r="181" spans="1:18" ht="14.25">
      <c r="A181" s="552"/>
      <c r="B181" s="718" t="s">
        <v>692</v>
      </c>
      <c r="C181" s="714"/>
      <c r="D181" s="846">
        <v>10</v>
      </c>
      <c r="E181" s="840">
        <v>1</v>
      </c>
      <c r="F181" s="722">
        <v>3.62</v>
      </c>
      <c r="G181" s="722"/>
      <c r="H181" s="715">
        <f t="shared" si="54"/>
        <v>1376.1467889908256</v>
      </c>
      <c r="I181" s="722">
        <f t="shared" si="55"/>
        <v>1376.1467889908256</v>
      </c>
      <c r="J181" s="715">
        <f t="shared" si="53"/>
        <v>247.7064220183486</v>
      </c>
      <c r="K181" s="722">
        <f t="shared" si="57"/>
        <v>3000</v>
      </c>
      <c r="L181" s="722">
        <f t="shared" si="56"/>
        <v>828.72928176795574</v>
      </c>
      <c r="M181" s="722" t="s">
        <v>688</v>
      </c>
      <c r="N181" s="722"/>
      <c r="O181" s="722"/>
      <c r="P181" s="722"/>
      <c r="Q181" s="722"/>
      <c r="R181" s="722"/>
    </row>
    <row r="182" spans="1:18" ht="14.25">
      <c r="A182" s="552"/>
      <c r="B182" s="718" t="s">
        <v>692</v>
      </c>
      <c r="C182" s="714"/>
      <c r="D182" s="846">
        <v>11</v>
      </c>
      <c r="E182" s="840">
        <v>1</v>
      </c>
      <c r="F182" s="722">
        <v>3.65</v>
      </c>
      <c r="G182" s="722"/>
      <c r="H182" s="715">
        <f t="shared" si="54"/>
        <v>1376.1467889908256</v>
      </c>
      <c r="I182" s="722">
        <f t="shared" si="55"/>
        <v>1376.1467889908256</v>
      </c>
      <c r="J182" s="715">
        <f t="shared" si="53"/>
        <v>247.7064220183486</v>
      </c>
      <c r="K182" s="722">
        <f t="shared" si="57"/>
        <v>3000</v>
      </c>
      <c r="L182" s="722">
        <f t="shared" si="56"/>
        <v>821.91780821917814</v>
      </c>
      <c r="M182" s="722" t="s">
        <v>688</v>
      </c>
      <c r="N182" s="722"/>
      <c r="O182" s="722"/>
      <c r="P182" s="722"/>
      <c r="Q182" s="722"/>
      <c r="R182" s="722"/>
    </row>
    <row r="183" spans="1:18" ht="14.25">
      <c r="A183" s="552"/>
      <c r="B183" s="718" t="s">
        <v>692</v>
      </c>
      <c r="C183" s="714"/>
      <c r="D183" s="846">
        <v>12</v>
      </c>
      <c r="E183" s="840">
        <v>1</v>
      </c>
      <c r="F183" s="722">
        <v>3.87</v>
      </c>
      <c r="G183" s="722"/>
      <c r="H183" s="715">
        <f t="shared" si="54"/>
        <v>1376.1467889908256</v>
      </c>
      <c r="I183" s="722">
        <f t="shared" si="55"/>
        <v>1376.1467889908256</v>
      </c>
      <c r="J183" s="715">
        <f t="shared" si="53"/>
        <v>247.7064220183486</v>
      </c>
      <c r="K183" s="722">
        <f t="shared" si="57"/>
        <v>3000</v>
      </c>
      <c r="L183" s="722">
        <f t="shared" si="56"/>
        <v>775.19379844961236</v>
      </c>
      <c r="M183" s="722" t="s">
        <v>688</v>
      </c>
      <c r="N183" s="722"/>
      <c r="O183" s="722"/>
      <c r="P183" s="722"/>
      <c r="Q183" s="722"/>
      <c r="R183" s="722"/>
    </row>
    <row r="184" spans="1:18" ht="14.25">
      <c r="A184" s="552"/>
      <c r="B184" s="718" t="s">
        <v>692</v>
      </c>
      <c r="C184" s="714"/>
      <c r="D184" s="846">
        <v>13</v>
      </c>
      <c r="E184" s="840">
        <v>1</v>
      </c>
      <c r="F184" s="722">
        <v>3.88</v>
      </c>
      <c r="G184" s="722"/>
      <c r="H184" s="715">
        <f t="shared" si="54"/>
        <v>1376.1467889908256</v>
      </c>
      <c r="I184" s="722">
        <f t="shared" si="55"/>
        <v>1376.1467889908256</v>
      </c>
      <c r="J184" s="715">
        <f t="shared" si="53"/>
        <v>247.7064220183486</v>
      </c>
      <c r="K184" s="722">
        <f t="shared" si="57"/>
        <v>3000</v>
      </c>
      <c r="L184" s="722">
        <f t="shared" si="56"/>
        <v>773.19587628865986</v>
      </c>
      <c r="M184" s="722" t="s">
        <v>688</v>
      </c>
      <c r="N184" s="722"/>
      <c r="O184" s="722"/>
      <c r="P184" s="722"/>
      <c r="Q184" s="722"/>
      <c r="R184" s="722"/>
    </row>
    <row r="185" spans="1:18" ht="14.25">
      <c r="A185" s="552"/>
      <c r="B185" s="718" t="s">
        <v>692</v>
      </c>
      <c r="C185" s="714"/>
      <c r="D185" s="846">
        <v>14</v>
      </c>
      <c r="E185" s="840">
        <v>1</v>
      </c>
      <c r="F185" s="722">
        <v>4.72</v>
      </c>
      <c r="G185" s="722"/>
      <c r="H185" s="715">
        <f t="shared" si="54"/>
        <v>1376.1467889908256</v>
      </c>
      <c r="I185" s="722">
        <f t="shared" si="55"/>
        <v>1376.1467889908256</v>
      </c>
      <c r="J185" s="715">
        <f t="shared" si="53"/>
        <v>247.7064220183486</v>
      </c>
      <c r="K185" s="722">
        <f t="shared" si="57"/>
        <v>3000</v>
      </c>
      <c r="L185" s="722">
        <f t="shared" si="56"/>
        <v>635.59322033898309</v>
      </c>
      <c r="M185" s="722" t="s">
        <v>688</v>
      </c>
      <c r="N185" s="722"/>
      <c r="O185" s="722"/>
      <c r="P185" s="722"/>
      <c r="Q185" s="722"/>
      <c r="R185" s="722"/>
    </row>
    <row r="186" spans="1:18" ht="14.25">
      <c r="A186" s="552"/>
      <c r="B186" s="718" t="s">
        <v>692</v>
      </c>
      <c r="C186" s="714"/>
      <c r="D186" s="846">
        <v>15</v>
      </c>
      <c r="E186" s="840">
        <v>1</v>
      </c>
      <c r="F186" s="722">
        <v>4.83</v>
      </c>
      <c r="G186" s="722"/>
      <c r="H186" s="715">
        <f t="shared" si="54"/>
        <v>1376.1467889908256</v>
      </c>
      <c r="I186" s="722">
        <f t="shared" si="55"/>
        <v>1376.1467889908256</v>
      </c>
      <c r="J186" s="715">
        <f t="shared" si="53"/>
        <v>247.7064220183486</v>
      </c>
      <c r="K186" s="722">
        <f t="shared" si="57"/>
        <v>3000</v>
      </c>
      <c r="L186" s="722">
        <f t="shared" si="56"/>
        <v>621.11801242236027</v>
      </c>
      <c r="M186" s="722" t="s">
        <v>688</v>
      </c>
      <c r="N186" s="722"/>
      <c r="O186" s="722"/>
      <c r="P186" s="722"/>
      <c r="Q186" s="722"/>
      <c r="R186" s="722"/>
    </row>
    <row r="187" spans="1:18" ht="14.25">
      <c r="A187" s="552"/>
      <c r="B187" s="718" t="s">
        <v>692</v>
      </c>
      <c r="C187" s="714"/>
      <c r="D187" s="846">
        <v>16</v>
      </c>
      <c r="E187" s="840">
        <v>1</v>
      </c>
      <c r="F187" s="722">
        <v>5.49</v>
      </c>
      <c r="G187" s="722"/>
      <c r="H187" s="715">
        <f t="shared" si="54"/>
        <v>1376.1467889908256</v>
      </c>
      <c r="I187" s="722">
        <f t="shared" si="55"/>
        <v>1376.1467889908256</v>
      </c>
      <c r="J187" s="715">
        <f t="shared" si="53"/>
        <v>247.7064220183486</v>
      </c>
      <c r="K187" s="722">
        <f t="shared" si="57"/>
        <v>3000</v>
      </c>
      <c r="L187" s="722">
        <f t="shared" si="56"/>
        <v>546.44808743169392</v>
      </c>
      <c r="M187" s="722" t="s">
        <v>688</v>
      </c>
      <c r="N187" s="722"/>
      <c r="O187" s="722"/>
      <c r="P187" s="722"/>
      <c r="Q187" s="722"/>
      <c r="R187" s="722"/>
    </row>
    <row r="188" spans="1:18" ht="14.25">
      <c r="A188" s="552"/>
      <c r="B188" s="718" t="s">
        <v>692</v>
      </c>
      <c r="C188" s="714"/>
      <c r="D188" s="846">
        <v>17</v>
      </c>
      <c r="E188" s="840">
        <v>1</v>
      </c>
      <c r="F188" s="722">
        <v>3.65</v>
      </c>
      <c r="G188" s="722"/>
      <c r="H188" s="715">
        <f t="shared" si="54"/>
        <v>1376.1467889908256</v>
      </c>
      <c r="I188" s="722">
        <f t="shared" si="55"/>
        <v>1376.1467889908256</v>
      </c>
      <c r="J188" s="715">
        <f t="shared" si="53"/>
        <v>247.7064220183486</v>
      </c>
      <c r="K188" s="722">
        <f t="shared" si="57"/>
        <v>3000</v>
      </c>
      <c r="L188" s="722">
        <f t="shared" si="56"/>
        <v>821.91780821917814</v>
      </c>
      <c r="M188" s="722" t="s">
        <v>688</v>
      </c>
      <c r="N188" s="722"/>
      <c r="O188" s="722"/>
      <c r="P188" s="722"/>
      <c r="Q188" s="722"/>
      <c r="R188" s="722"/>
    </row>
    <row r="189" spans="1:18" ht="14.25">
      <c r="A189" s="552"/>
      <c r="B189" s="718" t="s">
        <v>692</v>
      </c>
      <c r="C189" s="714"/>
      <c r="D189" s="846">
        <v>18</v>
      </c>
      <c r="E189" s="840">
        <v>1</v>
      </c>
      <c r="F189" s="722">
        <v>3.65</v>
      </c>
      <c r="G189" s="722"/>
      <c r="H189" s="715">
        <f t="shared" si="54"/>
        <v>1376.1467889908256</v>
      </c>
      <c r="I189" s="722">
        <f t="shared" si="55"/>
        <v>1376.1467889908256</v>
      </c>
      <c r="J189" s="715">
        <f t="shared" si="53"/>
        <v>247.7064220183486</v>
      </c>
      <c r="K189" s="722">
        <f t="shared" si="57"/>
        <v>3000</v>
      </c>
      <c r="L189" s="722">
        <f t="shared" si="56"/>
        <v>821.91780821917814</v>
      </c>
      <c r="M189" s="722" t="s">
        <v>688</v>
      </c>
      <c r="N189" s="722"/>
      <c r="O189" s="722"/>
      <c r="P189" s="722"/>
      <c r="Q189" s="722"/>
      <c r="R189" s="722"/>
    </row>
    <row r="190" spans="1:18" ht="14.25">
      <c r="A190" s="552"/>
      <c r="B190" s="718" t="s">
        <v>692</v>
      </c>
      <c r="C190" s="714"/>
      <c r="D190" s="846">
        <v>19</v>
      </c>
      <c r="E190" s="840">
        <v>1</v>
      </c>
      <c r="F190" s="722">
        <v>2.66</v>
      </c>
      <c r="G190" s="722"/>
      <c r="H190" s="715">
        <f t="shared" si="54"/>
        <v>1376.1467889908256</v>
      </c>
      <c r="I190" s="722">
        <f t="shared" si="55"/>
        <v>1376.1467889908256</v>
      </c>
      <c r="J190" s="715">
        <f t="shared" si="53"/>
        <v>247.7064220183486</v>
      </c>
      <c r="K190" s="722">
        <f t="shared" si="57"/>
        <v>3000</v>
      </c>
      <c r="L190" s="722">
        <f t="shared" si="56"/>
        <v>1127.8195488721803</v>
      </c>
      <c r="M190" s="722" t="s">
        <v>688</v>
      </c>
      <c r="N190" s="722"/>
      <c r="O190" s="722"/>
      <c r="P190" s="722"/>
      <c r="Q190" s="722"/>
      <c r="R190" s="722"/>
    </row>
    <row r="191" spans="1:18" ht="14.25">
      <c r="A191" s="552"/>
      <c r="B191" s="718" t="s">
        <v>692</v>
      </c>
      <c r="C191" s="714"/>
      <c r="D191" s="846">
        <v>20</v>
      </c>
      <c r="E191" s="840">
        <v>1</v>
      </c>
      <c r="F191" s="722">
        <v>3.6</v>
      </c>
      <c r="G191" s="722"/>
      <c r="H191" s="715">
        <f t="shared" si="54"/>
        <v>1376.1467889908256</v>
      </c>
      <c r="I191" s="722">
        <f t="shared" si="55"/>
        <v>1376.1467889908256</v>
      </c>
      <c r="J191" s="715">
        <f t="shared" si="53"/>
        <v>247.7064220183486</v>
      </c>
      <c r="K191" s="722">
        <f t="shared" si="57"/>
        <v>3000</v>
      </c>
      <c r="L191" s="722">
        <f t="shared" si="56"/>
        <v>833.33333333333326</v>
      </c>
      <c r="M191" s="722" t="s">
        <v>689</v>
      </c>
      <c r="N191" s="722"/>
      <c r="O191" s="722"/>
      <c r="P191" s="722"/>
      <c r="Q191" s="722"/>
      <c r="R191" s="722"/>
    </row>
    <row r="192" spans="1:18" ht="14.25">
      <c r="A192" s="552"/>
      <c r="B192" s="718" t="s">
        <v>692</v>
      </c>
      <c r="C192" s="714"/>
      <c r="D192" s="846">
        <v>21</v>
      </c>
      <c r="E192" s="840">
        <v>1</v>
      </c>
      <c r="F192" s="722">
        <v>2.56</v>
      </c>
      <c r="G192" s="722"/>
      <c r="H192" s="715">
        <f t="shared" si="54"/>
        <v>1376.1467889908256</v>
      </c>
      <c r="I192" s="722">
        <f t="shared" si="55"/>
        <v>1376.1467889908256</v>
      </c>
      <c r="J192" s="715">
        <f t="shared" si="53"/>
        <v>247.7064220183486</v>
      </c>
      <c r="K192" s="722">
        <f t="shared" si="57"/>
        <v>3000</v>
      </c>
      <c r="L192" s="722">
        <f t="shared" si="56"/>
        <v>1171.875</v>
      </c>
      <c r="M192" s="722" t="s">
        <v>689</v>
      </c>
      <c r="N192" s="722"/>
      <c r="O192" s="722"/>
      <c r="P192" s="722"/>
      <c r="Q192" s="722"/>
      <c r="R192" s="722"/>
    </row>
    <row r="193" spans="1:18" ht="14.25">
      <c r="A193" s="552"/>
      <c r="B193" s="718" t="s">
        <v>692</v>
      </c>
      <c r="C193" s="714"/>
      <c r="D193" s="846">
        <v>22</v>
      </c>
      <c r="E193" s="840">
        <v>1</v>
      </c>
      <c r="F193" s="722">
        <v>3.46</v>
      </c>
      <c r="G193" s="722"/>
      <c r="H193" s="715">
        <f t="shared" si="54"/>
        <v>1376.1467889908256</v>
      </c>
      <c r="I193" s="722">
        <f t="shared" si="55"/>
        <v>1376.1467889908256</v>
      </c>
      <c r="J193" s="715">
        <f t="shared" si="53"/>
        <v>247.7064220183486</v>
      </c>
      <c r="K193" s="722">
        <f t="shared" si="57"/>
        <v>3000</v>
      </c>
      <c r="L193" s="722">
        <f t="shared" si="56"/>
        <v>867.05202312138726</v>
      </c>
      <c r="M193" s="722" t="s">
        <v>689</v>
      </c>
      <c r="N193" s="722"/>
      <c r="O193" s="722"/>
      <c r="P193" s="722"/>
      <c r="Q193" s="722"/>
      <c r="R193" s="722"/>
    </row>
    <row r="194" spans="1:18" ht="14.25">
      <c r="A194" s="552"/>
      <c r="B194" s="718" t="s">
        <v>692</v>
      </c>
      <c r="C194" s="714"/>
      <c r="D194" s="846">
        <v>23</v>
      </c>
      <c r="E194" s="840">
        <v>1</v>
      </c>
      <c r="F194" s="722">
        <v>2.82</v>
      </c>
      <c r="G194" s="722"/>
      <c r="H194" s="715">
        <f t="shared" si="54"/>
        <v>1376.1467889908256</v>
      </c>
      <c r="I194" s="722">
        <f t="shared" si="55"/>
        <v>1376.1467889908256</v>
      </c>
      <c r="J194" s="715">
        <f t="shared" si="53"/>
        <v>247.7064220183486</v>
      </c>
      <c r="K194" s="722">
        <f t="shared" si="57"/>
        <v>3000</v>
      </c>
      <c r="L194" s="722">
        <f t="shared" si="56"/>
        <v>1063.8297872340427</v>
      </c>
      <c r="M194" s="722" t="s">
        <v>689</v>
      </c>
      <c r="N194" s="722"/>
      <c r="O194" s="722"/>
      <c r="P194" s="722"/>
      <c r="Q194" s="722"/>
      <c r="R194" s="722"/>
    </row>
    <row r="195" spans="1:18" ht="14.25">
      <c r="A195" s="552"/>
      <c r="B195" s="718" t="s">
        <v>692</v>
      </c>
      <c r="C195" s="714"/>
      <c r="D195" s="846">
        <v>24</v>
      </c>
      <c r="E195" s="840">
        <v>1</v>
      </c>
      <c r="F195" s="722">
        <v>3.73</v>
      </c>
      <c r="G195" s="722"/>
      <c r="H195" s="715">
        <f t="shared" si="54"/>
        <v>1376.1467889908256</v>
      </c>
      <c r="I195" s="722">
        <f t="shared" si="55"/>
        <v>1376.1467889908256</v>
      </c>
      <c r="J195" s="715">
        <f t="shared" si="53"/>
        <v>247.7064220183486</v>
      </c>
      <c r="K195" s="722">
        <f t="shared" si="57"/>
        <v>3000</v>
      </c>
      <c r="L195" s="722">
        <f t="shared" si="56"/>
        <v>804.28954423592495</v>
      </c>
      <c r="M195" s="722" t="s">
        <v>689</v>
      </c>
      <c r="N195" s="722"/>
      <c r="O195" s="722"/>
      <c r="P195" s="722"/>
      <c r="Q195" s="722"/>
      <c r="R195" s="722"/>
    </row>
    <row r="196" spans="1:18" ht="14.25">
      <c r="A196" s="552"/>
      <c r="B196" s="1031" t="s">
        <v>4</v>
      </c>
      <c r="C196" s="1017"/>
      <c r="D196" s="1018"/>
      <c r="E196" s="743">
        <f t="shared" ref="E196:K196" si="58">SUM(E172:E195)</f>
        <v>24</v>
      </c>
      <c r="F196" s="743">
        <f t="shared" si="58"/>
        <v>85.239999999999981</v>
      </c>
      <c r="G196" s="743">
        <f t="shared" si="58"/>
        <v>0</v>
      </c>
      <c r="H196" s="847">
        <f t="shared" si="58"/>
        <v>33027.522935779831</v>
      </c>
      <c r="I196" s="847">
        <f t="shared" si="58"/>
        <v>33027.522935779831</v>
      </c>
      <c r="J196" s="847">
        <f t="shared" si="58"/>
        <v>5944.9541284403658</v>
      </c>
      <c r="K196" s="847">
        <f t="shared" si="58"/>
        <v>72000</v>
      </c>
      <c r="L196" s="743"/>
      <c r="M196" s="743"/>
      <c r="N196" s="743">
        <f>SUM(N172:N195)</f>
        <v>0</v>
      </c>
      <c r="O196" s="743">
        <f>SUM(O172:O195)</f>
        <v>0</v>
      </c>
      <c r="P196" s="743">
        <f>SUM(P172:P195)</f>
        <v>0</v>
      </c>
      <c r="Q196" s="847"/>
      <c r="R196" s="743">
        <f>SUM(R172:R195)</f>
        <v>0</v>
      </c>
    </row>
    <row r="197" spans="1:18" ht="15" customHeight="1">
      <c r="A197" s="552"/>
      <c r="B197" s="556"/>
      <c r="C197" s="557"/>
      <c r="D197" s="557"/>
      <c r="E197" s="557"/>
      <c r="F197" s="557"/>
      <c r="G197" s="557"/>
      <c r="H197" s="557"/>
      <c r="I197" s="557"/>
      <c r="J197" s="555"/>
      <c r="K197" s="555"/>
      <c r="L197" s="555"/>
      <c r="Q197" s="555"/>
    </row>
    <row r="198" spans="1:18" ht="15.75" thickBot="1">
      <c r="A198" s="552"/>
      <c r="B198" s="730" t="s">
        <v>217</v>
      </c>
      <c r="C198" s="557"/>
      <c r="D198" s="557"/>
      <c r="E198" s="557"/>
      <c r="F198" s="557"/>
      <c r="G198" s="557"/>
      <c r="H198" s="557"/>
      <c r="I198" s="557"/>
      <c r="J198" s="555"/>
      <c r="K198" s="555"/>
      <c r="L198" s="555"/>
      <c r="Q198" s="555"/>
    </row>
    <row r="199" spans="1:18" ht="26.25" customHeight="1" thickBot="1">
      <c r="A199" s="552"/>
      <c r="B199" s="1023" t="s">
        <v>219</v>
      </c>
      <c r="C199" s="1024"/>
      <c r="D199" s="710" t="s">
        <v>43</v>
      </c>
      <c r="E199" s="710" t="s">
        <v>642</v>
      </c>
      <c r="F199" s="710" t="s">
        <v>643</v>
      </c>
      <c r="G199" s="852" t="s">
        <v>212</v>
      </c>
      <c r="H199" s="710" t="s">
        <v>213</v>
      </c>
      <c r="I199" s="710" t="s">
        <v>214</v>
      </c>
      <c r="J199" s="710" t="s">
        <v>215</v>
      </c>
      <c r="K199" s="713" t="s">
        <v>693</v>
      </c>
      <c r="L199" s="555"/>
    </row>
    <row r="200" spans="1:18" ht="15" thickBot="1">
      <c r="A200" s="552"/>
      <c r="B200" s="1025" t="s">
        <v>44</v>
      </c>
      <c r="C200" s="1026"/>
      <c r="D200" s="855">
        <f>SUM(D201:D202)</f>
        <v>84</v>
      </c>
      <c r="E200" s="856">
        <f>E93</f>
        <v>5800</v>
      </c>
      <c r="F200" s="856">
        <f>F93</f>
        <v>342</v>
      </c>
      <c r="G200" s="977">
        <f>H93</f>
        <v>3341568.8073394462</v>
      </c>
      <c r="H200" s="856">
        <f>I93</f>
        <v>3341568.8073394462</v>
      </c>
      <c r="I200" s="856">
        <f>J93</f>
        <v>601482.38532110094</v>
      </c>
      <c r="J200" s="856">
        <f>K93</f>
        <v>7284620</v>
      </c>
      <c r="K200" s="857">
        <f>J200/$J$211</f>
        <v>0.8654342841528756</v>
      </c>
      <c r="L200" s="555"/>
    </row>
    <row r="201" spans="1:18" ht="14.25">
      <c r="A201" s="552"/>
      <c r="B201" s="744"/>
      <c r="C201" s="837" t="s">
        <v>670</v>
      </c>
      <c r="D201" s="850">
        <v>60</v>
      </c>
      <c r="E201" s="848">
        <f>E93-E202</f>
        <v>4472</v>
      </c>
      <c r="F201" s="848">
        <f>F200</f>
        <v>342</v>
      </c>
      <c r="G201" s="848">
        <f>H93-G202</f>
        <v>2572633.0275229323</v>
      </c>
      <c r="H201" s="848">
        <f>I93-H202</f>
        <v>2572633.0275229323</v>
      </c>
      <c r="I201" s="848">
        <f>J93-I202</f>
        <v>463073.94495412847</v>
      </c>
      <c r="J201" s="848">
        <f>K93-J202</f>
        <v>5608340</v>
      </c>
      <c r="K201" s="853">
        <f>J201/$J$211</f>
        <v>0.6662872892732824</v>
      </c>
      <c r="L201" s="555"/>
    </row>
    <row r="202" spans="1:18" ht="15" thickBot="1">
      <c r="A202" s="552"/>
      <c r="B202" s="744"/>
      <c r="C202" s="837" t="s">
        <v>671</v>
      </c>
      <c r="D202" s="850">
        <v>24</v>
      </c>
      <c r="E202" s="848">
        <f>SUM(E13:E16)+SUM(E29:E32)+SUM(E45:E48)+SUM(E61:E64)</f>
        <v>1328</v>
      </c>
      <c r="F202" s="848">
        <v>0</v>
      </c>
      <c r="G202" s="848">
        <f>SUM(H13:H16)+SUM(H29:H32)+SUM(H45:H48)+SUM(H61:H64)</f>
        <v>768935.77981651376</v>
      </c>
      <c r="H202" s="848">
        <f>SUM(I13:I16)+SUM(I29:I32)+SUM(I45:I48)+SUM(I61:I64)</f>
        <v>768935.77981651376</v>
      </c>
      <c r="I202" s="848">
        <f>SUM(J13:J16)+SUM(J29:J32)+SUM(J45:J48)+SUM(J61:J64)</f>
        <v>138408.44036697247</v>
      </c>
      <c r="J202" s="848">
        <f>SUM(K13:K16)+SUM(K29:K32)+SUM(K45:K48)+SUM(K61:K64)</f>
        <v>1676280</v>
      </c>
      <c r="K202" s="853">
        <f t="shared" ref="K202:K210" si="59">J202/$J$211</f>
        <v>0.19914699487959323</v>
      </c>
      <c r="L202" s="555"/>
    </row>
    <row r="203" spans="1:18" ht="15" thickBot="1">
      <c r="A203" s="552"/>
      <c r="B203" s="1025" t="s">
        <v>667</v>
      </c>
      <c r="C203" s="1026"/>
      <c r="D203" s="855">
        <f t="shared" ref="D203" si="60">SUM(D204:D205)</f>
        <v>8</v>
      </c>
      <c r="E203" s="856">
        <f t="shared" ref="E203" si="61">SUM(E204:E205)</f>
        <v>452.68</v>
      </c>
      <c r="F203" s="856">
        <f>SUM(F204:F205)</f>
        <v>0</v>
      </c>
      <c r="G203" s="856">
        <f t="shared" ref="G203:H203" si="62">SUM(G204:G205)</f>
        <v>207651.376146789</v>
      </c>
      <c r="H203" s="856">
        <f t="shared" si="62"/>
        <v>207651.376146789</v>
      </c>
      <c r="I203" s="856">
        <f t="shared" ref="I203" si="63">SUM(I204:I205)</f>
        <v>37377.247706422015</v>
      </c>
      <c r="J203" s="856">
        <f>SUM(J204:J205)</f>
        <v>452680</v>
      </c>
      <c r="K203" s="857">
        <f t="shared" si="59"/>
        <v>5.3779715585757906E-2</v>
      </c>
      <c r="L203" s="555"/>
    </row>
    <row r="204" spans="1:18" ht="14.25">
      <c r="A204" s="552"/>
      <c r="B204" s="744"/>
      <c r="C204" s="837" t="s">
        <v>662</v>
      </c>
      <c r="D204" s="850">
        <v>4</v>
      </c>
      <c r="E204" s="848">
        <f>SUM(E96:E99)</f>
        <v>234.82</v>
      </c>
      <c r="F204" s="848">
        <v>0</v>
      </c>
      <c r="G204" s="848">
        <f>SUM(H96:H99)</f>
        <v>107715.59633027524</v>
      </c>
      <c r="H204" s="848">
        <f>SUM(I96:I99)</f>
        <v>107715.59633027524</v>
      </c>
      <c r="I204" s="848">
        <f>SUM(J96:J99)</f>
        <v>19388.807339449537</v>
      </c>
      <c r="J204" s="848">
        <f>SUM(K96:K99)</f>
        <v>234820</v>
      </c>
      <c r="K204" s="853">
        <f t="shared" si="59"/>
        <v>2.7897306737314817E-2</v>
      </c>
      <c r="L204" s="555"/>
    </row>
    <row r="205" spans="1:18" ht="15" thickBot="1">
      <c r="A205" s="552"/>
      <c r="B205" s="744"/>
      <c r="C205" s="837" t="s">
        <v>649</v>
      </c>
      <c r="D205" s="850">
        <v>4</v>
      </c>
      <c r="E205" s="848">
        <f>SUM(E100:E103)</f>
        <v>217.86</v>
      </c>
      <c r="F205" s="848">
        <v>0</v>
      </c>
      <c r="G205" s="848">
        <f>SUM(H100:H103)</f>
        <v>99935.77981651375</v>
      </c>
      <c r="H205" s="848">
        <f>SUM(I100:I103)</f>
        <v>99935.77981651375</v>
      </c>
      <c r="I205" s="848">
        <f>SUM(J100:J103)</f>
        <v>17988.440366972474</v>
      </c>
      <c r="J205" s="848">
        <f>SUM(K100:K103)</f>
        <v>217860</v>
      </c>
      <c r="K205" s="853">
        <f t="shared" si="59"/>
        <v>2.5882408848443086E-2</v>
      </c>
      <c r="L205" s="555"/>
    </row>
    <row r="206" spans="1:18" ht="15" thickBot="1">
      <c r="A206" s="552"/>
      <c r="B206" s="1025" t="s">
        <v>42</v>
      </c>
      <c r="C206" s="1026"/>
      <c r="D206" s="855">
        <f t="shared" ref="D206" si="64">SUM(D207:D208)</f>
        <v>62</v>
      </c>
      <c r="E206" s="856">
        <f t="shared" ref="E206" si="65">SUM(E207:E208)</f>
        <v>749.74</v>
      </c>
      <c r="F206" s="856">
        <f>SUM(F207:F208)</f>
        <v>100</v>
      </c>
      <c r="G206" s="856">
        <f t="shared" ref="G206" si="66">SUM(G207:G208)</f>
        <v>278899.08256880759</v>
      </c>
      <c r="H206" s="856">
        <f t="shared" ref="H206" si="67">SUM(H207:H208)</f>
        <v>278899.08256880759</v>
      </c>
      <c r="I206" s="856">
        <f t="shared" ref="I206" si="68">SUM(I207:I208)</f>
        <v>50201.834862385294</v>
      </c>
      <c r="J206" s="856">
        <f>SUM(J207:J208)</f>
        <v>608000</v>
      </c>
      <c r="K206" s="857">
        <f t="shared" si="59"/>
        <v>7.2232188468986491E-2</v>
      </c>
      <c r="L206" s="555"/>
    </row>
    <row r="207" spans="1:18" ht="14.25">
      <c r="A207" s="552"/>
      <c r="B207" s="1027" t="s">
        <v>659</v>
      </c>
      <c r="C207" s="1028"/>
      <c r="D207" s="851">
        <f>E169-D208</f>
        <v>54</v>
      </c>
      <c r="E207" s="849">
        <f>F169</f>
        <v>749.74</v>
      </c>
      <c r="F207" s="849"/>
      <c r="G207" s="976">
        <f>SUM(H107:H159)+H168</f>
        <v>247018.34862385347</v>
      </c>
      <c r="H207" s="976">
        <f>SUM(I107:I159)+I168</f>
        <v>247018.34862385347</v>
      </c>
      <c r="I207" s="849">
        <f>SUM(J107:J159)+J168</f>
        <v>44463.302752293552</v>
      </c>
      <c r="J207" s="849">
        <f>SUM(K107:K159)+K168</f>
        <v>538500</v>
      </c>
      <c r="K207" s="854">
        <f t="shared" si="59"/>
        <v>6.3975384030508592E-2</v>
      </c>
      <c r="L207" s="555"/>
    </row>
    <row r="208" spans="1:18" ht="15" thickBot="1">
      <c r="A208" s="552"/>
      <c r="B208" s="1029" t="s">
        <v>660</v>
      </c>
      <c r="C208" s="1030"/>
      <c r="D208" s="850">
        <v>8</v>
      </c>
      <c r="E208" s="848"/>
      <c r="F208" s="848">
        <f>G169</f>
        <v>100</v>
      </c>
      <c r="G208" s="848">
        <f>SUM(H160:H167)</f>
        <v>31880.733944954121</v>
      </c>
      <c r="H208" s="848">
        <f>SUM(I160:I167)</f>
        <v>31880.733944954121</v>
      </c>
      <c r="I208" s="848">
        <f>SUM(J160:J167)</f>
        <v>5738.5321100917408</v>
      </c>
      <c r="J208" s="848">
        <f>SUM(K160:K167)</f>
        <v>69500</v>
      </c>
      <c r="K208" s="853">
        <f t="shared" si="59"/>
        <v>8.2568044384778959E-3</v>
      </c>
      <c r="L208" s="555"/>
    </row>
    <row r="209" spans="1:17" ht="15" thickBot="1">
      <c r="A209" s="552"/>
      <c r="B209" s="1025" t="s">
        <v>190</v>
      </c>
      <c r="C209" s="1026"/>
      <c r="D209" s="855">
        <f>SUM(D210)</f>
        <v>24</v>
      </c>
      <c r="E209" s="858">
        <f t="shared" ref="E209:J209" si="69">SUM(E210)</f>
        <v>85.239999999999981</v>
      </c>
      <c r="F209" s="858">
        <f t="shared" si="69"/>
        <v>0</v>
      </c>
      <c r="G209" s="858">
        <f t="shared" si="69"/>
        <v>33027.522935779831</v>
      </c>
      <c r="H209" s="858">
        <f t="shared" si="69"/>
        <v>33027.522935779831</v>
      </c>
      <c r="I209" s="858">
        <f t="shared" si="69"/>
        <v>5944.9541284403658</v>
      </c>
      <c r="J209" s="858">
        <f t="shared" si="69"/>
        <v>72000</v>
      </c>
      <c r="K209" s="857">
        <f t="shared" si="59"/>
        <v>8.553811792379979E-3</v>
      </c>
      <c r="L209" s="555"/>
    </row>
    <row r="210" spans="1:17" ht="15" thickBot="1">
      <c r="A210" s="552"/>
      <c r="B210" s="1029" t="s">
        <v>218</v>
      </c>
      <c r="C210" s="1030"/>
      <c r="D210" s="850">
        <f>E196</f>
        <v>24</v>
      </c>
      <c r="E210" s="848">
        <f>F196</f>
        <v>85.239999999999981</v>
      </c>
      <c r="F210" s="848"/>
      <c r="G210" s="978">
        <f>H196</f>
        <v>33027.522935779831</v>
      </c>
      <c r="H210" s="978">
        <f t="shared" ref="H210:J210" si="70">I196</f>
        <v>33027.522935779831</v>
      </c>
      <c r="I210" s="848">
        <f t="shared" si="70"/>
        <v>5944.9541284403658</v>
      </c>
      <c r="J210" s="848">
        <f t="shared" si="70"/>
        <v>72000</v>
      </c>
      <c r="K210" s="853">
        <f t="shared" si="59"/>
        <v>8.553811792379979E-3</v>
      </c>
      <c r="L210" s="555"/>
    </row>
    <row r="211" spans="1:17" ht="15" thickBot="1">
      <c r="A211" s="552"/>
      <c r="B211" s="1021" t="s">
        <v>7</v>
      </c>
      <c r="C211" s="1022"/>
      <c r="D211" s="859">
        <f>D200+D203+D206+D209</f>
        <v>178</v>
      </c>
      <c r="E211" s="860">
        <f t="shared" ref="E211:F211" si="71">E200+E203+E206+E209</f>
        <v>7087.66</v>
      </c>
      <c r="F211" s="860">
        <f t="shared" si="71"/>
        <v>442</v>
      </c>
      <c r="G211" s="860">
        <f>G200+G203+G206+G209</f>
        <v>3861146.7889908226</v>
      </c>
      <c r="H211" s="860">
        <f>H200+H203+H206+H209</f>
        <v>3861146.7889908226</v>
      </c>
      <c r="I211" s="860">
        <f>I200+I203+I206+I209</f>
        <v>695006.42201834859</v>
      </c>
      <c r="J211" s="860">
        <f>J200+J203+J206+J209</f>
        <v>8417300</v>
      </c>
      <c r="K211" s="861">
        <v>1</v>
      </c>
      <c r="L211" s="555"/>
    </row>
    <row r="212" spans="1:17" ht="15.75" thickBot="1">
      <c r="A212" s="552"/>
      <c r="B212" s="556"/>
      <c r="C212" s="557"/>
      <c r="D212" s="557"/>
      <c r="E212" s="557"/>
      <c r="F212" s="601"/>
      <c r="G212" s="952">
        <f>G211+H211</f>
        <v>7722293.5779816452</v>
      </c>
      <c r="H212" s="953"/>
      <c r="I212" s="557"/>
      <c r="J212" s="555"/>
      <c r="K212" s="555"/>
      <c r="L212" s="555"/>
      <c r="Q212" s="555"/>
    </row>
    <row r="213" spans="1:17">
      <c r="A213" s="558"/>
      <c r="B213" s="559"/>
      <c r="C213" s="560"/>
      <c r="D213" s="560"/>
      <c r="E213" s="560"/>
      <c r="F213" s="561"/>
      <c r="G213" s="560"/>
      <c r="H213" s="560"/>
      <c r="I213" s="560"/>
      <c r="J213" s="706"/>
      <c r="K213" s="706"/>
      <c r="L213" s="706"/>
      <c r="Q213" s="706"/>
    </row>
    <row r="214" spans="1:17">
      <c r="A214" s="558"/>
      <c r="B214" s="559"/>
      <c r="C214" s="560"/>
      <c r="D214" s="560"/>
      <c r="E214" s="560"/>
      <c r="F214" s="560"/>
      <c r="G214" s="560"/>
      <c r="H214" s="560"/>
      <c r="I214" s="560"/>
      <c r="J214" s="706"/>
      <c r="K214" s="706"/>
      <c r="L214" s="706"/>
      <c r="Q214" s="706"/>
    </row>
    <row r="215" spans="1:17">
      <c r="A215" s="558"/>
      <c r="B215" s="559"/>
      <c r="C215" s="560"/>
      <c r="D215" s="560"/>
      <c r="E215" s="560"/>
      <c r="F215" s="560"/>
      <c r="G215" s="560"/>
      <c r="H215" s="560"/>
      <c r="I215" s="560"/>
      <c r="J215" s="706"/>
      <c r="K215" s="706"/>
      <c r="L215" s="706"/>
      <c r="Q215" s="706"/>
    </row>
    <row r="216" spans="1:17">
      <c r="A216" s="558"/>
      <c r="B216" s="559"/>
      <c r="C216" s="560"/>
      <c r="D216" s="560"/>
      <c r="E216" s="560"/>
      <c r="F216" s="560"/>
      <c r="G216" s="560"/>
      <c r="H216" s="560"/>
      <c r="I216" s="560"/>
      <c r="J216" s="706"/>
      <c r="K216" s="706"/>
      <c r="L216" s="706"/>
      <c r="Q216" s="706"/>
    </row>
    <row r="217" spans="1:17">
      <c r="A217" s="558"/>
      <c r="B217" s="559"/>
      <c r="C217" s="560"/>
      <c r="D217" s="560"/>
      <c r="E217" s="560"/>
      <c r="F217" s="560"/>
      <c r="G217" s="560"/>
      <c r="H217" s="560"/>
      <c r="I217" s="560"/>
      <c r="J217" s="706"/>
      <c r="K217" s="706"/>
      <c r="L217" s="706"/>
      <c r="Q217" s="706"/>
    </row>
    <row r="218" spans="1:17">
      <c r="A218" s="558"/>
      <c r="B218" s="559"/>
      <c r="C218" s="560"/>
      <c r="D218" s="560"/>
      <c r="E218" s="560"/>
      <c r="F218" s="560"/>
      <c r="G218" s="560"/>
      <c r="H218" s="560"/>
      <c r="I218" s="560"/>
      <c r="J218" s="706"/>
      <c r="K218" s="706"/>
      <c r="L218" s="706"/>
      <c r="Q218" s="706"/>
    </row>
    <row r="219" spans="1:17">
      <c r="A219" s="558"/>
      <c r="B219" s="559"/>
      <c r="C219" s="560"/>
      <c r="D219" s="560"/>
      <c r="E219" s="560"/>
      <c r="F219" s="560"/>
      <c r="G219" s="560"/>
      <c r="H219" s="560"/>
      <c r="I219" s="560"/>
      <c r="J219" s="706"/>
      <c r="K219" s="706"/>
      <c r="L219" s="706"/>
      <c r="Q219" s="706"/>
    </row>
    <row r="220" spans="1:17">
      <c r="A220" s="558"/>
      <c r="B220" s="559"/>
      <c r="C220" s="560"/>
      <c r="D220" s="560"/>
      <c r="E220" s="560"/>
      <c r="F220" s="560"/>
      <c r="G220" s="560"/>
      <c r="H220" s="560"/>
      <c r="I220" s="560"/>
      <c r="J220" s="706"/>
      <c r="K220" s="706"/>
      <c r="L220" s="706"/>
      <c r="Q220" s="706"/>
    </row>
    <row r="221" spans="1:17">
      <c r="A221" s="558"/>
      <c r="B221" s="559"/>
      <c r="C221" s="560"/>
      <c r="D221" s="560"/>
      <c r="E221" s="560"/>
      <c r="F221" s="560"/>
      <c r="G221" s="560"/>
      <c r="H221" s="560"/>
      <c r="I221" s="560"/>
      <c r="J221" s="706"/>
      <c r="K221" s="706"/>
      <c r="L221" s="706"/>
      <c r="Q221" s="706"/>
    </row>
    <row r="222" spans="1:17">
      <c r="A222" s="558"/>
      <c r="B222" s="559"/>
      <c r="C222" s="560"/>
      <c r="D222" s="560"/>
      <c r="E222" s="560"/>
      <c r="F222" s="560"/>
      <c r="G222" s="560"/>
      <c r="H222" s="560"/>
      <c r="I222" s="560"/>
      <c r="J222" s="706"/>
      <c r="K222" s="706"/>
      <c r="L222" s="706"/>
      <c r="Q222" s="706"/>
    </row>
    <row r="223" spans="1:17">
      <c r="A223" s="558"/>
      <c r="B223" s="559"/>
      <c r="C223" s="560"/>
      <c r="D223" s="560"/>
      <c r="E223" s="560"/>
      <c r="F223" s="560"/>
      <c r="G223" s="560"/>
      <c r="H223" s="560"/>
      <c r="I223" s="560"/>
      <c r="J223" s="706"/>
      <c r="K223" s="706"/>
      <c r="L223" s="706"/>
      <c r="Q223" s="706"/>
    </row>
    <row r="224" spans="1:17">
      <c r="A224" s="558"/>
      <c r="B224" s="559"/>
      <c r="C224" s="560"/>
      <c r="D224" s="560"/>
      <c r="E224" s="560"/>
      <c r="F224" s="560"/>
      <c r="G224" s="560"/>
      <c r="H224" s="560"/>
      <c r="I224" s="560"/>
      <c r="J224" s="706"/>
      <c r="K224" s="706"/>
      <c r="L224" s="706"/>
      <c r="Q224" s="706"/>
    </row>
    <row r="225" spans="1:17">
      <c r="A225" s="558"/>
      <c r="B225" s="559"/>
      <c r="C225" s="560"/>
      <c r="D225" s="560"/>
      <c r="E225" s="560"/>
      <c r="F225" s="560"/>
      <c r="G225" s="560"/>
      <c r="H225" s="560"/>
      <c r="I225" s="560"/>
      <c r="J225" s="706"/>
      <c r="K225" s="706"/>
      <c r="L225" s="706"/>
      <c r="Q225" s="706"/>
    </row>
    <row r="226" spans="1:17">
      <c r="A226" s="558"/>
      <c r="B226" s="559"/>
      <c r="C226" s="560"/>
      <c r="D226" s="560"/>
      <c r="E226" s="560"/>
      <c r="F226" s="560"/>
      <c r="G226" s="560"/>
      <c r="H226" s="560"/>
      <c r="I226" s="560"/>
      <c r="J226" s="706"/>
      <c r="K226" s="706"/>
      <c r="L226" s="706"/>
      <c r="Q226" s="706"/>
    </row>
    <row r="227" spans="1:17">
      <c r="A227" s="558"/>
      <c r="B227" s="559"/>
      <c r="C227" s="560"/>
      <c r="D227" s="560"/>
      <c r="E227" s="560"/>
      <c r="F227" s="560"/>
      <c r="G227" s="560"/>
      <c r="H227" s="560"/>
      <c r="I227" s="560"/>
      <c r="J227" s="706"/>
      <c r="K227" s="706"/>
      <c r="L227" s="706"/>
      <c r="Q227" s="706"/>
    </row>
    <row r="228" spans="1:17">
      <c r="A228" s="558"/>
      <c r="B228" s="559"/>
      <c r="C228" s="560"/>
      <c r="D228" s="560"/>
      <c r="E228" s="560"/>
      <c r="F228" s="560"/>
      <c r="G228" s="560"/>
      <c r="H228" s="560"/>
      <c r="I228" s="560"/>
      <c r="J228" s="706"/>
      <c r="K228" s="706"/>
      <c r="L228" s="706"/>
      <c r="Q228" s="706"/>
    </row>
    <row r="229" spans="1:17">
      <c r="A229" s="558"/>
      <c r="B229" s="559"/>
      <c r="C229" s="560"/>
      <c r="D229" s="560"/>
      <c r="E229" s="560"/>
      <c r="F229" s="560"/>
      <c r="G229" s="560"/>
      <c r="H229" s="560"/>
      <c r="I229" s="560"/>
      <c r="J229" s="706"/>
      <c r="K229" s="706"/>
      <c r="L229" s="706"/>
      <c r="Q229" s="706"/>
    </row>
    <row r="230" spans="1:17">
      <c r="A230" s="558"/>
      <c r="B230" s="559"/>
      <c r="C230" s="560"/>
      <c r="D230" s="560"/>
      <c r="E230" s="560"/>
      <c r="F230" s="560"/>
      <c r="G230" s="560"/>
      <c r="H230" s="560"/>
      <c r="I230" s="560"/>
      <c r="J230" s="706"/>
      <c r="K230" s="706"/>
      <c r="L230" s="706"/>
      <c r="Q230" s="706"/>
    </row>
    <row r="231" spans="1:17">
      <c r="A231" s="558"/>
      <c r="B231" s="559"/>
      <c r="C231" s="560"/>
      <c r="D231" s="560"/>
      <c r="E231" s="560"/>
      <c r="F231" s="560"/>
      <c r="G231" s="560"/>
      <c r="H231" s="560"/>
      <c r="I231" s="560"/>
      <c r="J231" s="706"/>
      <c r="K231" s="706"/>
      <c r="L231" s="706"/>
      <c r="Q231" s="706"/>
    </row>
    <row r="232" spans="1:17">
      <c r="A232" s="558"/>
      <c r="B232" s="559"/>
      <c r="C232" s="560"/>
      <c r="D232" s="560"/>
      <c r="E232" s="560"/>
      <c r="F232" s="560"/>
      <c r="G232" s="560"/>
      <c r="H232" s="560"/>
      <c r="I232" s="560"/>
      <c r="J232" s="706"/>
      <c r="K232" s="706"/>
      <c r="L232" s="706"/>
      <c r="Q232" s="706"/>
    </row>
    <row r="233" spans="1:17">
      <c r="A233" s="558"/>
      <c r="B233" s="559"/>
      <c r="C233" s="560"/>
      <c r="D233" s="560"/>
      <c r="E233" s="560"/>
      <c r="F233" s="560"/>
      <c r="G233" s="560"/>
      <c r="H233" s="560"/>
      <c r="I233" s="560"/>
      <c r="J233" s="706"/>
      <c r="K233" s="706"/>
      <c r="L233" s="706"/>
      <c r="Q233" s="706"/>
    </row>
    <row r="234" spans="1:17">
      <c r="A234" s="558"/>
      <c r="B234" s="559"/>
      <c r="C234" s="560"/>
      <c r="D234" s="560"/>
      <c r="E234" s="560"/>
      <c r="F234" s="560"/>
      <c r="G234" s="560"/>
      <c r="H234" s="560"/>
      <c r="I234" s="560"/>
      <c r="J234" s="706"/>
      <c r="K234" s="706"/>
      <c r="L234" s="706"/>
      <c r="Q234" s="706"/>
    </row>
    <row r="235" spans="1:17">
      <c r="A235" s="558"/>
      <c r="B235" s="559"/>
      <c r="C235" s="560"/>
      <c r="D235" s="560"/>
      <c r="E235" s="560"/>
      <c r="F235" s="560"/>
      <c r="G235" s="560"/>
      <c r="H235" s="560"/>
      <c r="I235" s="560"/>
      <c r="J235" s="706"/>
      <c r="K235" s="706"/>
      <c r="L235" s="706"/>
      <c r="Q235" s="706"/>
    </row>
    <row r="236" spans="1:17">
      <c r="A236" s="558"/>
      <c r="B236" s="562"/>
      <c r="C236" s="562"/>
      <c r="D236" s="704"/>
      <c r="E236" s="704"/>
      <c r="F236" s="704"/>
      <c r="G236" s="562"/>
      <c r="H236" s="562"/>
      <c r="I236" s="562"/>
      <c r="J236" s="562"/>
      <c r="K236" s="706"/>
      <c r="L236" s="706"/>
      <c r="Q236" s="706"/>
    </row>
    <row r="237" spans="1:17">
      <c r="A237" s="558"/>
      <c r="B237" s="562"/>
      <c r="C237" s="562"/>
      <c r="D237" s="704"/>
      <c r="E237" s="704"/>
      <c r="F237" s="704"/>
      <c r="G237" s="562"/>
      <c r="H237" s="562"/>
      <c r="I237" s="562"/>
      <c r="J237" s="562"/>
      <c r="K237" s="706"/>
      <c r="L237" s="706"/>
      <c r="Q237" s="706"/>
    </row>
    <row r="238" spans="1:17">
      <c r="A238" s="558"/>
      <c r="B238" s="562"/>
      <c r="C238" s="562"/>
      <c r="D238" s="704"/>
      <c r="E238" s="704"/>
      <c r="F238" s="704"/>
      <c r="G238" s="562"/>
      <c r="H238" s="562"/>
      <c r="I238" s="562"/>
      <c r="J238" s="562"/>
      <c r="K238" s="706"/>
      <c r="L238" s="706"/>
      <c r="Q238" s="706"/>
    </row>
    <row r="239" spans="1:17">
      <c r="A239" s="558"/>
      <c r="B239" s="562"/>
      <c r="C239" s="562"/>
      <c r="D239" s="704"/>
      <c r="E239" s="704"/>
      <c r="F239" s="704"/>
      <c r="G239" s="562"/>
      <c r="H239" s="562"/>
      <c r="I239" s="562"/>
      <c r="J239" s="562"/>
      <c r="K239" s="706"/>
      <c r="L239" s="706"/>
      <c r="Q239" s="706"/>
    </row>
    <row r="240" spans="1:17">
      <c r="A240" s="558"/>
      <c r="B240" s="562"/>
      <c r="C240" s="562"/>
      <c r="D240" s="704"/>
      <c r="E240" s="704"/>
      <c r="F240" s="704"/>
      <c r="G240" s="562"/>
      <c r="H240" s="562"/>
      <c r="I240" s="562"/>
      <c r="J240" s="562"/>
      <c r="K240" s="706"/>
      <c r="L240" s="706"/>
      <c r="Q240" s="706"/>
    </row>
    <row r="241" spans="1:17">
      <c r="A241" s="558"/>
      <c r="B241" s="562"/>
      <c r="C241" s="562"/>
      <c r="D241" s="704"/>
      <c r="E241" s="704"/>
      <c r="F241" s="704"/>
      <c r="G241" s="562"/>
      <c r="H241" s="562"/>
      <c r="I241" s="562"/>
      <c r="J241" s="562"/>
      <c r="K241" s="706"/>
      <c r="L241" s="706"/>
      <c r="Q241" s="706"/>
    </row>
    <row r="242" spans="1:17">
      <c r="A242" s="558"/>
      <c r="B242" s="562"/>
      <c r="C242" s="562"/>
      <c r="D242" s="704"/>
      <c r="E242" s="704"/>
      <c r="F242" s="704"/>
      <c r="G242" s="562"/>
      <c r="H242" s="562"/>
      <c r="I242" s="562"/>
      <c r="J242" s="562"/>
      <c r="K242" s="706"/>
      <c r="L242" s="706"/>
      <c r="Q242" s="706"/>
    </row>
    <row r="243" spans="1:17">
      <c r="A243" s="558"/>
      <c r="B243" s="562"/>
      <c r="C243" s="562"/>
      <c r="D243" s="704"/>
      <c r="E243" s="704"/>
      <c r="F243" s="704"/>
      <c r="G243" s="562"/>
      <c r="H243" s="562"/>
      <c r="I243" s="562"/>
      <c r="J243" s="562"/>
      <c r="K243" s="706"/>
      <c r="L243" s="706"/>
      <c r="Q243" s="706"/>
    </row>
    <row r="244" spans="1:17">
      <c r="A244" s="558"/>
      <c r="B244" s="562"/>
      <c r="C244" s="562"/>
      <c r="D244" s="704"/>
      <c r="E244" s="704"/>
      <c r="F244" s="704"/>
      <c r="G244" s="562"/>
      <c r="H244" s="562"/>
      <c r="I244" s="562"/>
      <c r="J244" s="562"/>
      <c r="K244" s="706"/>
      <c r="L244" s="706"/>
      <c r="Q244" s="706"/>
    </row>
    <row r="245" spans="1:17">
      <c r="A245" s="558"/>
      <c r="B245" s="562"/>
      <c r="C245" s="562"/>
      <c r="D245" s="704"/>
      <c r="E245" s="704"/>
      <c r="F245" s="704"/>
      <c r="G245" s="562"/>
      <c r="H245" s="562"/>
      <c r="I245" s="562"/>
      <c r="J245" s="562"/>
      <c r="K245" s="706"/>
      <c r="L245" s="706"/>
      <c r="Q245" s="706"/>
    </row>
    <row r="246" spans="1:17">
      <c r="A246" s="558"/>
      <c r="B246" s="562"/>
      <c r="C246" s="562"/>
      <c r="D246" s="704"/>
      <c r="E246" s="704"/>
      <c r="F246" s="704"/>
      <c r="G246" s="562"/>
      <c r="H246" s="562"/>
      <c r="I246" s="562"/>
      <c r="J246" s="562"/>
      <c r="K246" s="706"/>
      <c r="L246" s="706"/>
      <c r="Q246" s="706"/>
    </row>
    <row r="247" spans="1:17">
      <c r="A247" s="558"/>
      <c r="B247" s="562"/>
      <c r="C247" s="562"/>
      <c r="D247" s="704"/>
      <c r="E247" s="704"/>
      <c r="F247" s="704"/>
      <c r="G247" s="562"/>
      <c r="H247" s="562"/>
      <c r="I247" s="562"/>
      <c r="J247" s="562"/>
      <c r="K247" s="706"/>
      <c r="L247" s="706"/>
      <c r="Q247" s="706"/>
    </row>
    <row r="248" spans="1:17">
      <c r="A248" s="558"/>
      <c r="B248" s="562"/>
      <c r="C248" s="562"/>
      <c r="D248" s="704"/>
      <c r="E248" s="704"/>
      <c r="F248" s="704"/>
      <c r="G248" s="562"/>
      <c r="H248" s="562"/>
      <c r="I248" s="562"/>
      <c r="J248" s="562"/>
      <c r="K248" s="706"/>
      <c r="L248" s="706"/>
      <c r="Q248" s="706"/>
    </row>
    <row r="249" spans="1:17">
      <c r="A249" s="550"/>
      <c r="B249" s="562"/>
      <c r="C249" s="562"/>
      <c r="D249" s="704"/>
      <c r="E249" s="704"/>
      <c r="F249" s="704"/>
      <c r="G249" s="562"/>
      <c r="H249" s="562"/>
      <c r="I249" s="562"/>
      <c r="J249" s="562"/>
      <c r="K249" s="562"/>
      <c r="L249" s="562"/>
      <c r="Q249" s="562"/>
    </row>
    <row r="250" spans="1:17">
      <c r="A250" s="550"/>
      <c r="B250" s="562"/>
      <c r="C250" s="562"/>
      <c r="D250" s="704"/>
      <c r="E250" s="704"/>
      <c r="F250" s="704"/>
      <c r="G250" s="562"/>
      <c r="H250" s="562"/>
      <c r="I250" s="562"/>
      <c r="J250" s="562"/>
      <c r="K250" s="562"/>
      <c r="L250" s="562"/>
      <c r="Q250" s="562"/>
    </row>
    <row r="251" spans="1:17">
      <c r="A251" s="550"/>
      <c r="B251" s="562"/>
      <c r="C251" s="562"/>
      <c r="D251" s="704"/>
      <c r="E251" s="704"/>
      <c r="F251" s="704"/>
      <c r="G251" s="562"/>
      <c r="H251" s="562"/>
      <c r="I251" s="562"/>
      <c r="J251" s="562"/>
      <c r="K251" s="562"/>
      <c r="L251" s="562"/>
      <c r="Q251" s="562"/>
    </row>
    <row r="252" spans="1:17">
      <c r="A252" s="550"/>
      <c r="B252" s="562"/>
      <c r="C252" s="562"/>
      <c r="D252" s="704"/>
      <c r="E252" s="704"/>
      <c r="F252" s="704"/>
      <c r="G252" s="562"/>
      <c r="H252" s="562"/>
      <c r="I252" s="562"/>
      <c r="J252" s="562"/>
      <c r="K252" s="562"/>
      <c r="L252" s="562"/>
      <c r="Q252" s="562"/>
    </row>
    <row r="253" spans="1:17">
      <c r="A253" s="550"/>
      <c r="B253" s="562"/>
      <c r="C253" s="562"/>
      <c r="D253" s="704"/>
      <c r="E253" s="704"/>
      <c r="F253" s="704"/>
      <c r="G253" s="562"/>
      <c r="H253" s="562"/>
      <c r="I253" s="562"/>
      <c r="J253" s="562"/>
      <c r="K253" s="562"/>
      <c r="L253" s="562"/>
      <c r="Q253" s="562"/>
    </row>
    <row r="254" spans="1:17">
      <c r="A254" s="550"/>
      <c r="B254" s="562"/>
      <c r="C254" s="562"/>
      <c r="D254" s="704"/>
      <c r="E254" s="704"/>
      <c r="F254" s="704"/>
      <c r="G254" s="562"/>
      <c r="H254" s="562"/>
      <c r="I254" s="562"/>
      <c r="J254" s="562"/>
      <c r="K254" s="562"/>
      <c r="L254" s="562"/>
      <c r="Q254" s="562"/>
    </row>
    <row r="255" spans="1:17">
      <c r="A255" s="550"/>
      <c r="B255" s="562"/>
      <c r="C255" s="562"/>
      <c r="D255" s="704"/>
      <c r="E255" s="704"/>
      <c r="F255" s="704"/>
      <c r="G255" s="562"/>
      <c r="H255" s="562"/>
      <c r="I255" s="562"/>
      <c r="J255" s="562"/>
      <c r="K255" s="562"/>
      <c r="L255" s="562"/>
      <c r="Q255" s="562"/>
    </row>
    <row r="256" spans="1:17">
      <c r="A256" s="550"/>
      <c r="B256" s="562"/>
      <c r="C256" s="562"/>
      <c r="D256" s="704"/>
      <c r="E256" s="704"/>
      <c r="F256" s="704"/>
      <c r="G256" s="562"/>
      <c r="H256" s="562"/>
      <c r="I256" s="562"/>
      <c r="J256" s="562"/>
      <c r="K256" s="562"/>
      <c r="L256" s="562"/>
      <c r="Q256" s="562"/>
    </row>
    <row r="257" spans="1:17">
      <c r="A257" s="550"/>
      <c r="B257" s="562"/>
      <c r="C257" s="562"/>
      <c r="D257" s="704"/>
      <c r="E257" s="704"/>
      <c r="F257" s="704"/>
      <c r="G257" s="562"/>
      <c r="H257" s="562"/>
      <c r="I257" s="562"/>
      <c r="J257" s="562"/>
      <c r="K257" s="562"/>
      <c r="L257" s="562"/>
      <c r="Q257" s="562"/>
    </row>
    <row r="258" spans="1:17">
      <c r="A258" s="550"/>
      <c r="B258" s="562"/>
      <c r="C258" s="562"/>
      <c r="D258" s="704"/>
      <c r="E258" s="704"/>
      <c r="F258" s="704"/>
      <c r="G258" s="562"/>
      <c r="H258" s="562"/>
      <c r="I258" s="562"/>
      <c r="J258" s="562"/>
      <c r="K258" s="562"/>
      <c r="L258" s="562"/>
      <c r="Q258" s="562"/>
    </row>
    <row r="259" spans="1:17">
      <c r="A259" s="550"/>
      <c r="B259" s="562"/>
      <c r="C259" s="562"/>
      <c r="D259" s="704"/>
      <c r="E259" s="704"/>
      <c r="F259" s="704"/>
      <c r="G259" s="562"/>
      <c r="H259" s="562"/>
      <c r="I259" s="562"/>
      <c r="J259" s="562"/>
      <c r="K259" s="562"/>
      <c r="L259" s="562"/>
      <c r="Q259" s="562"/>
    </row>
    <row r="260" spans="1:17">
      <c r="A260" s="550"/>
      <c r="B260" s="562"/>
      <c r="C260" s="562"/>
      <c r="D260" s="704"/>
      <c r="E260" s="704"/>
      <c r="F260" s="704"/>
      <c r="G260" s="562"/>
      <c r="H260" s="562"/>
      <c r="I260" s="562"/>
      <c r="J260" s="562"/>
      <c r="K260" s="562"/>
      <c r="L260" s="562"/>
      <c r="Q260" s="562"/>
    </row>
    <row r="261" spans="1:17">
      <c r="A261" s="550"/>
      <c r="B261" s="562"/>
      <c r="C261" s="562"/>
      <c r="D261" s="704"/>
      <c r="E261" s="704"/>
      <c r="F261" s="704"/>
      <c r="G261" s="562"/>
      <c r="H261" s="562"/>
      <c r="I261" s="562"/>
      <c r="J261" s="562"/>
      <c r="K261" s="562"/>
      <c r="L261" s="562"/>
      <c r="Q261" s="562"/>
    </row>
    <row r="262" spans="1:17">
      <c r="A262" s="550"/>
      <c r="B262" s="562"/>
      <c r="C262" s="562"/>
      <c r="D262" s="704"/>
      <c r="E262" s="704"/>
      <c r="F262" s="704"/>
      <c r="G262" s="562"/>
      <c r="H262" s="562"/>
      <c r="I262" s="562"/>
      <c r="J262" s="562"/>
      <c r="K262" s="562"/>
      <c r="L262" s="562"/>
      <c r="Q262" s="562"/>
    </row>
    <row r="263" spans="1:17">
      <c r="A263" s="550"/>
      <c r="B263" s="562"/>
      <c r="C263" s="562"/>
      <c r="D263" s="704"/>
      <c r="E263" s="704"/>
      <c r="F263" s="704"/>
      <c r="G263" s="562"/>
      <c r="H263" s="562"/>
      <c r="I263" s="562"/>
      <c r="J263" s="562"/>
      <c r="K263" s="562"/>
      <c r="L263" s="562"/>
      <c r="Q263" s="562"/>
    </row>
    <row r="264" spans="1:17">
      <c r="A264" s="550"/>
      <c r="B264" s="562"/>
      <c r="C264" s="562"/>
      <c r="D264" s="704"/>
      <c r="E264" s="704"/>
      <c r="F264" s="704"/>
      <c r="G264" s="562"/>
      <c r="H264" s="562"/>
      <c r="I264" s="562"/>
      <c r="J264" s="562"/>
      <c r="K264" s="562"/>
      <c r="L264" s="562"/>
      <c r="Q264" s="562"/>
    </row>
    <row r="265" spans="1:17">
      <c r="A265" s="550"/>
      <c r="B265" s="562"/>
      <c r="C265" s="562"/>
      <c r="D265" s="704"/>
      <c r="E265" s="704"/>
      <c r="F265" s="704"/>
      <c r="G265" s="562"/>
      <c r="H265" s="562"/>
      <c r="I265" s="562"/>
      <c r="J265" s="562"/>
      <c r="K265" s="562"/>
      <c r="L265" s="562"/>
      <c r="Q265" s="562"/>
    </row>
    <row r="266" spans="1:17">
      <c r="A266" s="550"/>
      <c r="B266" s="562"/>
      <c r="C266" s="562"/>
      <c r="D266" s="704"/>
      <c r="E266" s="704"/>
      <c r="F266" s="704"/>
      <c r="G266" s="562"/>
      <c r="H266" s="562"/>
      <c r="I266" s="562"/>
      <c r="J266" s="562"/>
      <c r="K266" s="562"/>
      <c r="L266" s="562"/>
      <c r="Q266" s="562"/>
    </row>
    <row r="267" spans="1:17">
      <c r="A267" s="550"/>
      <c r="B267" s="562"/>
      <c r="C267" s="562"/>
      <c r="D267" s="704"/>
      <c r="E267" s="704"/>
      <c r="F267" s="704"/>
      <c r="G267" s="562"/>
      <c r="H267" s="562"/>
      <c r="I267" s="562"/>
      <c r="J267" s="562"/>
      <c r="K267" s="562"/>
      <c r="L267" s="562"/>
      <c r="Q267" s="562"/>
    </row>
    <row r="268" spans="1:17">
      <c r="A268" s="550"/>
      <c r="B268" s="562"/>
      <c r="C268" s="562"/>
      <c r="D268" s="704"/>
      <c r="E268" s="704"/>
      <c r="F268" s="704"/>
      <c r="G268" s="562"/>
      <c r="H268" s="562"/>
      <c r="I268" s="562"/>
      <c r="J268" s="562"/>
      <c r="K268" s="562"/>
      <c r="L268" s="562"/>
      <c r="Q268" s="562"/>
    </row>
    <row r="269" spans="1:17">
      <c r="A269" s="550"/>
      <c r="B269" s="562"/>
      <c r="C269" s="562"/>
      <c r="D269" s="704"/>
      <c r="E269" s="704"/>
      <c r="F269" s="704"/>
      <c r="G269" s="562"/>
      <c r="H269" s="562"/>
      <c r="I269" s="562"/>
      <c r="J269" s="562"/>
      <c r="K269" s="562"/>
      <c r="L269" s="562"/>
      <c r="Q269" s="562"/>
    </row>
    <row r="270" spans="1:17">
      <c r="A270" s="550"/>
      <c r="B270" s="562"/>
      <c r="C270" s="562"/>
      <c r="D270" s="704"/>
      <c r="E270" s="704"/>
      <c r="F270" s="704"/>
      <c r="G270" s="562"/>
      <c r="H270" s="562"/>
      <c r="I270" s="562"/>
      <c r="J270" s="562"/>
      <c r="K270" s="562"/>
      <c r="L270" s="562"/>
      <c r="Q270" s="562"/>
    </row>
    <row r="271" spans="1:17">
      <c r="A271" s="550"/>
      <c r="B271" s="562"/>
      <c r="C271" s="562"/>
      <c r="D271" s="704"/>
      <c r="E271" s="704"/>
      <c r="F271" s="704"/>
      <c r="G271" s="562"/>
      <c r="H271" s="562"/>
      <c r="I271" s="562"/>
      <c r="J271" s="562"/>
      <c r="K271" s="562"/>
      <c r="L271" s="562"/>
      <c r="Q271" s="562"/>
    </row>
    <row r="272" spans="1:17">
      <c r="A272" s="550"/>
      <c r="B272" s="562"/>
      <c r="C272" s="562"/>
      <c r="D272" s="704"/>
      <c r="E272" s="704"/>
      <c r="F272" s="704"/>
      <c r="G272" s="562"/>
      <c r="H272" s="562"/>
      <c r="I272" s="562"/>
      <c r="J272" s="562"/>
      <c r="K272" s="562"/>
      <c r="L272" s="562"/>
      <c r="Q272" s="562"/>
    </row>
    <row r="273" spans="1:17">
      <c r="A273" s="550"/>
      <c r="B273" s="562"/>
      <c r="C273" s="562"/>
      <c r="D273" s="704"/>
      <c r="E273" s="704"/>
      <c r="F273" s="704"/>
      <c r="G273" s="562"/>
      <c r="H273" s="562"/>
      <c r="I273" s="562"/>
      <c r="J273" s="562"/>
      <c r="K273" s="562"/>
      <c r="L273" s="562"/>
      <c r="Q273" s="562"/>
    </row>
    <row r="274" spans="1:17">
      <c r="A274" s="550"/>
      <c r="B274" s="562"/>
      <c r="C274" s="562"/>
      <c r="D274" s="704"/>
      <c r="E274" s="704"/>
      <c r="F274" s="704"/>
      <c r="G274" s="562"/>
      <c r="H274" s="562"/>
      <c r="I274" s="562"/>
      <c r="J274" s="562"/>
      <c r="K274" s="562"/>
      <c r="L274" s="562"/>
      <c r="Q274" s="562"/>
    </row>
    <row r="275" spans="1:17">
      <c r="A275" s="550"/>
      <c r="B275" s="562"/>
      <c r="C275" s="562"/>
      <c r="D275" s="704"/>
      <c r="E275" s="704"/>
      <c r="F275" s="704"/>
      <c r="G275" s="562"/>
      <c r="H275" s="562"/>
      <c r="I275" s="562"/>
      <c r="J275" s="562"/>
      <c r="K275" s="562"/>
      <c r="L275" s="562"/>
      <c r="Q275" s="562"/>
    </row>
    <row r="276" spans="1:17">
      <c r="A276" s="550"/>
      <c r="B276" s="562"/>
      <c r="C276" s="562"/>
      <c r="D276" s="704"/>
      <c r="E276" s="704"/>
      <c r="F276" s="704"/>
      <c r="G276" s="562"/>
      <c r="H276" s="562"/>
      <c r="I276" s="562"/>
      <c r="J276" s="562"/>
      <c r="K276" s="562"/>
      <c r="L276" s="562"/>
      <c r="Q276" s="562"/>
    </row>
    <row r="277" spans="1:17">
      <c r="A277" s="550"/>
      <c r="B277" s="562"/>
      <c r="C277" s="562"/>
      <c r="D277" s="704"/>
      <c r="E277" s="704"/>
      <c r="F277" s="704"/>
      <c r="G277" s="562"/>
      <c r="H277" s="562"/>
      <c r="I277" s="562"/>
      <c r="J277" s="562"/>
      <c r="K277" s="562"/>
      <c r="L277" s="562"/>
      <c r="Q277" s="562"/>
    </row>
    <row r="278" spans="1:17">
      <c r="A278" s="550"/>
      <c r="B278" s="562"/>
      <c r="C278" s="562"/>
      <c r="D278" s="704"/>
      <c r="E278" s="704"/>
      <c r="F278" s="704"/>
      <c r="G278" s="562"/>
      <c r="H278" s="562"/>
      <c r="I278" s="562"/>
      <c r="J278" s="562"/>
      <c r="K278" s="562"/>
      <c r="L278" s="562"/>
      <c r="Q278" s="562"/>
    </row>
    <row r="279" spans="1:17">
      <c r="A279" s="550"/>
      <c r="B279" s="562"/>
      <c r="C279" s="562"/>
      <c r="D279" s="704"/>
      <c r="E279" s="704"/>
      <c r="F279" s="704"/>
      <c r="G279" s="562"/>
      <c r="H279" s="562"/>
      <c r="I279" s="562"/>
      <c r="J279" s="562"/>
      <c r="K279" s="562"/>
      <c r="L279" s="562"/>
      <c r="Q279" s="562"/>
    </row>
    <row r="280" spans="1:17">
      <c r="A280" s="550"/>
      <c r="B280" s="562"/>
      <c r="C280" s="562"/>
      <c r="D280" s="704"/>
      <c r="E280" s="704"/>
      <c r="F280" s="704"/>
      <c r="G280" s="562"/>
      <c r="H280" s="562"/>
      <c r="I280" s="562"/>
      <c r="J280" s="562"/>
      <c r="K280" s="562"/>
      <c r="L280" s="562"/>
      <c r="Q280" s="562"/>
    </row>
    <row r="281" spans="1:17">
      <c r="A281" s="550"/>
      <c r="B281" s="562"/>
      <c r="C281" s="562"/>
      <c r="D281" s="704"/>
      <c r="E281" s="704"/>
      <c r="F281" s="704"/>
      <c r="G281" s="562"/>
      <c r="H281" s="562"/>
      <c r="I281" s="562"/>
      <c r="J281" s="562"/>
      <c r="K281" s="562"/>
      <c r="L281" s="562"/>
      <c r="Q281" s="562"/>
    </row>
    <row r="282" spans="1:17">
      <c r="A282" s="550"/>
      <c r="B282" s="562"/>
      <c r="C282" s="562"/>
      <c r="D282" s="704"/>
      <c r="E282" s="704"/>
      <c r="F282" s="704"/>
      <c r="G282" s="562"/>
      <c r="H282" s="562"/>
      <c r="I282" s="562"/>
      <c r="J282" s="562"/>
      <c r="K282" s="562"/>
      <c r="L282" s="562"/>
      <c r="Q282" s="562"/>
    </row>
    <row r="283" spans="1:17">
      <c r="A283" s="550"/>
      <c r="B283" s="562"/>
      <c r="C283" s="562"/>
      <c r="D283" s="704"/>
      <c r="E283" s="704"/>
      <c r="F283" s="704"/>
      <c r="G283" s="562"/>
      <c r="H283" s="562"/>
      <c r="I283" s="562"/>
      <c r="J283" s="562"/>
      <c r="K283" s="562"/>
      <c r="L283" s="562"/>
      <c r="Q283" s="562"/>
    </row>
    <row r="284" spans="1:17">
      <c r="A284" s="550"/>
      <c r="B284" s="562"/>
      <c r="C284" s="562"/>
      <c r="D284" s="704"/>
      <c r="E284" s="704"/>
      <c r="F284" s="704"/>
      <c r="G284" s="562"/>
      <c r="H284" s="562"/>
      <c r="I284" s="562"/>
      <c r="J284" s="562"/>
      <c r="K284" s="562"/>
      <c r="L284" s="562"/>
      <c r="Q284" s="562"/>
    </row>
    <row r="285" spans="1:17">
      <c r="A285" s="550"/>
      <c r="B285" s="562"/>
      <c r="C285" s="562"/>
      <c r="D285" s="704"/>
      <c r="E285" s="704"/>
      <c r="F285" s="704"/>
      <c r="G285" s="562"/>
      <c r="H285" s="562"/>
      <c r="I285" s="562"/>
      <c r="J285" s="562"/>
      <c r="K285" s="562"/>
      <c r="L285" s="562"/>
      <c r="Q285" s="562"/>
    </row>
    <row r="286" spans="1:17">
      <c r="A286" s="550"/>
      <c r="B286" s="562"/>
      <c r="C286" s="562"/>
      <c r="D286" s="704"/>
      <c r="E286" s="704"/>
      <c r="F286" s="704"/>
      <c r="G286" s="562"/>
      <c r="H286" s="562"/>
      <c r="I286" s="562"/>
      <c r="J286" s="562"/>
      <c r="K286" s="562"/>
      <c r="L286" s="562"/>
      <c r="Q286" s="562"/>
    </row>
    <row r="287" spans="1:17">
      <c r="A287" s="550"/>
      <c r="B287" s="562"/>
      <c r="C287" s="562"/>
      <c r="D287" s="704"/>
      <c r="E287" s="704"/>
      <c r="F287" s="704"/>
      <c r="G287" s="562"/>
      <c r="H287" s="562"/>
      <c r="I287" s="562"/>
      <c r="J287" s="562"/>
      <c r="K287" s="562"/>
      <c r="L287" s="562"/>
      <c r="Q287" s="562"/>
    </row>
    <row r="288" spans="1:17">
      <c r="A288" s="550"/>
      <c r="B288" s="562"/>
      <c r="C288" s="562"/>
      <c r="D288" s="704"/>
      <c r="E288" s="704"/>
      <c r="F288" s="704"/>
      <c r="G288" s="562"/>
      <c r="H288" s="562"/>
      <c r="I288" s="562"/>
      <c r="J288" s="562"/>
      <c r="K288" s="562"/>
      <c r="L288" s="562"/>
      <c r="Q288" s="562"/>
    </row>
    <row r="289" spans="1:17">
      <c r="A289" s="550"/>
      <c r="B289" s="562"/>
      <c r="C289" s="562"/>
      <c r="D289" s="704"/>
      <c r="E289" s="704"/>
      <c r="F289" s="704"/>
      <c r="G289" s="562"/>
      <c r="H289" s="562"/>
      <c r="I289" s="562"/>
      <c r="J289" s="562"/>
      <c r="K289" s="562"/>
      <c r="L289" s="562"/>
      <c r="Q289" s="562"/>
    </row>
    <row r="290" spans="1:17">
      <c r="A290" s="550"/>
      <c r="B290" s="562"/>
      <c r="C290" s="562"/>
      <c r="D290" s="704"/>
      <c r="E290" s="704"/>
      <c r="F290" s="704"/>
      <c r="G290" s="562"/>
      <c r="H290" s="562"/>
      <c r="I290" s="562"/>
      <c r="J290" s="562"/>
      <c r="K290" s="562"/>
      <c r="L290" s="562"/>
      <c r="Q290" s="562"/>
    </row>
    <row r="291" spans="1:17">
      <c r="A291" s="550"/>
      <c r="B291" s="562"/>
      <c r="C291" s="562"/>
      <c r="D291" s="704"/>
      <c r="E291" s="704"/>
      <c r="F291" s="704"/>
      <c r="G291" s="562"/>
      <c r="H291" s="562"/>
      <c r="I291" s="562"/>
      <c r="J291" s="562"/>
      <c r="K291" s="562"/>
      <c r="L291" s="562"/>
      <c r="Q291" s="562"/>
    </row>
    <row r="292" spans="1:17">
      <c r="A292" s="550"/>
      <c r="B292" s="562"/>
      <c r="C292" s="562"/>
      <c r="D292" s="704"/>
      <c r="E292" s="704"/>
      <c r="F292" s="704"/>
      <c r="G292" s="562"/>
      <c r="H292" s="562"/>
      <c r="I292" s="562"/>
      <c r="J292" s="562"/>
      <c r="K292" s="562"/>
      <c r="L292" s="562"/>
      <c r="Q292" s="562"/>
    </row>
    <row r="293" spans="1:17">
      <c r="A293" s="550"/>
      <c r="B293" s="562"/>
      <c r="C293" s="562"/>
      <c r="D293" s="704"/>
      <c r="E293" s="704"/>
      <c r="F293" s="704"/>
      <c r="G293" s="562"/>
      <c r="H293" s="562"/>
      <c r="I293" s="562"/>
      <c r="J293" s="562"/>
      <c r="K293" s="562"/>
      <c r="L293" s="562"/>
      <c r="Q293" s="562"/>
    </row>
    <row r="294" spans="1:17">
      <c r="A294" s="550"/>
      <c r="B294" s="562"/>
      <c r="C294" s="562"/>
      <c r="D294" s="704"/>
      <c r="E294" s="704"/>
      <c r="F294" s="704"/>
      <c r="G294" s="562"/>
      <c r="H294" s="562"/>
      <c r="I294" s="562"/>
      <c r="J294" s="562"/>
      <c r="K294" s="562"/>
      <c r="L294" s="562"/>
      <c r="Q294" s="562"/>
    </row>
    <row r="295" spans="1:17">
      <c r="A295" s="550"/>
      <c r="B295" s="562"/>
      <c r="C295" s="562"/>
      <c r="D295" s="704"/>
      <c r="E295" s="704"/>
      <c r="F295" s="704"/>
      <c r="G295" s="562"/>
      <c r="H295" s="562"/>
      <c r="I295" s="562"/>
      <c r="J295" s="562"/>
      <c r="K295" s="562"/>
      <c r="L295" s="562"/>
      <c r="Q295" s="562"/>
    </row>
    <row r="296" spans="1:17">
      <c r="A296" s="550"/>
      <c r="B296" s="562"/>
      <c r="C296" s="562"/>
      <c r="D296" s="704"/>
      <c r="E296" s="704"/>
      <c r="F296" s="704"/>
      <c r="G296" s="562"/>
      <c r="H296" s="562"/>
      <c r="I296" s="562"/>
      <c r="J296" s="562"/>
      <c r="K296" s="562"/>
      <c r="L296" s="562"/>
      <c r="Q296" s="562"/>
    </row>
    <row r="297" spans="1:17">
      <c r="A297" s="550"/>
      <c r="B297" s="562"/>
      <c r="C297" s="562"/>
      <c r="D297" s="704"/>
      <c r="E297" s="704"/>
      <c r="F297" s="704"/>
      <c r="G297" s="562"/>
      <c r="H297" s="562"/>
      <c r="I297" s="562"/>
      <c r="J297" s="562"/>
      <c r="K297" s="562"/>
      <c r="L297" s="562"/>
      <c r="Q297" s="562"/>
    </row>
    <row r="298" spans="1:17">
      <c r="A298" s="550"/>
      <c r="B298" s="562"/>
      <c r="C298" s="562"/>
      <c r="D298" s="704"/>
      <c r="E298" s="704"/>
      <c r="F298" s="704"/>
      <c r="G298" s="562"/>
      <c r="H298" s="562"/>
      <c r="I298" s="562"/>
      <c r="J298" s="562"/>
      <c r="K298" s="562"/>
      <c r="L298" s="562"/>
      <c r="Q298" s="562"/>
    </row>
    <row r="299" spans="1:17">
      <c r="A299" s="550"/>
      <c r="B299" s="562"/>
      <c r="C299" s="562"/>
      <c r="D299" s="704"/>
      <c r="E299" s="704"/>
      <c r="F299" s="704"/>
      <c r="G299" s="562"/>
      <c r="H299" s="562"/>
      <c r="I299" s="562"/>
      <c r="J299" s="562"/>
      <c r="K299" s="562"/>
      <c r="L299" s="562"/>
      <c r="Q299" s="562"/>
    </row>
    <row r="300" spans="1:17">
      <c r="A300" s="550"/>
      <c r="B300" s="562"/>
      <c r="C300" s="562"/>
      <c r="D300" s="704"/>
      <c r="E300" s="704"/>
      <c r="F300" s="704"/>
      <c r="G300" s="562"/>
      <c r="H300" s="562"/>
      <c r="I300" s="562"/>
      <c r="J300" s="562"/>
      <c r="K300" s="562"/>
      <c r="L300" s="562"/>
      <c r="Q300" s="562"/>
    </row>
  </sheetData>
  <mergeCells count="15">
    <mergeCell ref="B93:D93"/>
    <mergeCell ref="C6:D6"/>
    <mergeCell ref="B104:D104"/>
    <mergeCell ref="B171:C171"/>
    <mergeCell ref="B211:C211"/>
    <mergeCell ref="B199:C199"/>
    <mergeCell ref="B200:C200"/>
    <mergeCell ref="B203:C203"/>
    <mergeCell ref="B207:C207"/>
    <mergeCell ref="B208:C208"/>
    <mergeCell ref="B210:C210"/>
    <mergeCell ref="B169:D169"/>
    <mergeCell ref="B196:D196"/>
    <mergeCell ref="B206:C206"/>
    <mergeCell ref="B209:C209"/>
  </mergeCells>
  <dataValidations count="4">
    <dataValidation type="list" allowBlank="1" showInputMessage="1" showErrorMessage="1" promptTitle="Estacionamiento" prompt="Seleccione el tipo de estacionamiento" sqref="B107:B168">
      <formula1>$P$4:$P$5</formula1>
    </dataValidation>
    <dataValidation type="list" allowBlank="1" showInputMessage="1" showErrorMessage="1" promptTitle="Otros" prompt="Seleccione el tipo " sqref="B172:C195">
      <formula1>$Q$4:$Q$5</formula1>
    </dataValidation>
    <dataValidation type="list" errorStyle="information" allowBlank="1" showInputMessage="1" showErrorMessage="1" errorTitle="Cuidado!" error="Sólo seleccionar de la lista desplegable" promptTitle="Tipo de vivienda" prompt="Seleccionar el tipo de unidad" sqref="B9:B92">
      <formula1>$O$4:$O$6</formula1>
    </dataValidation>
    <dataValidation type="list" allowBlank="1" showInputMessage="1" showErrorMessage="1" promptTitle="Piso" prompt="Indicar el N° de piso" sqref="C9:C92">
      <formula1>#REF!</formula1>
    </dataValidation>
  </dataValidations>
  <pageMargins left="1.3779527559055118" right="0.98425196850393704" top="1.5748031496062993" bottom="0.98425196850393704" header="0" footer="0"/>
  <pageSetup paperSize="9" scale="54" fitToHeight="0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N65"/>
  <sheetViews>
    <sheetView showGridLines="0" view="pageBreakPreview" zoomScale="60" zoomScaleNormal="70" workbookViewId="0">
      <selection activeCell="B57" sqref="B57"/>
    </sheetView>
  </sheetViews>
  <sheetFormatPr baseColWidth="10" defaultColWidth="10.7109375" defaultRowHeight="15"/>
  <cols>
    <col min="1" max="1" width="4.28515625" style="153" customWidth="1"/>
    <col min="2" max="2" width="70.42578125" style="153" customWidth="1"/>
    <col min="3" max="3" width="9.42578125" style="419" customWidth="1"/>
    <col min="4" max="5" width="14.28515625" style="419" customWidth="1"/>
    <col min="6" max="6" width="11.7109375" style="153" bestFit="1" customWidth="1"/>
    <col min="7" max="7" width="13.28515625" style="153" bestFit="1" customWidth="1"/>
    <col min="8" max="8" width="11.42578125" style="153" customWidth="1"/>
    <col min="9" max="9" width="13.28515625" style="153" bestFit="1" customWidth="1"/>
    <col min="10" max="10" width="2.7109375" style="153" customWidth="1"/>
    <col min="11" max="11" width="2.28515625" style="153" customWidth="1"/>
    <col min="12" max="14" width="12" style="153" customWidth="1"/>
    <col min="15" max="16384" width="10.7109375" style="153"/>
  </cols>
  <sheetData>
    <row r="2" spans="2:14" ht="21">
      <c r="B2" s="988" t="s">
        <v>741</v>
      </c>
    </row>
    <row r="3" spans="2:14" ht="21">
      <c r="B3" s="987" t="s">
        <v>541</v>
      </c>
      <c r="C3" s="987" t="s">
        <v>540</v>
      </c>
      <c r="D3" s="417"/>
      <c r="E3" s="417"/>
    </row>
    <row r="4" spans="2:14">
      <c r="B4" s="154" t="s">
        <v>404</v>
      </c>
      <c r="C4" s="418"/>
      <c r="D4" s="418"/>
      <c r="E4" s="418"/>
    </row>
    <row r="5" spans="2:14" ht="15.75" thickBot="1"/>
    <row r="6" spans="2:14">
      <c r="B6" s="414" t="s">
        <v>407</v>
      </c>
      <c r="C6" s="888">
        <v>1880.43</v>
      </c>
      <c r="D6" s="435"/>
      <c r="E6" s="435"/>
      <c r="G6" s="390"/>
      <c r="H6" s="393"/>
    </row>
    <row r="7" spans="2:14">
      <c r="B7" s="415" t="s">
        <v>408</v>
      </c>
      <c r="C7" s="693">
        <v>856.18</v>
      </c>
      <c r="D7" s="435"/>
      <c r="E7" s="435"/>
      <c r="G7" s="390"/>
      <c r="H7" s="393"/>
    </row>
    <row r="8" spans="2:14" ht="15.75" thickBot="1">
      <c r="B8" s="956" t="s">
        <v>735</v>
      </c>
      <c r="C8" s="693">
        <v>6569.1</v>
      </c>
      <c r="D8" s="435"/>
      <c r="E8" s="435"/>
      <c r="F8" s="364"/>
      <c r="G8" s="390"/>
    </row>
    <row r="9" spans="2:14" ht="15.75" thickBot="1">
      <c r="B9" s="394" t="s">
        <v>222</v>
      </c>
      <c r="C9" s="889">
        <f>SUM(C6:C8)</f>
        <v>9305.7100000000009</v>
      </c>
      <c r="D9" s="436"/>
      <c r="E9" s="443"/>
      <c r="G9" s="425"/>
      <c r="H9" s="395"/>
    </row>
    <row r="10" spans="2:14" ht="15.75" thickBot="1">
      <c r="H10" s="396"/>
    </row>
    <row r="11" spans="2:14" ht="15.75" thickBot="1">
      <c r="B11" s="400" t="s">
        <v>468</v>
      </c>
      <c r="C11" s="412" t="s">
        <v>410</v>
      </c>
      <c r="D11" s="412" t="s">
        <v>411</v>
      </c>
      <c r="E11" s="412" t="s">
        <v>415</v>
      </c>
      <c r="F11" s="426" t="s">
        <v>412</v>
      </c>
      <c r="G11" s="413" t="s">
        <v>413</v>
      </c>
      <c r="H11" s="426" t="s">
        <v>3</v>
      </c>
      <c r="I11" s="397" t="s">
        <v>414</v>
      </c>
      <c r="L11" s="1032" t="s">
        <v>474</v>
      </c>
      <c r="M11" s="1032"/>
      <c r="N11" s="1033"/>
    </row>
    <row r="12" spans="2:14">
      <c r="B12" s="699" t="s">
        <v>555</v>
      </c>
      <c r="C12" s="420"/>
      <c r="D12" s="420"/>
      <c r="E12" s="420"/>
      <c r="F12" s="158"/>
      <c r="G12" s="427"/>
      <c r="H12" s="427"/>
      <c r="I12" s="427"/>
      <c r="L12" s="498"/>
      <c r="M12" s="427"/>
      <c r="N12" s="499"/>
    </row>
    <row r="13" spans="2:14">
      <c r="B13" s="700" t="s">
        <v>409</v>
      </c>
      <c r="C13" s="695" t="s">
        <v>392</v>
      </c>
      <c r="D13" s="434">
        <v>1</v>
      </c>
      <c r="E13" s="696"/>
      <c r="F13" s="434">
        <v>3000</v>
      </c>
      <c r="G13" s="697">
        <f>F13*D13</f>
        <v>3000</v>
      </c>
      <c r="H13" s="697">
        <f>G13*0.18</f>
        <v>540</v>
      </c>
      <c r="I13" s="697">
        <f>H13+G13</f>
        <v>3540</v>
      </c>
      <c r="J13" s="698"/>
      <c r="K13" s="698"/>
      <c r="L13" s="434">
        <f>G13/$C$6</f>
        <v>1.5953797801566663</v>
      </c>
      <c r="M13" s="500">
        <f>H13/$C$6</f>
        <v>0.28716836042819993</v>
      </c>
      <c r="N13" s="506">
        <f>I13/$C$6</f>
        <v>1.8825481405848661</v>
      </c>
    </row>
    <row r="14" spans="2:14">
      <c r="B14" s="700" t="s">
        <v>416</v>
      </c>
      <c r="C14" s="695" t="s">
        <v>392</v>
      </c>
      <c r="D14" s="434">
        <v>1</v>
      </c>
      <c r="E14" s="696"/>
      <c r="F14" s="434">
        <v>47979.16</v>
      </c>
      <c r="G14" s="697">
        <f>F14*D14</f>
        <v>47979.16</v>
      </c>
      <c r="H14" s="697">
        <f t="shared" ref="H14:H19" si="0">G14*0.18</f>
        <v>8636.2488000000012</v>
      </c>
      <c r="I14" s="697">
        <f>H14+G14</f>
        <v>56615.408800000005</v>
      </c>
      <c r="J14" s="698"/>
      <c r="K14" s="698"/>
      <c r="L14" s="434">
        <f t="shared" ref="L14:L23" si="1">G14/$C$6</f>
        <v>25.514993910967174</v>
      </c>
      <c r="M14" s="500">
        <f t="shared" ref="M14:M23" si="2">H14/$C$6</f>
        <v>4.5926989039740915</v>
      </c>
      <c r="N14" s="506">
        <f t="shared" ref="N14:N23" si="3">I14/$C$6</f>
        <v>30.107692814941267</v>
      </c>
    </row>
    <row r="15" spans="2:14">
      <c r="B15" s="700" t="s">
        <v>417</v>
      </c>
      <c r="C15" s="695" t="s">
        <v>66</v>
      </c>
      <c r="D15" s="434">
        <v>990</v>
      </c>
      <c r="E15" s="434">
        <v>60</v>
      </c>
      <c r="F15" s="434"/>
      <c r="G15" s="697">
        <f>E15*D15</f>
        <v>59400</v>
      </c>
      <c r="H15" s="697">
        <f t="shared" si="0"/>
        <v>10692</v>
      </c>
      <c r="I15" s="697">
        <f>H15+G15</f>
        <v>70092</v>
      </c>
      <c r="J15" s="698"/>
      <c r="K15" s="698"/>
      <c r="L15" s="434">
        <f t="shared" si="1"/>
        <v>31.588519647101993</v>
      </c>
      <c r="M15" s="500">
        <f t="shared" si="2"/>
        <v>5.6859335364783581</v>
      </c>
      <c r="N15" s="506">
        <f t="shared" si="3"/>
        <v>37.274453183580349</v>
      </c>
    </row>
    <row r="16" spans="2:14">
      <c r="B16" s="158" t="s">
        <v>97</v>
      </c>
      <c r="C16" s="421" t="s">
        <v>66</v>
      </c>
      <c r="D16" s="431">
        <f>C6</f>
        <v>1880.43</v>
      </c>
      <c r="E16" s="434">
        <v>170</v>
      </c>
      <c r="F16" s="159"/>
      <c r="G16" s="428">
        <f>E16*D16</f>
        <v>319673.10000000003</v>
      </c>
      <c r="H16" s="428">
        <f t="shared" si="0"/>
        <v>57541.158000000003</v>
      </c>
      <c r="I16" s="428">
        <f t="shared" ref="I16:I19" si="4">H16+G16</f>
        <v>377214.25800000003</v>
      </c>
      <c r="L16" s="434">
        <f t="shared" si="1"/>
        <v>170</v>
      </c>
      <c r="M16" s="500">
        <f t="shared" si="2"/>
        <v>30.6</v>
      </c>
      <c r="N16" s="506">
        <f t="shared" si="3"/>
        <v>200.60000000000002</v>
      </c>
    </row>
    <row r="17" spans="2:14">
      <c r="B17" s="495" t="s">
        <v>469</v>
      </c>
      <c r="C17" s="496" t="s">
        <v>66</v>
      </c>
      <c r="D17" s="431">
        <f>C6</f>
        <v>1880.43</v>
      </c>
      <c r="E17" s="434">
        <v>30</v>
      </c>
      <c r="F17" s="159"/>
      <c r="G17" s="428">
        <f t="shared" ref="G17" si="5">E17*D17</f>
        <v>56412.9</v>
      </c>
      <c r="H17" s="428">
        <f t="shared" ref="H17" si="6">G17*0.18</f>
        <v>10154.322</v>
      </c>
      <c r="I17" s="428">
        <f t="shared" ref="I17" si="7">H17+G17</f>
        <v>66567.222000000009</v>
      </c>
      <c r="L17" s="434">
        <f t="shared" si="1"/>
        <v>30</v>
      </c>
      <c r="M17" s="500">
        <f t="shared" si="2"/>
        <v>5.3999999999999995</v>
      </c>
      <c r="N17" s="506">
        <f t="shared" si="3"/>
        <v>35.400000000000006</v>
      </c>
    </row>
    <row r="18" spans="2:14">
      <c r="B18" s="158" t="s">
        <v>223</v>
      </c>
      <c r="C18" s="421" t="s">
        <v>66</v>
      </c>
      <c r="D18" s="431">
        <f>C6</f>
        <v>1880.43</v>
      </c>
      <c r="E18" s="434">
        <v>15</v>
      </c>
      <c r="F18" s="159"/>
      <c r="G18" s="428">
        <f t="shared" ref="G18:G19" si="8">E18*D18</f>
        <v>28206.45</v>
      </c>
      <c r="H18" s="428">
        <f t="shared" si="0"/>
        <v>5077.1610000000001</v>
      </c>
      <c r="I18" s="428">
        <f t="shared" si="4"/>
        <v>33283.611000000004</v>
      </c>
      <c r="L18" s="434">
        <f t="shared" si="1"/>
        <v>15</v>
      </c>
      <c r="M18" s="500">
        <f t="shared" si="2"/>
        <v>2.6999999999999997</v>
      </c>
      <c r="N18" s="506">
        <f t="shared" si="3"/>
        <v>17.700000000000003</v>
      </c>
    </row>
    <row r="19" spans="2:14">
      <c r="B19" s="158" t="s">
        <v>224</v>
      </c>
      <c r="C19" s="421" t="s">
        <v>66</v>
      </c>
      <c r="D19" s="431">
        <f>C6</f>
        <v>1880.43</v>
      </c>
      <c r="E19" s="434">
        <v>15</v>
      </c>
      <c r="F19" s="159"/>
      <c r="G19" s="428">
        <f t="shared" si="8"/>
        <v>28206.45</v>
      </c>
      <c r="H19" s="428">
        <f t="shared" si="0"/>
        <v>5077.1610000000001</v>
      </c>
      <c r="I19" s="428">
        <f t="shared" si="4"/>
        <v>33283.611000000004</v>
      </c>
      <c r="L19" s="434">
        <f t="shared" si="1"/>
        <v>15</v>
      </c>
      <c r="M19" s="500">
        <f t="shared" si="2"/>
        <v>2.6999999999999997</v>
      </c>
      <c r="N19" s="506">
        <f t="shared" si="3"/>
        <v>17.700000000000003</v>
      </c>
    </row>
    <row r="20" spans="2:14">
      <c r="B20" s="158"/>
      <c r="C20" s="420"/>
      <c r="D20" s="420"/>
      <c r="E20" s="868"/>
      <c r="F20" s="159"/>
      <c r="G20" s="428"/>
      <c r="H20" s="428"/>
      <c r="I20" s="428"/>
      <c r="L20" s="434"/>
      <c r="M20" s="500"/>
      <c r="N20" s="506"/>
    </row>
    <row r="21" spans="2:14">
      <c r="B21" s="398" t="s">
        <v>420</v>
      </c>
      <c r="C21" s="422"/>
      <c r="D21" s="422"/>
      <c r="E21" s="433"/>
      <c r="F21" s="161"/>
      <c r="G21" s="161">
        <f>SUM(G13:G20)</f>
        <v>542878.06000000006</v>
      </c>
      <c r="H21" s="161">
        <f>SUM(H13:H20)</f>
        <v>97718.050799999997</v>
      </c>
      <c r="I21" s="867">
        <f>SUM(I13:I20)</f>
        <v>640596.11080000014</v>
      </c>
      <c r="L21" s="497">
        <f>SUM(L13:L20)</f>
        <v>288.69889333822584</v>
      </c>
      <c r="M21" s="501">
        <f>SUM(M13:M20)</f>
        <v>51.96580080088065</v>
      </c>
      <c r="N21" s="507">
        <f>SUM(N13:N20)</f>
        <v>340.66469413910647</v>
      </c>
    </row>
    <row r="22" spans="2:14">
      <c r="B22" s="416" t="s">
        <v>418</v>
      </c>
      <c r="C22" s="432">
        <v>0.06</v>
      </c>
      <c r="D22" s="423"/>
      <c r="E22" s="432"/>
      <c r="F22" s="159"/>
      <c r="G22" s="428">
        <f>G21*C22</f>
        <v>32572.683600000004</v>
      </c>
      <c r="H22" s="428">
        <f>H21*C22</f>
        <v>5863.0830479999995</v>
      </c>
      <c r="I22" s="428">
        <f>I21*C22</f>
        <v>38435.766648000004</v>
      </c>
      <c r="L22" s="434">
        <f t="shared" si="1"/>
        <v>17.321933600293551</v>
      </c>
      <c r="M22" s="500">
        <f t="shared" si="2"/>
        <v>3.1179480480528388</v>
      </c>
      <c r="N22" s="506">
        <f t="shared" si="3"/>
        <v>20.43988164834639</v>
      </c>
    </row>
    <row r="23" spans="2:14">
      <c r="B23" s="416" t="s">
        <v>419</v>
      </c>
      <c r="C23" s="432">
        <v>0.06</v>
      </c>
      <c r="D23" s="423"/>
      <c r="E23" s="432"/>
      <c r="F23" s="159"/>
      <c r="G23" s="428">
        <f>G21*C23</f>
        <v>32572.683600000004</v>
      </c>
      <c r="H23" s="428">
        <f>H21*C23</f>
        <v>5863.0830479999995</v>
      </c>
      <c r="I23" s="428">
        <f>I21*C23</f>
        <v>38435.766648000004</v>
      </c>
      <c r="L23" s="434">
        <f t="shared" si="1"/>
        <v>17.321933600293551</v>
      </c>
      <c r="M23" s="500">
        <f t="shared" si="2"/>
        <v>3.1179480480528388</v>
      </c>
      <c r="N23" s="506">
        <f t="shared" si="3"/>
        <v>20.43988164834639</v>
      </c>
    </row>
    <row r="24" spans="2:14" ht="15.75" thickBot="1">
      <c r="B24" s="158"/>
      <c r="C24" s="420"/>
      <c r="D24" s="420"/>
      <c r="E24" s="420"/>
      <c r="F24" s="159"/>
      <c r="G24" s="428"/>
      <c r="H24" s="428"/>
      <c r="I24" s="428"/>
      <c r="L24" s="502"/>
      <c r="M24" s="508"/>
      <c r="N24" s="503"/>
    </row>
    <row r="25" spans="2:14" ht="15.75" thickBot="1">
      <c r="B25" s="399" t="s">
        <v>421</v>
      </c>
      <c r="C25" s="444"/>
      <c r="D25" s="444"/>
      <c r="E25" s="445">
        <v>260</v>
      </c>
      <c r="F25" s="163"/>
      <c r="G25" s="163">
        <f>G23+G22+G21</f>
        <v>608023.42720000003</v>
      </c>
      <c r="H25" s="163">
        <f>G25*0.18</f>
        <v>109444.216896</v>
      </c>
      <c r="I25" s="157">
        <f>H25+G25</f>
        <v>717467.644096</v>
      </c>
      <c r="L25" s="504">
        <f>L21+L22+L23</f>
        <v>323.34276053881297</v>
      </c>
      <c r="M25" s="504">
        <f>M21+M22+M23</f>
        <v>58.201696896986327</v>
      </c>
      <c r="N25" s="505">
        <f>N21+N22+N23</f>
        <v>381.54445743579925</v>
      </c>
    </row>
    <row r="26" spans="2:14">
      <c r="B26" s="416"/>
      <c r="C26" s="437"/>
      <c r="D26" s="437"/>
      <c r="E26" s="437"/>
      <c r="F26" s="160"/>
      <c r="G26" s="443"/>
      <c r="H26" s="391"/>
      <c r="I26" s="156"/>
    </row>
    <row r="27" spans="2:14" ht="15.75" thickBot="1">
      <c r="B27" s="438"/>
      <c r="C27" s="439"/>
      <c r="D27" s="439"/>
      <c r="E27" s="439"/>
      <c r="F27" s="440"/>
      <c r="G27" s="440"/>
      <c r="H27" s="441"/>
      <c r="I27" s="442"/>
    </row>
    <row r="28" spans="2:14" ht="15.75" thickBot="1">
      <c r="B28" s="400" t="s">
        <v>470</v>
      </c>
      <c r="C28" s="412" t="s">
        <v>410</v>
      </c>
      <c r="D28" s="412" t="s">
        <v>411</v>
      </c>
      <c r="E28" s="412" t="s">
        <v>415</v>
      </c>
      <c r="F28" s="426" t="s">
        <v>412</v>
      </c>
      <c r="G28" s="413" t="s">
        <v>413</v>
      </c>
      <c r="H28" s="426" t="s">
        <v>3</v>
      </c>
      <c r="I28" s="397" t="s">
        <v>414</v>
      </c>
      <c r="L28" s="1032" t="s">
        <v>473</v>
      </c>
      <c r="M28" s="1032"/>
      <c r="N28" s="1033"/>
    </row>
    <row r="29" spans="2:14">
      <c r="B29" s="158"/>
      <c r="C29" s="420"/>
      <c r="D29" s="420"/>
      <c r="E29" s="420"/>
      <c r="F29" s="158"/>
      <c r="G29" s="427"/>
      <c r="H29" s="427"/>
      <c r="I29" s="427"/>
      <c r="L29" s="498"/>
      <c r="M29" s="427"/>
      <c r="N29" s="499"/>
    </row>
    <row r="30" spans="2:14">
      <c r="B30" s="158" t="s">
        <v>97</v>
      </c>
      <c r="C30" s="421" t="s">
        <v>66</v>
      </c>
      <c r="D30" s="431">
        <f>C7+C8</f>
        <v>7425.2800000000007</v>
      </c>
      <c r="E30" s="434">
        <v>170</v>
      </c>
      <c r="F30" s="159"/>
      <c r="G30" s="428">
        <f>E30*D30</f>
        <v>1262297.6000000001</v>
      </c>
      <c r="H30" s="428">
        <f t="shared" ref="H30:H34" si="9">G30*0.18</f>
        <v>227213.568</v>
      </c>
      <c r="I30" s="428">
        <f t="shared" ref="I30:I34" si="10">H30+G30</f>
        <v>1489511.1680000001</v>
      </c>
      <c r="L30" s="434">
        <f>G30/($C$7+$C$8)</f>
        <v>170</v>
      </c>
      <c r="M30" s="500">
        <f t="shared" ref="M30:N30" si="11">H30/($C$7+$C$8)</f>
        <v>30.599999999999998</v>
      </c>
      <c r="N30" s="506">
        <f t="shared" si="11"/>
        <v>200.6</v>
      </c>
    </row>
    <row r="31" spans="2:14">
      <c r="B31" s="495" t="s">
        <v>471</v>
      </c>
      <c r="C31" s="496" t="s">
        <v>66</v>
      </c>
      <c r="D31" s="431">
        <f>C8</f>
        <v>6569.1</v>
      </c>
      <c r="E31" s="434">
        <v>160</v>
      </c>
      <c r="F31" s="159"/>
      <c r="G31" s="428">
        <f t="shared" ref="G31:G32" si="12">E31*D31</f>
        <v>1051056</v>
      </c>
      <c r="H31" s="428">
        <f t="shared" ref="H31:H32" si="13">G31*0.18</f>
        <v>189190.08</v>
      </c>
      <c r="I31" s="428">
        <f t="shared" ref="I31:I32" si="14">H31+G31</f>
        <v>1240246.08</v>
      </c>
      <c r="L31" s="434">
        <f t="shared" ref="L31:L39" si="15">G31/($C$7+$C$8)</f>
        <v>141.55102568522668</v>
      </c>
      <c r="M31" s="500">
        <f t="shared" ref="M31:M39" si="16">H31/($C$7+$C$8)</f>
        <v>25.479184623340799</v>
      </c>
      <c r="N31" s="506">
        <f t="shared" ref="N31:N39" si="17">I31/($C$7+$C$8)</f>
        <v>167.03021030856749</v>
      </c>
    </row>
    <row r="32" spans="2:14">
      <c r="B32" s="495" t="s">
        <v>472</v>
      </c>
      <c r="C32" s="496" t="s">
        <v>66</v>
      </c>
      <c r="D32" s="431">
        <f>+C7</f>
        <v>856.18</v>
      </c>
      <c r="E32" s="434">
        <v>50</v>
      </c>
      <c r="F32" s="159"/>
      <c r="G32" s="428">
        <f t="shared" si="12"/>
        <v>42809</v>
      </c>
      <c r="H32" s="428">
        <f t="shared" si="13"/>
        <v>7705.62</v>
      </c>
      <c r="I32" s="428">
        <f t="shared" si="14"/>
        <v>50514.62</v>
      </c>
      <c r="L32" s="434">
        <f t="shared" si="15"/>
        <v>5.7653044733666601</v>
      </c>
      <c r="M32" s="500">
        <f t="shared" si="16"/>
        <v>1.0377548052059988</v>
      </c>
      <c r="N32" s="506">
        <f t="shared" si="17"/>
        <v>6.8030592785726594</v>
      </c>
    </row>
    <row r="33" spans="2:14">
      <c r="B33" s="158" t="s">
        <v>223</v>
      </c>
      <c r="C33" s="421" t="s">
        <v>66</v>
      </c>
      <c r="D33" s="431">
        <f>C7+C8</f>
        <v>7425.2800000000007</v>
      </c>
      <c r="E33" s="434">
        <v>25</v>
      </c>
      <c r="F33" s="159"/>
      <c r="G33" s="428">
        <f t="shared" ref="G33:G34" si="18">E33*D33</f>
        <v>185632.00000000003</v>
      </c>
      <c r="H33" s="428">
        <f t="shared" si="9"/>
        <v>33413.760000000002</v>
      </c>
      <c r="I33" s="428">
        <f t="shared" si="10"/>
        <v>219045.76000000004</v>
      </c>
      <c r="L33" s="434">
        <f t="shared" si="15"/>
        <v>25</v>
      </c>
      <c r="M33" s="500">
        <f t="shared" si="16"/>
        <v>4.5</v>
      </c>
      <c r="N33" s="506">
        <f t="shared" si="17"/>
        <v>29.500000000000004</v>
      </c>
    </row>
    <row r="34" spans="2:14">
      <c r="B34" s="158" t="s">
        <v>224</v>
      </c>
      <c r="C34" s="421" t="s">
        <v>66</v>
      </c>
      <c r="D34" s="431">
        <f t="shared" ref="D34" si="19">+D33</f>
        <v>7425.2800000000007</v>
      </c>
      <c r="E34" s="434">
        <v>30</v>
      </c>
      <c r="F34" s="159"/>
      <c r="G34" s="428">
        <f t="shared" si="18"/>
        <v>222758.40000000002</v>
      </c>
      <c r="H34" s="428">
        <f t="shared" si="9"/>
        <v>40096.512000000002</v>
      </c>
      <c r="I34" s="428">
        <f t="shared" si="10"/>
        <v>262854.91200000001</v>
      </c>
      <c r="L34" s="434">
        <f t="shared" si="15"/>
        <v>30</v>
      </c>
      <c r="M34" s="500">
        <f t="shared" si="16"/>
        <v>5.3999999999999995</v>
      </c>
      <c r="N34" s="506">
        <f t="shared" si="17"/>
        <v>35.4</v>
      </c>
    </row>
    <row r="35" spans="2:14">
      <c r="B35" s="416" t="s">
        <v>425</v>
      </c>
      <c r="C35" s="421" t="s">
        <v>66</v>
      </c>
      <c r="D35" s="448">
        <f>C6</f>
        <v>1880.43</v>
      </c>
      <c r="E35" s="434">
        <v>40</v>
      </c>
      <c r="F35" s="159"/>
      <c r="G35" s="428">
        <f>E35*D35</f>
        <v>75217.2</v>
      </c>
      <c r="H35" s="428">
        <f>G35*0.18</f>
        <v>13539.096</v>
      </c>
      <c r="I35" s="156">
        <f t="shared" ref="I35" si="20">H35+G35</f>
        <v>88756.296000000002</v>
      </c>
      <c r="L35" s="434">
        <f>G35/$C$6</f>
        <v>40</v>
      </c>
      <c r="M35" s="500">
        <f>H35/$C$6</f>
        <v>7.1999999999999993</v>
      </c>
      <c r="N35" s="506">
        <f>I35/$C$6</f>
        <v>47.2</v>
      </c>
    </row>
    <row r="36" spans="2:14">
      <c r="B36" s="158"/>
      <c r="C36" s="420"/>
      <c r="D36" s="420"/>
      <c r="E36" s="420"/>
      <c r="F36" s="159"/>
      <c r="G36" s="428"/>
      <c r="H36" s="428"/>
      <c r="I36" s="428"/>
      <c r="L36" s="434"/>
      <c r="M36" s="500"/>
      <c r="N36" s="506"/>
    </row>
    <row r="37" spans="2:14">
      <c r="B37" s="398" t="s">
        <v>420</v>
      </c>
      <c r="C37" s="422"/>
      <c r="D37" s="422"/>
      <c r="E37" s="433"/>
      <c r="F37" s="161"/>
      <c r="G37" s="161">
        <f>SUM(G30:G36)</f>
        <v>2839770.2</v>
      </c>
      <c r="H37" s="161">
        <f>SUM(H30:H36)</f>
        <v>511158.636</v>
      </c>
      <c r="I37" s="867">
        <f>SUM(I30:I36)</f>
        <v>3350928.8360000006</v>
      </c>
      <c r="L37" s="497">
        <f>SUM(L30:L36)</f>
        <v>412.31633015859336</v>
      </c>
      <c r="M37" s="501">
        <f t="shared" ref="M37:N37" si="21">SUM(M30:M36)</f>
        <v>74.216939428546794</v>
      </c>
      <c r="N37" s="507">
        <f t="shared" si="21"/>
        <v>486.53326958714013</v>
      </c>
    </row>
    <row r="38" spans="2:14">
      <c r="B38" s="416" t="s">
        <v>418</v>
      </c>
      <c r="C38" s="432">
        <v>0.06</v>
      </c>
      <c r="D38" s="423"/>
      <c r="E38" s="432"/>
      <c r="F38" s="159"/>
      <c r="G38" s="428">
        <f>G37*C38</f>
        <v>170386.212</v>
      </c>
      <c r="H38" s="428">
        <f>H37*C38</f>
        <v>30669.51816</v>
      </c>
      <c r="I38" s="428">
        <f>I37*C38</f>
        <v>201055.73016000004</v>
      </c>
      <c r="L38" s="434">
        <f t="shared" si="15"/>
        <v>22.94677264695742</v>
      </c>
      <c r="M38" s="500">
        <f t="shared" si="16"/>
        <v>4.130419076452335</v>
      </c>
      <c r="N38" s="506">
        <f t="shared" si="17"/>
        <v>27.077191723409758</v>
      </c>
    </row>
    <row r="39" spans="2:14">
      <c r="B39" s="416" t="s">
        <v>419</v>
      </c>
      <c r="C39" s="432">
        <v>0.06</v>
      </c>
      <c r="D39" s="423"/>
      <c r="E39" s="432"/>
      <c r="F39" s="159"/>
      <c r="G39" s="428">
        <f>G37*C39</f>
        <v>170386.212</v>
      </c>
      <c r="H39" s="428">
        <f>H37*C39</f>
        <v>30669.51816</v>
      </c>
      <c r="I39" s="428">
        <f>I37*C39</f>
        <v>201055.73016000004</v>
      </c>
      <c r="L39" s="434">
        <f t="shared" si="15"/>
        <v>22.94677264695742</v>
      </c>
      <c r="M39" s="500">
        <f t="shared" si="16"/>
        <v>4.130419076452335</v>
      </c>
      <c r="N39" s="506">
        <f t="shared" si="17"/>
        <v>27.077191723409758</v>
      </c>
    </row>
    <row r="40" spans="2:14" ht="15.75" thickBot="1">
      <c r="B40" s="158"/>
      <c r="C40" s="420"/>
      <c r="D40" s="420"/>
      <c r="E40" s="420"/>
      <c r="F40" s="159"/>
      <c r="G40" s="428"/>
      <c r="H40" s="428"/>
      <c r="I40" s="428"/>
      <c r="L40" s="502"/>
      <c r="M40" s="508"/>
      <c r="N40" s="503"/>
    </row>
    <row r="41" spans="2:14" ht="15.75" thickBot="1">
      <c r="B41" s="399" t="s">
        <v>476</v>
      </c>
      <c r="C41" s="444"/>
      <c r="D41" s="444"/>
      <c r="E41" s="445">
        <v>380</v>
      </c>
      <c r="F41" s="163"/>
      <c r="G41" s="163">
        <f>G39+G38+G37</f>
        <v>3180542.6240000003</v>
      </c>
      <c r="H41" s="163">
        <f>G41*0.18</f>
        <v>572497.67232000001</v>
      </c>
      <c r="I41" s="157">
        <f>H41+G41</f>
        <v>3753040.2963200002</v>
      </c>
      <c r="L41" s="504">
        <f>L39+L38+L37</f>
        <v>458.20987545250819</v>
      </c>
      <c r="M41" s="504">
        <f t="shared" ref="M41:N41" si="22">M39+M38+M37</f>
        <v>82.477777581451463</v>
      </c>
      <c r="N41" s="505">
        <f t="shared" si="22"/>
        <v>540.68765303395969</v>
      </c>
    </row>
    <row r="42" spans="2:14">
      <c r="B42" s="416"/>
      <c r="C42" s="437"/>
      <c r="D42" s="437"/>
      <c r="E42" s="437"/>
      <c r="F42" s="160"/>
      <c r="G42" s="443"/>
      <c r="H42" s="391"/>
      <c r="I42" s="156"/>
    </row>
    <row r="43" spans="2:14" ht="15.75" thickBot="1">
      <c r="B43" s="438"/>
      <c r="C43" s="439"/>
      <c r="D43" s="439"/>
      <c r="E43" s="439"/>
      <c r="F43" s="440"/>
      <c r="G43" s="440"/>
      <c r="H43" s="441"/>
      <c r="I43" s="442"/>
    </row>
    <row r="44" spans="2:14" ht="15.75" thickBot="1">
      <c r="B44" s="400" t="s">
        <v>424</v>
      </c>
      <c r="C44" s="412" t="s">
        <v>410</v>
      </c>
      <c r="D44" s="412" t="s">
        <v>411</v>
      </c>
      <c r="E44" s="412" t="s">
        <v>415</v>
      </c>
      <c r="F44" s="412" t="s">
        <v>412</v>
      </c>
      <c r="G44" s="426" t="s">
        <v>413</v>
      </c>
      <c r="H44" s="413" t="s">
        <v>3</v>
      </c>
      <c r="I44" s="426" t="s">
        <v>414</v>
      </c>
      <c r="L44" s="1032" t="s">
        <v>475</v>
      </c>
      <c r="M44" s="1032"/>
      <c r="N44" s="1033"/>
    </row>
    <row r="45" spans="2:14">
      <c r="B45" s="158"/>
      <c r="C45" s="420"/>
      <c r="D45" s="420"/>
      <c r="E45" s="420"/>
      <c r="F45" s="159"/>
      <c r="G45" s="446"/>
      <c r="H45" s="446"/>
      <c r="I45" s="156"/>
      <c r="L45" s="498"/>
      <c r="M45" s="427"/>
      <c r="N45" s="499"/>
    </row>
    <row r="46" spans="2:14">
      <c r="B46" s="416" t="s">
        <v>422</v>
      </c>
      <c r="C46" s="421" t="s">
        <v>426</v>
      </c>
      <c r="D46" s="448">
        <v>24</v>
      </c>
      <c r="E46" s="420"/>
      <c r="F46" s="159">
        <v>4000</v>
      </c>
      <c r="G46" s="428">
        <f>F46*D46</f>
        <v>96000</v>
      </c>
      <c r="H46" s="428">
        <f>G46*0.18</f>
        <v>17280</v>
      </c>
      <c r="I46" s="156">
        <f>G46+H46</f>
        <v>113280</v>
      </c>
      <c r="J46" s="364"/>
      <c r="L46" s="434">
        <f>G46/$C$9</f>
        <v>10.316246691547446</v>
      </c>
      <c r="M46" s="500">
        <f t="shared" ref="M46:N47" si="23">H46/$C$9</f>
        <v>1.8569244044785405</v>
      </c>
      <c r="N46" s="506">
        <f t="shared" si="23"/>
        <v>12.173171096025987</v>
      </c>
    </row>
    <row r="47" spans="2:14">
      <c r="B47" s="416" t="s">
        <v>423</v>
      </c>
      <c r="C47" s="421" t="s">
        <v>392</v>
      </c>
      <c r="D47" s="448">
        <v>1</v>
      </c>
      <c r="E47" s="420"/>
      <c r="F47" s="159">
        <v>25000</v>
      </c>
      <c r="G47" s="428">
        <f t="shared" ref="G47" si="24">F47*D47</f>
        <v>25000</v>
      </c>
      <c r="H47" s="428">
        <f t="shared" ref="H47" si="25">G47*0.18</f>
        <v>4500</v>
      </c>
      <c r="I47" s="156">
        <f t="shared" ref="I47" si="26">G47+H47</f>
        <v>29500</v>
      </c>
      <c r="L47" s="434">
        <f>G47/$C$9</f>
        <v>2.686522575923814</v>
      </c>
      <c r="M47" s="500">
        <f t="shared" si="23"/>
        <v>0.48357406366628658</v>
      </c>
      <c r="N47" s="506">
        <f t="shared" si="23"/>
        <v>3.1700966395901009</v>
      </c>
    </row>
    <row r="48" spans="2:14">
      <c r="B48" s="158"/>
      <c r="C48" s="420"/>
      <c r="D48" s="420"/>
      <c r="E48" s="420"/>
      <c r="F48" s="159"/>
      <c r="G48" s="428"/>
      <c r="H48" s="428"/>
      <c r="I48" s="156"/>
      <c r="L48" s="434"/>
      <c r="M48" s="155"/>
      <c r="N48" s="509"/>
    </row>
    <row r="49" spans="2:14">
      <c r="B49" s="398" t="s">
        <v>427</v>
      </c>
      <c r="C49" s="422"/>
      <c r="D49" s="422"/>
      <c r="E49" s="422"/>
      <c r="F49" s="161"/>
      <c r="G49" s="429">
        <f>SUM(G45:G48)</f>
        <v>121000</v>
      </c>
      <c r="H49" s="429">
        <f>SUM(H45:H48)</f>
        <v>21780</v>
      </c>
      <c r="I49" s="867">
        <f>SUM(I45:I48)</f>
        <v>142780</v>
      </c>
      <c r="L49" s="497">
        <f>L46+L47</f>
        <v>13.00276926747126</v>
      </c>
      <c r="M49" s="501">
        <f t="shared" ref="M49:N49" si="27">M46+M47</f>
        <v>2.3404984681448271</v>
      </c>
      <c r="N49" s="507">
        <f t="shared" si="27"/>
        <v>15.343267735616088</v>
      </c>
    </row>
    <row r="50" spans="2:14">
      <c r="B50" s="694" t="s">
        <v>418</v>
      </c>
      <c r="C50" s="432">
        <v>0.06</v>
      </c>
      <c r="D50" s="423"/>
      <c r="E50" s="423"/>
      <c r="F50" s="159"/>
      <c r="G50" s="428">
        <f>G49*C50</f>
        <v>7260</v>
      </c>
      <c r="H50" s="160">
        <f>H49*C50</f>
        <v>1306.8</v>
      </c>
      <c r="I50" s="428">
        <f>I49*C50</f>
        <v>8566.7999999999993</v>
      </c>
      <c r="L50" s="434">
        <f t="shared" ref="L50:L51" si="28">G50/$C$9</f>
        <v>0.78016615604827566</v>
      </c>
      <c r="M50" s="500">
        <f t="shared" ref="M50:M51" si="29">H50/$C$9</f>
        <v>0.1404299080886896</v>
      </c>
      <c r="N50" s="506">
        <f t="shared" ref="N50:N51" si="30">I50/$C$9</f>
        <v>0.92059606413696515</v>
      </c>
    </row>
    <row r="51" spans="2:14">
      <c r="B51" s="694" t="s">
        <v>419</v>
      </c>
      <c r="C51" s="432">
        <v>0.06</v>
      </c>
      <c r="D51" s="423"/>
      <c r="E51" s="423"/>
      <c r="F51" s="159"/>
      <c r="G51" s="428">
        <f>G49*C51</f>
        <v>7260</v>
      </c>
      <c r="H51" s="160">
        <f>H49*C51</f>
        <v>1306.8</v>
      </c>
      <c r="I51" s="428">
        <f>I49*C51</f>
        <v>8566.7999999999993</v>
      </c>
      <c r="L51" s="434">
        <f t="shared" si="28"/>
        <v>0.78016615604827566</v>
      </c>
      <c r="M51" s="500">
        <f t="shared" si="29"/>
        <v>0.1404299080886896</v>
      </c>
      <c r="N51" s="506">
        <f t="shared" si="30"/>
        <v>0.92059606413696515</v>
      </c>
    </row>
    <row r="52" spans="2:14" ht="15.75" thickBot="1">
      <c r="B52" s="158"/>
      <c r="C52" s="420"/>
      <c r="D52" s="420"/>
      <c r="E52" s="420"/>
      <c r="F52" s="159"/>
      <c r="G52" s="430"/>
      <c r="H52" s="447"/>
      <c r="I52" s="156"/>
      <c r="L52" s="510"/>
      <c r="M52" s="508"/>
      <c r="N52" s="503"/>
    </row>
    <row r="53" spans="2:14" ht="15.75" thickBot="1">
      <c r="B53" s="399" t="s">
        <v>477</v>
      </c>
      <c r="C53" s="424"/>
      <c r="D53" s="424"/>
      <c r="E53" s="424"/>
      <c r="F53" s="162"/>
      <c r="G53" s="163">
        <f>SUM(G49:G52)</f>
        <v>135520</v>
      </c>
      <c r="H53" s="163">
        <f>G53*0.18</f>
        <v>24393.599999999999</v>
      </c>
      <c r="I53" s="157">
        <f>H53+G53</f>
        <v>159913.60000000001</v>
      </c>
      <c r="L53" s="504">
        <f>SUM(L49:L52)</f>
        <v>14.563101579567812</v>
      </c>
      <c r="M53" s="504">
        <f t="shared" ref="M53:N53" si="31">SUM(M49:M52)</f>
        <v>2.6213582843222065</v>
      </c>
      <c r="N53" s="505">
        <f t="shared" si="31"/>
        <v>17.184459863890019</v>
      </c>
    </row>
    <row r="54" spans="2:14" ht="15.75" thickBot="1">
      <c r="B54" s="416"/>
      <c r="C54" s="437"/>
      <c r="D54" s="437"/>
      <c r="E54" s="437"/>
      <c r="F54" s="160"/>
      <c r="G54" s="443"/>
      <c r="H54" s="391"/>
      <c r="I54" s="156"/>
    </row>
    <row r="55" spans="2:14" ht="15.75" thickBot="1">
      <c r="B55" s="491" t="s">
        <v>226</v>
      </c>
      <c r="C55" s="492"/>
      <c r="D55" s="492"/>
      <c r="E55" s="492"/>
      <c r="F55" s="492"/>
      <c r="G55" s="493">
        <f>G53+G41+G25</f>
        <v>3924086.0512000006</v>
      </c>
      <c r="H55" s="493">
        <f>H53+H41+H25</f>
        <v>706335.48921599996</v>
      </c>
      <c r="I55" s="494">
        <f>I53+I41+I25</f>
        <v>4630421.5404160004</v>
      </c>
      <c r="L55" s="504">
        <f>G55/$C$9</f>
        <v>421.68583065666138</v>
      </c>
      <c r="M55" s="504">
        <f t="shared" ref="M55:N55" si="32">H55/$C$9</f>
        <v>75.903449518199025</v>
      </c>
      <c r="N55" s="505">
        <f t="shared" si="32"/>
        <v>497.58928017486039</v>
      </c>
    </row>
    <row r="56" spans="2:14" ht="15.75" thickBot="1">
      <c r="B56" s="491" t="s">
        <v>478</v>
      </c>
      <c r="C56" s="492"/>
      <c r="D56" s="492"/>
      <c r="E56" s="492"/>
      <c r="F56" s="492"/>
      <c r="G56" s="493">
        <f>G49+G37+G21</f>
        <v>3503648.2600000002</v>
      </c>
      <c r="H56" s="493">
        <f t="shared" ref="H56:I56" si="33">H49+H37+H21</f>
        <v>630656.68679999991</v>
      </c>
      <c r="I56" s="493">
        <f t="shared" si="33"/>
        <v>4134304.946800001</v>
      </c>
      <c r="L56" s="504">
        <f t="shared" ref="L56:L57" si="34">G56/$C$9</f>
        <v>376.50520594344761</v>
      </c>
      <c r="M56" s="504">
        <f t="shared" ref="M56:M57" si="35">H56/$C$9</f>
        <v>67.770937069820562</v>
      </c>
      <c r="N56" s="505">
        <f t="shared" ref="N56:N57" si="36">I56/$C$9</f>
        <v>444.27614301326827</v>
      </c>
    </row>
    <row r="57" spans="2:14" ht="15.75" thickBot="1">
      <c r="B57" s="491" t="s">
        <v>479</v>
      </c>
      <c r="C57" s="492"/>
      <c r="D57" s="492"/>
      <c r="E57" s="492"/>
      <c r="F57" s="492"/>
      <c r="G57" s="493">
        <f>G56-G49</f>
        <v>3382648.2600000002</v>
      </c>
      <c r="H57" s="493">
        <f t="shared" ref="H57:I57" si="37">H56-H49</f>
        <v>608876.68679999991</v>
      </c>
      <c r="I57" s="493">
        <f t="shared" si="37"/>
        <v>3991524.946800001</v>
      </c>
      <c r="L57" s="504">
        <f t="shared" si="34"/>
        <v>363.50243667597636</v>
      </c>
      <c r="M57" s="504">
        <f t="shared" si="35"/>
        <v>65.430438601675732</v>
      </c>
      <c r="N57" s="505">
        <f t="shared" si="36"/>
        <v>428.93287527765216</v>
      </c>
    </row>
    <row r="58" spans="2:14" ht="15.75" thickBot="1"/>
    <row r="59" spans="2:14" ht="15.75" thickBot="1">
      <c r="B59" s="400" t="s">
        <v>696</v>
      </c>
      <c r="C59" s="673" t="s">
        <v>410</v>
      </c>
      <c r="D59" s="673" t="s">
        <v>411</v>
      </c>
      <c r="E59" s="673" t="s">
        <v>415</v>
      </c>
      <c r="F59" s="673" t="s">
        <v>412</v>
      </c>
      <c r="G59" s="426" t="s">
        <v>413</v>
      </c>
      <c r="H59" s="672" t="s">
        <v>3</v>
      </c>
      <c r="I59" s="426" t="s">
        <v>414</v>
      </c>
    </row>
    <row r="60" spans="2:14">
      <c r="B60" s="869" t="str">
        <f>'EGRESOS DETALLADO'!B47</f>
        <v>Póliza CAR</v>
      </c>
      <c r="C60" s="870" t="str">
        <f>'EGRESOS DETALLADO'!C47</f>
        <v>%</v>
      </c>
      <c r="D60" s="958">
        <v>2E-3</v>
      </c>
      <c r="E60" s="872">
        <f>G21+G37+G49</f>
        <v>3503648.2600000002</v>
      </c>
      <c r="F60" s="871"/>
      <c r="G60" s="873">
        <f>D60*E60</f>
        <v>7007.2965200000008</v>
      </c>
      <c r="H60" s="446">
        <f t="shared" ref="H60" si="38">G60*0.18</f>
        <v>1261.3133736000002</v>
      </c>
      <c r="I60" s="874">
        <f>G60+H60</f>
        <v>8268.6098936000017</v>
      </c>
    </row>
    <row r="61" spans="2:14">
      <c r="B61" s="694" t="str">
        <f>'EGRESOS DETALLADO'!B48</f>
        <v>Conexiones de Agua y Desagüe (Sedapal)</v>
      </c>
      <c r="C61" s="432" t="str">
        <f>'EGRESOS DETALLADO'!C48</f>
        <v>Glb</v>
      </c>
      <c r="D61" s="423">
        <v>4</v>
      </c>
      <c r="E61" s="423">
        <v>1500</v>
      </c>
      <c r="F61" s="159"/>
      <c r="G61" s="428">
        <f>D61*E61</f>
        <v>6000</v>
      </c>
      <c r="H61" s="160">
        <f>G61*0.18</f>
        <v>1080</v>
      </c>
      <c r="I61" s="428">
        <f>G61+H61</f>
        <v>7080</v>
      </c>
    </row>
    <row r="62" spans="2:14" ht="15.75" thickBot="1">
      <c r="B62" s="416" t="str">
        <f>'EGRESOS DETALLADO'!B49</f>
        <v xml:space="preserve">Medidores de Luz </v>
      </c>
      <c r="C62" s="421" t="str">
        <f>'EGRESOS DETALLADO'!C49</f>
        <v>Und</v>
      </c>
      <c r="D62" s="448">
        <v>89</v>
      </c>
      <c r="E62" s="420">
        <v>290</v>
      </c>
      <c r="F62" s="448"/>
      <c r="G62" s="159">
        <f>D62*E62</f>
        <v>25810</v>
      </c>
      <c r="H62" s="428">
        <f>G62*0.18</f>
        <v>4645.8</v>
      </c>
      <c r="I62" s="156">
        <f>G62+H62</f>
        <v>30455.8</v>
      </c>
    </row>
    <row r="63" spans="2:14" ht="15.75" thickBot="1">
      <c r="B63" s="399" t="s">
        <v>697</v>
      </c>
      <c r="C63" s="424"/>
      <c r="D63" s="424"/>
      <c r="E63" s="424"/>
      <c r="F63" s="162"/>
      <c r="G63" s="163">
        <f>SUM(G60:G62)</f>
        <v>38817.296520000004</v>
      </c>
      <c r="H63" s="163">
        <f>SUM(H60:H62)</f>
        <v>6987.1133736000002</v>
      </c>
      <c r="I63" s="157">
        <f>SUM(I60:I62)</f>
        <v>45804.409893600001</v>
      </c>
    </row>
    <row r="65" spans="7:7">
      <c r="G65" s="364"/>
    </row>
  </sheetData>
  <mergeCells count="3">
    <mergeCell ref="L11:N11"/>
    <mergeCell ref="L28:N28"/>
    <mergeCell ref="L44:N44"/>
  </mergeCells>
  <printOptions horizontalCentered="1" verticalCentered="1"/>
  <pageMargins left="0.98425196850393704" right="1.5748031496062993" top="1.3779527559055118" bottom="0.98425196850393704" header="0.31496062992125984" footer="0.31496062992125984"/>
  <pageSetup paperSize="9" scale="45" orientation="landscape"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2:AC38"/>
  <sheetViews>
    <sheetView showGridLines="0" view="pageBreakPreview" zoomScale="60" zoomScaleNormal="70" workbookViewId="0">
      <selection activeCell="M47" sqref="M47"/>
    </sheetView>
  </sheetViews>
  <sheetFormatPr baseColWidth="10" defaultRowHeight="15"/>
  <cols>
    <col min="1" max="1" width="6" style="518" customWidth="1"/>
    <col min="2" max="2" width="43.42578125" style="518" bestFit="1" customWidth="1"/>
    <col min="3" max="3" width="14.7109375" style="518" customWidth="1"/>
    <col min="4" max="4" width="5.85546875" style="518" bestFit="1" customWidth="1"/>
    <col min="5" max="6" width="7" style="518" bestFit="1" customWidth="1"/>
    <col min="7" max="12" width="10.5703125" style="518" bestFit="1" customWidth="1"/>
    <col min="13" max="13" width="11.7109375" style="518" bestFit="1" customWidth="1"/>
    <col min="14" max="26" width="12.85546875" style="518" bestFit="1" customWidth="1"/>
    <col min="27" max="27" width="6.5703125" style="518" bestFit="1" customWidth="1"/>
    <col min="28" max="28" width="15" style="518" customWidth="1"/>
    <col min="29" max="29" width="15.7109375" style="518" customWidth="1"/>
    <col min="30" max="266" width="11.5703125" style="518"/>
    <col min="267" max="267" width="68.140625" style="518" customWidth="1"/>
    <col min="268" max="268" width="19.42578125" style="518" customWidth="1"/>
    <col min="269" max="269" width="13.7109375" style="518" bestFit="1" customWidth="1"/>
    <col min="270" max="273" width="12.42578125" style="518" customWidth="1"/>
    <col min="274" max="274" width="14.28515625" style="518" bestFit="1" customWidth="1"/>
    <col min="275" max="275" width="14.42578125" style="518" bestFit="1" customWidth="1"/>
    <col min="276" max="276" width="14.28515625" style="518" bestFit="1" customWidth="1"/>
    <col min="277" max="277" width="15" style="518" bestFit="1" customWidth="1"/>
    <col min="278" max="278" width="14.28515625" style="518" bestFit="1" customWidth="1"/>
    <col min="279" max="279" width="14.42578125" style="518" bestFit="1" customWidth="1"/>
    <col min="280" max="280" width="14.28515625" style="518" bestFit="1" customWidth="1"/>
    <col min="281" max="283" width="12.42578125" style="518" customWidth="1"/>
    <col min="284" max="284" width="12.42578125" style="518" bestFit="1" customWidth="1"/>
    <col min="285" max="522" width="11.5703125" style="518"/>
    <col min="523" max="523" width="68.140625" style="518" customWidth="1"/>
    <col min="524" max="524" width="19.42578125" style="518" customWidth="1"/>
    <col min="525" max="525" width="13.7109375" style="518" bestFit="1" customWidth="1"/>
    <col min="526" max="529" width="12.42578125" style="518" customWidth="1"/>
    <col min="530" max="530" width="14.28515625" style="518" bestFit="1" customWidth="1"/>
    <col min="531" max="531" width="14.42578125" style="518" bestFit="1" customWidth="1"/>
    <col min="532" max="532" width="14.28515625" style="518" bestFit="1" customWidth="1"/>
    <col min="533" max="533" width="15" style="518" bestFit="1" customWidth="1"/>
    <col min="534" max="534" width="14.28515625" style="518" bestFit="1" customWidth="1"/>
    <col min="535" max="535" width="14.42578125" style="518" bestFit="1" customWidth="1"/>
    <col min="536" max="536" width="14.28515625" style="518" bestFit="1" customWidth="1"/>
    <col min="537" max="539" width="12.42578125" style="518" customWidth="1"/>
    <col min="540" max="540" width="12.42578125" style="518" bestFit="1" customWidth="1"/>
    <col min="541" max="778" width="11.5703125" style="518"/>
    <col min="779" max="779" width="68.140625" style="518" customWidth="1"/>
    <col min="780" max="780" width="19.42578125" style="518" customWidth="1"/>
    <col min="781" max="781" width="13.7109375" style="518" bestFit="1" customWidth="1"/>
    <col min="782" max="785" width="12.42578125" style="518" customWidth="1"/>
    <col min="786" max="786" width="14.28515625" style="518" bestFit="1" customWidth="1"/>
    <col min="787" max="787" width="14.42578125" style="518" bestFit="1" customWidth="1"/>
    <col min="788" max="788" width="14.28515625" style="518" bestFit="1" customWidth="1"/>
    <col min="789" max="789" width="15" style="518" bestFit="1" customWidth="1"/>
    <col min="790" max="790" width="14.28515625" style="518" bestFit="1" customWidth="1"/>
    <col min="791" max="791" width="14.42578125" style="518" bestFit="1" customWidth="1"/>
    <col min="792" max="792" width="14.28515625" style="518" bestFit="1" customWidth="1"/>
    <col min="793" max="795" width="12.42578125" style="518" customWidth="1"/>
    <col min="796" max="796" width="12.42578125" style="518" bestFit="1" customWidth="1"/>
    <col min="797" max="1034" width="11.5703125" style="518"/>
    <col min="1035" max="1035" width="68.140625" style="518" customWidth="1"/>
    <col min="1036" max="1036" width="19.42578125" style="518" customWidth="1"/>
    <col min="1037" max="1037" width="13.7109375" style="518" bestFit="1" customWidth="1"/>
    <col min="1038" max="1041" width="12.42578125" style="518" customWidth="1"/>
    <col min="1042" max="1042" width="14.28515625" style="518" bestFit="1" customWidth="1"/>
    <col min="1043" max="1043" width="14.42578125" style="518" bestFit="1" customWidth="1"/>
    <col min="1044" max="1044" width="14.28515625" style="518" bestFit="1" customWidth="1"/>
    <col min="1045" max="1045" width="15" style="518" bestFit="1" customWidth="1"/>
    <col min="1046" max="1046" width="14.28515625" style="518" bestFit="1" customWidth="1"/>
    <col min="1047" max="1047" width="14.42578125" style="518" bestFit="1" customWidth="1"/>
    <col min="1048" max="1048" width="14.28515625" style="518" bestFit="1" customWidth="1"/>
    <col min="1049" max="1051" width="12.42578125" style="518" customWidth="1"/>
    <col min="1052" max="1052" width="12.42578125" style="518" bestFit="1" customWidth="1"/>
    <col min="1053" max="1290" width="11.5703125" style="518"/>
    <col min="1291" max="1291" width="68.140625" style="518" customWidth="1"/>
    <col min="1292" max="1292" width="19.42578125" style="518" customWidth="1"/>
    <col min="1293" max="1293" width="13.7109375" style="518" bestFit="1" customWidth="1"/>
    <col min="1294" max="1297" width="12.42578125" style="518" customWidth="1"/>
    <col min="1298" max="1298" width="14.28515625" style="518" bestFit="1" customWidth="1"/>
    <col min="1299" max="1299" width="14.42578125" style="518" bestFit="1" customWidth="1"/>
    <col min="1300" max="1300" width="14.28515625" style="518" bestFit="1" customWidth="1"/>
    <col min="1301" max="1301" width="15" style="518" bestFit="1" customWidth="1"/>
    <col min="1302" max="1302" width="14.28515625" style="518" bestFit="1" customWidth="1"/>
    <col min="1303" max="1303" width="14.42578125" style="518" bestFit="1" customWidth="1"/>
    <col min="1304" max="1304" width="14.28515625" style="518" bestFit="1" customWidth="1"/>
    <col min="1305" max="1307" width="12.42578125" style="518" customWidth="1"/>
    <col min="1308" max="1308" width="12.42578125" style="518" bestFit="1" customWidth="1"/>
    <col min="1309" max="1546" width="11.5703125" style="518"/>
    <col min="1547" max="1547" width="68.140625" style="518" customWidth="1"/>
    <col min="1548" max="1548" width="19.42578125" style="518" customWidth="1"/>
    <col min="1549" max="1549" width="13.7109375" style="518" bestFit="1" customWidth="1"/>
    <col min="1550" max="1553" width="12.42578125" style="518" customWidth="1"/>
    <col min="1554" max="1554" width="14.28515625" style="518" bestFit="1" customWidth="1"/>
    <col min="1555" max="1555" width="14.42578125" style="518" bestFit="1" customWidth="1"/>
    <col min="1556" max="1556" width="14.28515625" style="518" bestFit="1" customWidth="1"/>
    <col min="1557" max="1557" width="15" style="518" bestFit="1" customWidth="1"/>
    <col min="1558" max="1558" width="14.28515625" style="518" bestFit="1" customWidth="1"/>
    <col min="1559" max="1559" width="14.42578125" style="518" bestFit="1" customWidth="1"/>
    <col min="1560" max="1560" width="14.28515625" style="518" bestFit="1" customWidth="1"/>
    <col min="1561" max="1563" width="12.42578125" style="518" customWidth="1"/>
    <col min="1564" max="1564" width="12.42578125" style="518" bestFit="1" customWidth="1"/>
    <col min="1565" max="1802" width="11.5703125" style="518"/>
    <col min="1803" max="1803" width="68.140625" style="518" customWidth="1"/>
    <col min="1804" max="1804" width="19.42578125" style="518" customWidth="1"/>
    <col min="1805" max="1805" width="13.7109375" style="518" bestFit="1" customWidth="1"/>
    <col min="1806" max="1809" width="12.42578125" style="518" customWidth="1"/>
    <col min="1810" max="1810" width="14.28515625" style="518" bestFit="1" customWidth="1"/>
    <col min="1811" max="1811" width="14.42578125" style="518" bestFit="1" customWidth="1"/>
    <col min="1812" max="1812" width="14.28515625" style="518" bestFit="1" customWidth="1"/>
    <col min="1813" max="1813" width="15" style="518" bestFit="1" customWidth="1"/>
    <col min="1814" max="1814" width="14.28515625" style="518" bestFit="1" customWidth="1"/>
    <col min="1815" max="1815" width="14.42578125" style="518" bestFit="1" customWidth="1"/>
    <col min="1816" max="1816" width="14.28515625" style="518" bestFit="1" customWidth="1"/>
    <col min="1817" max="1819" width="12.42578125" style="518" customWidth="1"/>
    <col min="1820" max="1820" width="12.42578125" style="518" bestFit="1" customWidth="1"/>
    <col min="1821" max="2058" width="11.5703125" style="518"/>
    <col min="2059" max="2059" width="68.140625" style="518" customWidth="1"/>
    <col min="2060" max="2060" width="19.42578125" style="518" customWidth="1"/>
    <col min="2061" max="2061" width="13.7109375" style="518" bestFit="1" customWidth="1"/>
    <col min="2062" max="2065" width="12.42578125" style="518" customWidth="1"/>
    <col min="2066" max="2066" width="14.28515625" style="518" bestFit="1" customWidth="1"/>
    <col min="2067" max="2067" width="14.42578125" style="518" bestFit="1" customWidth="1"/>
    <col min="2068" max="2068" width="14.28515625" style="518" bestFit="1" customWidth="1"/>
    <col min="2069" max="2069" width="15" style="518" bestFit="1" customWidth="1"/>
    <col min="2070" max="2070" width="14.28515625" style="518" bestFit="1" customWidth="1"/>
    <col min="2071" max="2071" width="14.42578125" style="518" bestFit="1" customWidth="1"/>
    <col min="2072" max="2072" width="14.28515625" style="518" bestFit="1" customWidth="1"/>
    <col min="2073" max="2075" width="12.42578125" style="518" customWidth="1"/>
    <col min="2076" max="2076" width="12.42578125" style="518" bestFit="1" customWidth="1"/>
    <col min="2077" max="2314" width="11.5703125" style="518"/>
    <col min="2315" max="2315" width="68.140625" style="518" customWidth="1"/>
    <col min="2316" max="2316" width="19.42578125" style="518" customWidth="1"/>
    <col min="2317" max="2317" width="13.7109375" style="518" bestFit="1" customWidth="1"/>
    <col min="2318" max="2321" width="12.42578125" style="518" customWidth="1"/>
    <col min="2322" max="2322" width="14.28515625" style="518" bestFit="1" customWidth="1"/>
    <col min="2323" max="2323" width="14.42578125" style="518" bestFit="1" customWidth="1"/>
    <col min="2324" max="2324" width="14.28515625" style="518" bestFit="1" customWidth="1"/>
    <col min="2325" max="2325" width="15" style="518" bestFit="1" customWidth="1"/>
    <col min="2326" max="2326" width="14.28515625" style="518" bestFit="1" customWidth="1"/>
    <col min="2327" max="2327" width="14.42578125" style="518" bestFit="1" customWidth="1"/>
    <col min="2328" max="2328" width="14.28515625" style="518" bestFit="1" customWidth="1"/>
    <col min="2329" max="2331" width="12.42578125" style="518" customWidth="1"/>
    <col min="2332" max="2332" width="12.42578125" style="518" bestFit="1" customWidth="1"/>
    <col min="2333" max="2570" width="11.5703125" style="518"/>
    <col min="2571" max="2571" width="68.140625" style="518" customWidth="1"/>
    <col min="2572" max="2572" width="19.42578125" style="518" customWidth="1"/>
    <col min="2573" max="2573" width="13.7109375" style="518" bestFit="1" customWidth="1"/>
    <col min="2574" max="2577" width="12.42578125" style="518" customWidth="1"/>
    <col min="2578" max="2578" width="14.28515625" style="518" bestFit="1" customWidth="1"/>
    <col min="2579" max="2579" width="14.42578125" style="518" bestFit="1" customWidth="1"/>
    <col min="2580" max="2580" width="14.28515625" style="518" bestFit="1" customWidth="1"/>
    <col min="2581" max="2581" width="15" style="518" bestFit="1" customWidth="1"/>
    <col min="2582" max="2582" width="14.28515625" style="518" bestFit="1" customWidth="1"/>
    <col min="2583" max="2583" width="14.42578125" style="518" bestFit="1" customWidth="1"/>
    <col min="2584" max="2584" width="14.28515625" style="518" bestFit="1" customWidth="1"/>
    <col min="2585" max="2587" width="12.42578125" style="518" customWidth="1"/>
    <col min="2588" max="2588" width="12.42578125" style="518" bestFit="1" customWidth="1"/>
    <col min="2589" max="2826" width="11.5703125" style="518"/>
    <col min="2827" max="2827" width="68.140625" style="518" customWidth="1"/>
    <col min="2828" max="2828" width="19.42578125" style="518" customWidth="1"/>
    <col min="2829" max="2829" width="13.7109375" style="518" bestFit="1" customWidth="1"/>
    <col min="2830" max="2833" width="12.42578125" style="518" customWidth="1"/>
    <col min="2834" max="2834" width="14.28515625" style="518" bestFit="1" customWidth="1"/>
    <col min="2835" max="2835" width="14.42578125" style="518" bestFit="1" customWidth="1"/>
    <col min="2836" max="2836" width="14.28515625" style="518" bestFit="1" customWidth="1"/>
    <col min="2837" max="2837" width="15" style="518" bestFit="1" customWidth="1"/>
    <col min="2838" max="2838" width="14.28515625" style="518" bestFit="1" customWidth="1"/>
    <col min="2839" max="2839" width="14.42578125" style="518" bestFit="1" customWidth="1"/>
    <col min="2840" max="2840" width="14.28515625" style="518" bestFit="1" customWidth="1"/>
    <col min="2841" max="2843" width="12.42578125" style="518" customWidth="1"/>
    <col min="2844" max="2844" width="12.42578125" style="518" bestFit="1" customWidth="1"/>
    <col min="2845" max="3082" width="11.5703125" style="518"/>
    <col min="3083" max="3083" width="68.140625" style="518" customWidth="1"/>
    <col min="3084" max="3084" width="19.42578125" style="518" customWidth="1"/>
    <col min="3085" max="3085" width="13.7109375" style="518" bestFit="1" customWidth="1"/>
    <col min="3086" max="3089" width="12.42578125" style="518" customWidth="1"/>
    <col min="3090" max="3090" width="14.28515625" style="518" bestFit="1" customWidth="1"/>
    <col min="3091" max="3091" width="14.42578125" style="518" bestFit="1" customWidth="1"/>
    <col min="3092" max="3092" width="14.28515625" style="518" bestFit="1" customWidth="1"/>
    <col min="3093" max="3093" width="15" style="518" bestFit="1" customWidth="1"/>
    <col min="3094" max="3094" width="14.28515625" style="518" bestFit="1" customWidth="1"/>
    <col min="3095" max="3095" width="14.42578125" style="518" bestFit="1" customWidth="1"/>
    <col min="3096" max="3096" width="14.28515625" style="518" bestFit="1" customWidth="1"/>
    <col min="3097" max="3099" width="12.42578125" style="518" customWidth="1"/>
    <col min="3100" max="3100" width="12.42578125" style="518" bestFit="1" customWidth="1"/>
    <col min="3101" max="3338" width="11.5703125" style="518"/>
    <col min="3339" max="3339" width="68.140625" style="518" customWidth="1"/>
    <col min="3340" max="3340" width="19.42578125" style="518" customWidth="1"/>
    <col min="3341" max="3341" width="13.7109375" style="518" bestFit="1" customWidth="1"/>
    <col min="3342" max="3345" width="12.42578125" style="518" customWidth="1"/>
    <col min="3346" max="3346" width="14.28515625" style="518" bestFit="1" customWidth="1"/>
    <col min="3347" max="3347" width="14.42578125" style="518" bestFit="1" customWidth="1"/>
    <col min="3348" max="3348" width="14.28515625" style="518" bestFit="1" customWidth="1"/>
    <col min="3349" max="3349" width="15" style="518" bestFit="1" customWidth="1"/>
    <col min="3350" max="3350" width="14.28515625" style="518" bestFit="1" customWidth="1"/>
    <col min="3351" max="3351" width="14.42578125" style="518" bestFit="1" customWidth="1"/>
    <col min="3352" max="3352" width="14.28515625" style="518" bestFit="1" customWidth="1"/>
    <col min="3353" max="3355" width="12.42578125" style="518" customWidth="1"/>
    <col min="3356" max="3356" width="12.42578125" style="518" bestFit="1" customWidth="1"/>
    <col min="3357" max="3594" width="11.5703125" style="518"/>
    <col min="3595" max="3595" width="68.140625" style="518" customWidth="1"/>
    <col min="3596" max="3596" width="19.42578125" style="518" customWidth="1"/>
    <col min="3597" max="3597" width="13.7109375" style="518" bestFit="1" customWidth="1"/>
    <col min="3598" max="3601" width="12.42578125" style="518" customWidth="1"/>
    <col min="3602" max="3602" width="14.28515625" style="518" bestFit="1" customWidth="1"/>
    <col min="3603" max="3603" width="14.42578125" style="518" bestFit="1" customWidth="1"/>
    <col min="3604" max="3604" width="14.28515625" style="518" bestFit="1" customWidth="1"/>
    <col min="3605" max="3605" width="15" style="518" bestFit="1" customWidth="1"/>
    <col min="3606" max="3606" width="14.28515625" style="518" bestFit="1" customWidth="1"/>
    <col min="3607" max="3607" width="14.42578125" style="518" bestFit="1" customWidth="1"/>
    <col min="3608" max="3608" width="14.28515625" style="518" bestFit="1" customWidth="1"/>
    <col min="3609" max="3611" width="12.42578125" style="518" customWidth="1"/>
    <col min="3612" max="3612" width="12.42578125" style="518" bestFit="1" customWidth="1"/>
    <col min="3613" max="3850" width="11.5703125" style="518"/>
    <col min="3851" max="3851" width="68.140625" style="518" customWidth="1"/>
    <col min="3852" max="3852" width="19.42578125" style="518" customWidth="1"/>
    <col min="3853" max="3853" width="13.7109375" style="518" bestFit="1" customWidth="1"/>
    <col min="3854" max="3857" width="12.42578125" style="518" customWidth="1"/>
    <col min="3858" max="3858" width="14.28515625" style="518" bestFit="1" customWidth="1"/>
    <col min="3859" max="3859" width="14.42578125" style="518" bestFit="1" customWidth="1"/>
    <col min="3860" max="3860" width="14.28515625" style="518" bestFit="1" customWidth="1"/>
    <col min="3861" max="3861" width="15" style="518" bestFit="1" customWidth="1"/>
    <col min="3862" max="3862" width="14.28515625" style="518" bestFit="1" customWidth="1"/>
    <col min="3863" max="3863" width="14.42578125" style="518" bestFit="1" customWidth="1"/>
    <col min="3864" max="3864" width="14.28515625" style="518" bestFit="1" customWidth="1"/>
    <col min="3865" max="3867" width="12.42578125" style="518" customWidth="1"/>
    <col min="3868" max="3868" width="12.42578125" style="518" bestFit="1" customWidth="1"/>
    <col min="3869" max="4106" width="11.5703125" style="518"/>
    <col min="4107" max="4107" width="68.140625" style="518" customWidth="1"/>
    <col min="4108" max="4108" width="19.42578125" style="518" customWidth="1"/>
    <col min="4109" max="4109" width="13.7109375" style="518" bestFit="1" customWidth="1"/>
    <col min="4110" max="4113" width="12.42578125" style="518" customWidth="1"/>
    <col min="4114" max="4114" width="14.28515625" style="518" bestFit="1" customWidth="1"/>
    <col min="4115" max="4115" width="14.42578125" style="518" bestFit="1" customWidth="1"/>
    <col min="4116" max="4116" width="14.28515625" style="518" bestFit="1" customWidth="1"/>
    <col min="4117" max="4117" width="15" style="518" bestFit="1" customWidth="1"/>
    <col min="4118" max="4118" width="14.28515625" style="518" bestFit="1" customWidth="1"/>
    <col min="4119" max="4119" width="14.42578125" style="518" bestFit="1" customWidth="1"/>
    <col min="4120" max="4120" width="14.28515625" style="518" bestFit="1" customWidth="1"/>
    <col min="4121" max="4123" width="12.42578125" style="518" customWidth="1"/>
    <col min="4124" max="4124" width="12.42578125" style="518" bestFit="1" customWidth="1"/>
    <col min="4125" max="4362" width="11.5703125" style="518"/>
    <col min="4363" max="4363" width="68.140625" style="518" customWidth="1"/>
    <col min="4364" max="4364" width="19.42578125" style="518" customWidth="1"/>
    <col min="4365" max="4365" width="13.7109375" style="518" bestFit="1" customWidth="1"/>
    <col min="4366" max="4369" width="12.42578125" style="518" customWidth="1"/>
    <col min="4370" max="4370" width="14.28515625" style="518" bestFit="1" customWidth="1"/>
    <col min="4371" max="4371" width="14.42578125" style="518" bestFit="1" customWidth="1"/>
    <col min="4372" max="4372" width="14.28515625" style="518" bestFit="1" customWidth="1"/>
    <col min="4373" max="4373" width="15" style="518" bestFit="1" customWidth="1"/>
    <col min="4374" max="4374" width="14.28515625" style="518" bestFit="1" customWidth="1"/>
    <col min="4375" max="4375" width="14.42578125" style="518" bestFit="1" customWidth="1"/>
    <col min="4376" max="4376" width="14.28515625" style="518" bestFit="1" customWidth="1"/>
    <col min="4377" max="4379" width="12.42578125" style="518" customWidth="1"/>
    <col min="4380" max="4380" width="12.42578125" style="518" bestFit="1" customWidth="1"/>
    <col min="4381" max="4618" width="11.5703125" style="518"/>
    <col min="4619" max="4619" width="68.140625" style="518" customWidth="1"/>
    <col min="4620" max="4620" width="19.42578125" style="518" customWidth="1"/>
    <col min="4621" max="4621" width="13.7109375" style="518" bestFit="1" customWidth="1"/>
    <col min="4622" max="4625" width="12.42578125" style="518" customWidth="1"/>
    <col min="4626" max="4626" width="14.28515625" style="518" bestFit="1" customWidth="1"/>
    <col min="4627" max="4627" width="14.42578125" style="518" bestFit="1" customWidth="1"/>
    <col min="4628" max="4628" width="14.28515625" style="518" bestFit="1" customWidth="1"/>
    <col min="4629" max="4629" width="15" style="518" bestFit="1" customWidth="1"/>
    <col min="4630" max="4630" width="14.28515625" style="518" bestFit="1" customWidth="1"/>
    <col min="4631" max="4631" width="14.42578125" style="518" bestFit="1" customWidth="1"/>
    <col min="4632" max="4632" width="14.28515625" style="518" bestFit="1" customWidth="1"/>
    <col min="4633" max="4635" width="12.42578125" style="518" customWidth="1"/>
    <col min="4636" max="4636" width="12.42578125" style="518" bestFit="1" customWidth="1"/>
    <col min="4637" max="4874" width="11.5703125" style="518"/>
    <col min="4875" max="4875" width="68.140625" style="518" customWidth="1"/>
    <col min="4876" max="4876" width="19.42578125" style="518" customWidth="1"/>
    <col min="4877" max="4877" width="13.7109375" style="518" bestFit="1" customWidth="1"/>
    <col min="4878" max="4881" width="12.42578125" style="518" customWidth="1"/>
    <col min="4882" max="4882" width="14.28515625" style="518" bestFit="1" customWidth="1"/>
    <col min="4883" max="4883" width="14.42578125" style="518" bestFit="1" customWidth="1"/>
    <col min="4884" max="4884" width="14.28515625" style="518" bestFit="1" customWidth="1"/>
    <col min="4885" max="4885" width="15" style="518" bestFit="1" customWidth="1"/>
    <col min="4886" max="4886" width="14.28515625" style="518" bestFit="1" customWidth="1"/>
    <col min="4887" max="4887" width="14.42578125" style="518" bestFit="1" customWidth="1"/>
    <col min="4888" max="4888" width="14.28515625" style="518" bestFit="1" customWidth="1"/>
    <col min="4889" max="4891" width="12.42578125" style="518" customWidth="1"/>
    <col min="4892" max="4892" width="12.42578125" style="518" bestFit="1" customWidth="1"/>
    <col min="4893" max="5130" width="11.5703125" style="518"/>
    <col min="5131" max="5131" width="68.140625" style="518" customWidth="1"/>
    <col min="5132" max="5132" width="19.42578125" style="518" customWidth="1"/>
    <col min="5133" max="5133" width="13.7109375" style="518" bestFit="1" customWidth="1"/>
    <col min="5134" max="5137" width="12.42578125" style="518" customWidth="1"/>
    <col min="5138" max="5138" width="14.28515625" style="518" bestFit="1" customWidth="1"/>
    <col min="5139" max="5139" width="14.42578125" style="518" bestFit="1" customWidth="1"/>
    <col min="5140" max="5140" width="14.28515625" style="518" bestFit="1" customWidth="1"/>
    <col min="5141" max="5141" width="15" style="518" bestFit="1" customWidth="1"/>
    <col min="5142" max="5142" width="14.28515625" style="518" bestFit="1" customWidth="1"/>
    <col min="5143" max="5143" width="14.42578125" style="518" bestFit="1" customWidth="1"/>
    <col min="5144" max="5144" width="14.28515625" style="518" bestFit="1" customWidth="1"/>
    <col min="5145" max="5147" width="12.42578125" style="518" customWidth="1"/>
    <col min="5148" max="5148" width="12.42578125" style="518" bestFit="1" customWidth="1"/>
    <col min="5149" max="5386" width="11.5703125" style="518"/>
    <col min="5387" max="5387" width="68.140625" style="518" customWidth="1"/>
    <col min="5388" max="5388" width="19.42578125" style="518" customWidth="1"/>
    <col min="5389" max="5389" width="13.7109375" style="518" bestFit="1" customWidth="1"/>
    <col min="5390" max="5393" width="12.42578125" style="518" customWidth="1"/>
    <col min="5394" max="5394" width="14.28515625" style="518" bestFit="1" customWidth="1"/>
    <col min="5395" max="5395" width="14.42578125" style="518" bestFit="1" customWidth="1"/>
    <col min="5396" max="5396" width="14.28515625" style="518" bestFit="1" customWidth="1"/>
    <col min="5397" max="5397" width="15" style="518" bestFit="1" customWidth="1"/>
    <col min="5398" max="5398" width="14.28515625" style="518" bestFit="1" customWidth="1"/>
    <col min="5399" max="5399" width="14.42578125" style="518" bestFit="1" customWidth="1"/>
    <col min="5400" max="5400" width="14.28515625" style="518" bestFit="1" customWidth="1"/>
    <col min="5401" max="5403" width="12.42578125" style="518" customWidth="1"/>
    <col min="5404" max="5404" width="12.42578125" style="518" bestFit="1" customWidth="1"/>
    <col min="5405" max="5642" width="11.5703125" style="518"/>
    <col min="5643" max="5643" width="68.140625" style="518" customWidth="1"/>
    <col min="5644" max="5644" width="19.42578125" style="518" customWidth="1"/>
    <col min="5645" max="5645" width="13.7109375" style="518" bestFit="1" customWidth="1"/>
    <col min="5646" max="5649" width="12.42578125" style="518" customWidth="1"/>
    <col min="5650" max="5650" width="14.28515625" style="518" bestFit="1" customWidth="1"/>
    <col min="5651" max="5651" width="14.42578125" style="518" bestFit="1" customWidth="1"/>
    <col min="5652" max="5652" width="14.28515625" style="518" bestFit="1" customWidth="1"/>
    <col min="5653" max="5653" width="15" style="518" bestFit="1" customWidth="1"/>
    <col min="5654" max="5654" width="14.28515625" style="518" bestFit="1" customWidth="1"/>
    <col min="5655" max="5655" width="14.42578125" style="518" bestFit="1" customWidth="1"/>
    <col min="5656" max="5656" width="14.28515625" style="518" bestFit="1" customWidth="1"/>
    <col min="5657" max="5659" width="12.42578125" style="518" customWidth="1"/>
    <col min="5660" max="5660" width="12.42578125" style="518" bestFit="1" customWidth="1"/>
    <col min="5661" max="5898" width="11.5703125" style="518"/>
    <col min="5899" max="5899" width="68.140625" style="518" customWidth="1"/>
    <col min="5900" max="5900" width="19.42578125" style="518" customWidth="1"/>
    <col min="5901" max="5901" width="13.7109375" style="518" bestFit="1" customWidth="1"/>
    <col min="5902" max="5905" width="12.42578125" style="518" customWidth="1"/>
    <col min="5906" max="5906" width="14.28515625" style="518" bestFit="1" customWidth="1"/>
    <col min="5907" max="5907" width="14.42578125" style="518" bestFit="1" customWidth="1"/>
    <col min="5908" max="5908" width="14.28515625" style="518" bestFit="1" customWidth="1"/>
    <col min="5909" max="5909" width="15" style="518" bestFit="1" customWidth="1"/>
    <col min="5910" max="5910" width="14.28515625" style="518" bestFit="1" customWidth="1"/>
    <col min="5911" max="5911" width="14.42578125" style="518" bestFit="1" customWidth="1"/>
    <col min="5912" max="5912" width="14.28515625" style="518" bestFit="1" customWidth="1"/>
    <col min="5913" max="5915" width="12.42578125" style="518" customWidth="1"/>
    <col min="5916" max="5916" width="12.42578125" style="518" bestFit="1" customWidth="1"/>
    <col min="5917" max="6154" width="11.5703125" style="518"/>
    <col min="6155" max="6155" width="68.140625" style="518" customWidth="1"/>
    <col min="6156" max="6156" width="19.42578125" style="518" customWidth="1"/>
    <col min="6157" max="6157" width="13.7109375" style="518" bestFit="1" customWidth="1"/>
    <col min="6158" max="6161" width="12.42578125" style="518" customWidth="1"/>
    <col min="6162" max="6162" width="14.28515625" style="518" bestFit="1" customWidth="1"/>
    <col min="6163" max="6163" width="14.42578125" style="518" bestFit="1" customWidth="1"/>
    <col min="6164" max="6164" width="14.28515625" style="518" bestFit="1" customWidth="1"/>
    <col min="6165" max="6165" width="15" style="518" bestFit="1" customWidth="1"/>
    <col min="6166" max="6166" width="14.28515625" style="518" bestFit="1" customWidth="1"/>
    <col min="6167" max="6167" width="14.42578125" style="518" bestFit="1" customWidth="1"/>
    <col min="6168" max="6168" width="14.28515625" style="518" bestFit="1" customWidth="1"/>
    <col min="6169" max="6171" width="12.42578125" style="518" customWidth="1"/>
    <col min="6172" max="6172" width="12.42578125" style="518" bestFit="1" customWidth="1"/>
    <col min="6173" max="6410" width="11.5703125" style="518"/>
    <col min="6411" max="6411" width="68.140625" style="518" customWidth="1"/>
    <col min="6412" max="6412" width="19.42578125" style="518" customWidth="1"/>
    <col min="6413" max="6413" width="13.7109375" style="518" bestFit="1" customWidth="1"/>
    <col min="6414" max="6417" width="12.42578125" style="518" customWidth="1"/>
    <col min="6418" max="6418" width="14.28515625" style="518" bestFit="1" customWidth="1"/>
    <col min="6419" max="6419" width="14.42578125" style="518" bestFit="1" customWidth="1"/>
    <col min="6420" max="6420" width="14.28515625" style="518" bestFit="1" customWidth="1"/>
    <col min="6421" max="6421" width="15" style="518" bestFit="1" customWidth="1"/>
    <col min="6422" max="6422" width="14.28515625" style="518" bestFit="1" customWidth="1"/>
    <col min="6423" max="6423" width="14.42578125" style="518" bestFit="1" customWidth="1"/>
    <col min="6424" max="6424" width="14.28515625" style="518" bestFit="1" customWidth="1"/>
    <col min="6425" max="6427" width="12.42578125" style="518" customWidth="1"/>
    <col min="6428" max="6428" width="12.42578125" style="518" bestFit="1" customWidth="1"/>
    <col min="6429" max="6666" width="11.5703125" style="518"/>
    <col min="6667" max="6667" width="68.140625" style="518" customWidth="1"/>
    <col min="6668" max="6668" width="19.42578125" style="518" customWidth="1"/>
    <col min="6669" max="6669" width="13.7109375" style="518" bestFit="1" customWidth="1"/>
    <col min="6670" max="6673" width="12.42578125" style="518" customWidth="1"/>
    <col min="6674" max="6674" width="14.28515625" style="518" bestFit="1" customWidth="1"/>
    <col min="6675" max="6675" width="14.42578125" style="518" bestFit="1" customWidth="1"/>
    <col min="6676" max="6676" width="14.28515625" style="518" bestFit="1" customWidth="1"/>
    <col min="6677" max="6677" width="15" style="518" bestFit="1" customWidth="1"/>
    <col min="6678" max="6678" width="14.28515625" style="518" bestFit="1" customWidth="1"/>
    <col min="6679" max="6679" width="14.42578125" style="518" bestFit="1" customWidth="1"/>
    <col min="6680" max="6680" width="14.28515625" style="518" bestFit="1" customWidth="1"/>
    <col min="6681" max="6683" width="12.42578125" style="518" customWidth="1"/>
    <col min="6684" max="6684" width="12.42578125" style="518" bestFit="1" customWidth="1"/>
    <col min="6685" max="6922" width="11.5703125" style="518"/>
    <col min="6923" max="6923" width="68.140625" style="518" customWidth="1"/>
    <col min="6924" max="6924" width="19.42578125" style="518" customWidth="1"/>
    <col min="6925" max="6925" width="13.7109375" style="518" bestFit="1" customWidth="1"/>
    <col min="6926" max="6929" width="12.42578125" style="518" customWidth="1"/>
    <col min="6930" max="6930" width="14.28515625" style="518" bestFit="1" customWidth="1"/>
    <col min="6931" max="6931" width="14.42578125" style="518" bestFit="1" customWidth="1"/>
    <col min="6932" max="6932" width="14.28515625" style="518" bestFit="1" customWidth="1"/>
    <col min="6933" max="6933" width="15" style="518" bestFit="1" customWidth="1"/>
    <col min="6934" max="6934" width="14.28515625" style="518" bestFit="1" customWidth="1"/>
    <col min="6935" max="6935" width="14.42578125" style="518" bestFit="1" customWidth="1"/>
    <col min="6936" max="6936" width="14.28515625" style="518" bestFit="1" customWidth="1"/>
    <col min="6937" max="6939" width="12.42578125" style="518" customWidth="1"/>
    <col min="6940" max="6940" width="12.42578125" style="518" bestFit="1" customWidth="1"/>
    <col min="6941" max="7178" width="11.5703125" style="518"/>
    <col min="7179" max="7179" width="68.140625" style="518" customWidth="1"/>
    <col min="7180" max="7180" width="19.42578125" style="518" customWidth="1"/>
    <col min="7181" max="7181" width="13.7109375" style="518" bestFit="1" customWidth="1"/>
    <col min="7182" max="7185" width="12.42578125" style="518" customWidth="1"/>
    <col min="7186" max="7186" width="14.28515625" style="518" bestFit="1" customWidth="1"/>
    <col min="7187" max="7187" width="14.42578125" style="518" bestFit="1" customWidth="1"/>
    <col min="7188" max="7188" width="14.28515625" style="518" bestFit="1" customWidth="1"/>
    <col min="7189" max="7189" width="15" style="518" bestFit="1" customWidth="1"/>
    <col min="7190" max="7190" width="14.28515625" style="518" bestFit="1" customWidth="1"/>
    <col min="7191" max="7191" width="14.42578125" style="518" bestFit="1" customWidth="1"/>
    <col min="7192" max="7192" width="14.28515625" style="518" bestFit="1" customWidth="1"/>
    <col min="7193" max="7195" width="12.42578125" style="518" customWidth="1"/>
    <col min="7196" max="7196" width="12.42578125" style="518" bestFit="1" customWidth="1"/>
    <col min="7197" max="7434" width="11.5703125" style="518"/>
    <col min="7435" max="7435" width="68.140625" style="518" customWidth="1"/>
    <col min="7436" max="7436" width="19.42578125" style="518" customWidth="1"/>
    <col min="7437" max="7437" width="13.7109375" style="518" bestFit="1" customWidth="1"/>
    <col min="7438" max="7441" width="12.42578125" style="518" customWidth="1"/>
    <col min="7442" max="7442" width="14.28515625" style="518" bestFit="1" customWidth="1"/>
    <col min="7443" max="7443" width="14.42578125" style="518" bestFit="1" customWidth="1"/>
    <col min="7444" max="7444" width="14.28515625" style="518" bestFit="1" customWidth="1"/>
    <col min="7445" max="7445" width="15" style="518" bestFit="1" customWidth="1"/>
    <col min="7446" max="7446" width="14.28515625" style="518" bestFit="1" customWidth="1"/>
    <col min="7447" max="7447" width="14.42578125" style="518" bestFit="1" customWidth="1"/>
    <col min="7448" max="7448" width="14.28515625" style="518" bestFit="1" customWidth="1"/>
    <col min="7449" max="7451" width="12.42578125" style="518" customWidth="1"/>
    <col min="7452" max="7452" width="12.42578125" style="518" bestFit="1" customWidth="1"/>
    <col min="7453" max="7690" width="11.5703125" style="518"/>
    <col min="7691" max="7691" width="68.140625" style="518" customWidth="1"/>
    <col min="7692" max="7692" width="19.42578125" style="518" customWidth="1"/>
    <col min="7693" max="7693" width="13.7109375" style="518" bestFit="1" customWidth="1"/>
    <col min="7694" max="7697" width="12.42578125" style="518" customWidth="1"/>
    <col min="7698" max="7698" width="14.28515625" style="518" bestFit="1" customWidth="1"/>
    <col min="7699" max="7699" width="14.42578125" style="518" bestFit="1" customWidth="1"/>
    <col min="7700" max="7700" width="14.28515625" style="518" bestFit="1" customWidth="1"/>
    <col min="7701" max="7701" width="15" style="518" bestFit="1" customWidth="1"/>
    <col min="7702" max="7702" width="14.28515625" style="518" bestFit="1" customWidth="1"/>
    <col min="7703" max="7703" width="14.42578125" style="518" bestFit="1" customWidth="1"/>
    <col min="7704" max="7704" width="14.28515625" style="518" bestFit="1" customWidth="1"/>
    <col min="7705" max="7707" width="12.42578125" style="518" customWidth="1"/>
    <col min="7708" max="7708" width="12.42578125" style="518" bestFit="1" customWidth="1"/>
    <col min="7709" max="7946" width="11.5703125" style="518"/>
    <col min="7947" max="7947" width="68.140625" style="518" customWidth="1"/>
    <col min="7948" max="7948" width="19.42578125" style="518" customWidth="1"/>
    <col min="7949" max="7949" width="13.7109375" style="518" bestFit="1" customWidth="1"/>
    <col min="7950" max="7953" width="12.42578125" style="518" customWidth="1"/>
    <col min="7954" max="7954" width="14.28515625" style="518" bestFit="1" customWidth="1"/>
    <col min="7955" max="7955" width="14.42578125" style="518" bestFit="1" customWidth="1"/>
    <col min="7956" max="7956" width="14.28515625" style="518" bestFit="1" customWidth="1"/>
    <col min="7957" max="7957" width="15" style="518" bestFit="1" customWidth="1"/>
    <col min="7958" max="7958" width="14.28515625" style="518" bestFit="1" customWidth="1"/>
    <col min="7959" max="7959" width="14.42578125" style="518" bestFit="1" customWidth="1"/>
    <col min="7960" max="7960" width="14.28515625" style="518" bestFit="1" customWidth="1"/>
    <col min="7961" max="7963" width="12.42578125" style="518" customWidth="1"/>
    <col min="7964" max="7964" width="12.42578125" style="518" bestFit="1" customWidth="1"/>
    <col min="7965" max="8202" width="11.5703125" style="518"/>
    <col min="8203" max="8203" width="68.140625" style="518" customWidth="1"/>
    <col min="8204" max="8204" width="19.42578125" style="518" customWidth="1"/>
    <col min="8205" max="8205" width="13.7109375" style="518" bestFit="1" customWidth="1"/>
    <col min="8206" max="8209" width="12.42578125" style="518" customWidth="1"/>
    <col min="8210" max="8210" width="14.28515625" style="518" bestFit="1" customWidth="1"/>
    <col min="8211" max="8211" width="14.42578125" style="518" bestFit="1" customWidth="1"/>
    <col min="8212" max="8212" width="14.28515625" style="518" bestFit="1" customWidth="1"/>
    <col min="8213" max="8213" width="15" style="518" bestFit="1" customWidth="1"/>
    <col min="8214" max="8214" width="14.28515625" style="518" bestFit="1" customWidth="1"/>
    <col min="8215" max="8215" width="14.42578125" style="518" bestFit="1" customWidth="1"/>
    <col min="8216" max="8216" width="14.28515625" style="518" bestFit="1" customWidth="1"/>
    <col min="8217" max="8219" width="12.42578125" style="518" customWidth="1"/>
    <col min="8220" max="8220" width="12.42578125" style="518" bestFit="1" customWidth="1"/>
    <col min="8221" max="8458" width="11.5703125" style="518"/>
    <col min="8459" max="8459" width="68.140625" style="518" customWidth="1"/>
    <col min="8460" max="8460" width="19.42578125" style="518" customWidth="1"/>
    <col min="8461" max="8461" width="13.7109375" style="518" bestFit="1" customWidth="1"/>
    <col min="8462" max="8465" width="12.42578125" style="518" customWidth="1"/>
    <col min="8466" max="8466" width="14.28515625" style="518" bestFit="1" customWidth="1"/>
    <col min="8467" max="8467" width="14.42578125" style="518" bestFit="1" customWidth="1"/>
    <col min="8468" max="8468" width="14.28515625" style="518" bestFit="1" customWidth="1"/>
    <col min="8469" max="8469" width="15" style="518" bestFit="1" customWidth="1"/>
    <col min="8470" max="8470" width="14.28515625" style="518" bestFit="1" customWidth="1"/>
    <col min="8471" max="8471" width="14.42578125" style="518" bestFit="1" customWidth="1"/>
    <col min="8472" max="8472" width="14.28515625" style="518" bestFit="1" customWidth="1"/>
    <col min="8473" max="8475" width="12.42578125" style="518" customWidth="1"/>
    <col min="8476" max="8476" width="12.42578125" style="518" bestFit="1" customWidth="1"/>
    <col min="8477" max="8714" width="11.5703125" style="518"/>
    <col min="8715" max="8715" width="68.140625" style="518" customWidth="1"/>
    <col min="8716" max="8716" width="19.42578125" style="518" customWidth="1"/>
    <col min="8717" max="8717" width="13.7109375" style="518" bestFit="1" customWidth="1"/>
    <col min="8718" max="8721" width="12.42578125" style="518" customWidth="1"/>
    <col min="8722" max="8722" width="14.28515625" style="518" bestFit="1" customWidth="1"/>
    <col min="8723" max="8723" width="14.42578125" style="518" bestFit="1" customWidth="1"/>
    <col min="8724" max="8724" width="14.28515625" style="518" bestFit="1" customWidth="1"/>
    <col min="8725" max="8725" width="15" style="518" bestFit="1" customWidth="1"/>
    <col min="8726" max="8726" width="14.28515625" style="518" bestFit="1" customWidth="1"/>
    <col min="8727" max="8727" width="14.42578125" style="518" bestFit="1" customWidth="1"/>
    <col min="8728" max="8728" width="14.28515625" style="518" bestFit="1" customWidth="1"/>
    <col min="8729" max="8731" width="12.42578125" style="518" customWidth="1"/>
    <col min="8732" max="8732" width="12.42578125" style="518" bestFit="1" customWidth="1"/>
    <col min="8733" max="8970" width="11.5703125" style="518"/>
    <col min="8971" max="8971" width="68.140625" style="518" customWidth="1"/>
    <col min="8972" max="8972" width="19.42578125" style="518" customWidth="1"/>
    <col min="8973" max="8973" width="13.7109375" style="518" bestFit="1" customWidth="1"/>
    <col min="8974" max="8977" width="12.42578125" style="518" customWidth="1"/>
    <col min="8978" max="8978" width="14.28515625" style="518" bestFit="1" customWidth="1"/>
    <col min="8979" max="8979" width="14.42578125" style="518" bestFit="1" customWidth="1"/>
    <col min="8980" max="8980" width="14.28515625" style="518" bestFit="1" customWidth="1"/>
    <col min="8981" max="8981" width="15" style="518" bestFit="1" customWidth="1"/>
    <col min="8982" max="8982" width="14.28515625" style="518" bestFit="1" customWidth="1"/>
    <col min="8983" max="8983" width="14.42578125" style="518" bestFit="1" customWidth="1"/>
    <col min="8984" max="8984" width="14.28515625" style="518" bestFit="1" customWidth="1"/>
    <col min="8985" max="8987" width="12.42578125" style="518" customWidth="1"/>
    <col min="8988" max="8988" width="12.42578125" style="518" bestFit="1" customWidth="1"/>
    <col min="8989" max="9226" width="11.5703125" style="518"/>
    <col min="9227" max="9227" width="68.140625" style="518" customWidth="1"/>
    <col min="9228" max="9228" width="19.42578125" style="518" customWidth="1"/>
    <col min="9229" max="9229" width="13.7109375" style="518" bestFit="1" customWidth="1"/>
    <col min="9230" max="9233" width="12.42578125" style="518" customWidth="1"/>
    <col min="9234" max="9234" width="14.28515625" style="518" bestFit="1" customWidth="1"/>
    <col min="9235" max="9235" width="14.42578125" style="518" bestFit="1" customWidth="1"/>
    <col min="9236" max="9236" width="14.28515625" style="518" bestFit="1" customWidth="1"/>
    <col min="9237" max="9237" width="15" style="518" bestFit="1" customWidth="1"/>
    <col min="9238" max="9238" width="14.28515625" style="518" bestFit="1" customWidth="1"/>
    <col min="9239" max="9239" width="14.42578125" style="518" bestFit="1" customWidth="1"/>
    <col min="9240" max="9240" width="14.28515625" style="518" bestFit="1" customWidth="1"/>
    <col min="9241" max="9243" width="12.42578125" style="518" customWidth="1"/>
    <col min="9244" max="9244" width="12.42578125" style="518" bestFit="1" customWidth="1"/>
    <col min="9245" max="9482" width="11.5703125" style="518"/>
    <col min="9483" max="9483" width="68.140625" style="518" customWidth="1"/>
    <col min="9484" max="9484" width="19.42578125" style="518" customWidth="1"/>
    <col min="9485" max="9485" width="13.7109375" style="518" bestFit="1" customWidth="1"/>
    <col min="9486" max="9489" width="12.42578125" style="518" customWidth="1"/>
    <col min="9490" max="9490" width="14.28515625" style="518" bestFit="1" customWidth="1"/>
    <col min="9491" max="9491" width="14.42578125" style="518" bestFit="1" customWidth="1"/>
    <col min="9492" max="9492" width="14.28515625" style="518" bestFit="1" customWidth="1"/>
    <col min="9493" max="9493" width="15" style="518" bestFit="1" customWidth="1"/>
    <col min="9494" max="9494" width="14.28515625" style="518" bestFit="1" customWidth="1"/>
    <col min="9495" max="9495" width="14.42578125" style="518" bestFit="1" customWidth="1"/>
    <col min="9496" max="9496" width="14.28515625" style="518" bestFit="1" customWidth="1"/>
    <col min="9497" max="9499" width="12.42578125" style="518" customWidth="1"/>
    <col min="9500" max="9500" width="12.42578125" style="518" bestFit="1" customWidth="1"/>
    <col min="9501" max="9738" width="11.5703125" style="518"/>
    <col min="9739" max="9739" width="68.140625" style="518" customWidth="1"/>
    <col min="9740" max="9740" width="19.42578125" style="518" customWidth="1"/>
    <col min="9741" max="9741" width="13.7109375" style="518" bestFit="1" customWidth="1"/>
    <col min="9742" max="9745" width="12.42578125" style="518" customWidth="1"/>
    <col min="9746" max="9746" width="14.28515625" style="518" bestFit="1" customWidth="1"/>
    <col min="9747" max="9747" width="14.42578125" style="518" bestFit="1" customWidth="1"/>
    <col min="9748" max="9748" width="14.28515625" style="518" bestFit="1" customWidth="1"/>
    <col min="9749" max="9749" width="15" style="518" bestFit="1" customWidth="1"/>
    <col min="9750" max="9750" width="14.28515625" style="518" bestFit="1" customWidth="1"/>
    <col min="9751" max="9751" width="14.42578125" style="518" bestFit="1" customWidth="1"/>
    <col min="9752" max="9752" width="14.28515625" style="518" bestFit="1" customWidth="1"/>
    <col min="9753" max="9755" width="12.42578125" style="518" customWidth="1"/>
    <col min="9756" max="9756" width="12.42578125" style="518" bestFit="1" customWidth="1"/>
    <col min="9757" max="9994" width="11.5703125" style="518"/>
    <col min="9995" max="9995" width="68.140625" style="518" customWidth="1"/>
    <col min="9996" max="9996" width="19.42578125" style="518" customWidth="1"/>
    <col min="9997" max="9997" width="13.7109375" style="518" bestFit="1" customWidth="1"/>
    <col min="9998" max="10001" width="12.42578125" style="518" customWidth="1"/>
    <col min="10002" max="10002" width="14.28515625" style="518" bestFit="1" customWidth="1"/>
    <col min="10003" max="10003" width="14.42578125" style="518" bestFit="1" customWidth="1"/>
    <col min="10004" max="10004" width="14.28515625" style="518" bestFit="1" customWidth="1"/>
    <col min="10005" max="10005" width="15" style="518" bestFit="1" customWidth="1"/>
    <col min="10006" max="10006" width="14.28515625" style="518" bestFit="1" customWidth="1"/>
    <col min="10007" max="10007" width="14.42578125" style="518" bestFit="1" customWidth="1"/>
    <col min="10008" max="10008" width="14.28515625" style="518" bestFit="1" customWidth="1"/>
    <col min="10009" max="10011" width="12.42578125" style="518" customWidth="1"/>
    <col min="10012" max="10012" width="12.42578125" style="518" bestFit="1" customWidth="1"/>
    <col min="10013" max="10250" width="11.5703125" style="518"/>
    <col min="10251" max="10251" width="68.140625" style="518" customWidth="1"/>
    <col min="10252" max="10252" width="19.42578125" style="518" customWidth="1"/>
    <col min="10253" max="10253" width="13.7109375" style="518" bestFit="1" customWidth="1"/>
    <col min="10254" max="10257" width="12.42578125" style="518" customWidth="1"/>
    <col min="10258" max="10258" width="14.28515625" style="518" bestFit="1" customWidth="1"/>
    <col min="10259" max="10259" width="14.42578125" style="518" bestFit="1" customWidth="1"/>
    <col min="10260" max="10260" width="14.28515625" style="518" bestFit="1" customWidth="1"/>
    <col min="10261" max="10261" width="15" style="518" bestFit="1" customWidth="1"/>
    <col min="10262" max="10262" width="14.28515625" style="518" bestFit="1" customWidth="1"/>
    <col min="10263" max="10263" width="14.42578125" style="518" bestFit="1" customWidth="1"/>
    <col min="10264" max="10264" width="14.28515625" style="518" bestFit="1" customWidth="1"/>
    <col min="10265" max="10267" width="12.42578125" style="518" customWidth="1"/>
    <col min="10268" max="10268" width="12.42578125" style="518" bestFit="1" customWidth="1"/>
    <col min="10269" max="10506" width="11.5703125" style="518"/>
    <col min="10507" max="10507" width="68.140625" style="518" customWidth="1"/>
    <col min="10508" max="10508" width="19.42578125" style="518" customWidth="1"/>
    <col min="10509" max="10509" width="13.7109375" style="518" bestFit="1" customWidth="1"/>
    <col min="10510" max="10513" width="12.42578125" style="518" customWidth="1"/>
    <col min="10514" max="10514" width="14.28515625" style="518" bestFit="1" customWidth="1"/>
    <col min="10515" max="10515" width="14.42578125" style="518" bestFit="1" customWidth="1"/>
    <col min="10516" max="10516" width="14.28515625" style="518" bestFit="1" customWidth="1"/>
    <col min="10517" max="10517" width="15" style="518" bestFit="1" customWidth="1"/>
    <col min="10518" max="10518" width="14.28515625" style="518" bestFit="1" customWidth="1"/>
    <col min="10519" max="10519" width="14.42578125" style="518" bestFit="1" customWidth="1"/>
    <col min="10520" max="10520" width="14.28515625" style="518" bestFit="1" customWidth="1"/>
    <col min="10521" max="10523" width="12.42578125" style="518" customWidth="1"/>
    <col min="10524" max="10524" width="12.42578125" style="518" bestFit="1" customWidth="1"/>
    <col min="10525" max="10762" width="11.5703125" style="518"/>
    <col min="10763" max="10763" width="68.140625" style="518" customWidth="1"/>
    <col min="10764" max="10764" width="19.42578125" style="518" customWidth="1"/>
    <col min="10765" max="10765" width="13.7109375" style="518" bestFit="1" customWidth="1"/>
    <col min="10766" max="10769" width="12.42578125" style="518" customWidth="1"/>
    <col min="10770" max="10770" width="14.28515625" style="518" bestFit="1" customWidth="1"/>
    <col min="10771" max="10771" width="14.42578125" style="518" bestFit="1" customWidth="1"/>
    <col min="10772" max="10772" width="14.28515625" style="518" bestFit="1" customWidth="1"/>
    <col min="10773" max="10773" width="15" style="518" bestFit="1" customWidth="1"/>
    <col min="10774" max="10774" width="14.28515625" style="518" bestFit="1" customWidth="1"/>
    <col min="10775" max="10775" width="14.42578125" style="518" bestFit="1" customWidth="1"/>
    <col min="10776" max="10776" width="14.28515625" style="518" bestFit="1" customWidth="1"/>
    <col min="10777" max="10779" width="12.42578125" style="518" customWidth="1"/>
    <col min="10780" max="10780" width="12.42578125" style="518" bestFit="1" customWidth="1"/>
    <col min="10781" max="11018" width="11.5703125" style="518"/>
    <col min="11019" max="11019" width="68.140625" style="518" customWidth="1"/>
    <col min="11020" max="11020" width="19.42578125" style="518" customWidth="1"/>
    <col min="11021" max="11021" width="13.7109375" style="518" bestFit="1" customWidth="1"/>
    <col min="11022" max="11025" width="12.42578125" style="518" customWidth="1"/>
    <col min="11026" max="11026" width="14.28515625" style="518" bestFit="1" customWidth="1"/>
    <col min="11027" max="11027" width="14.42578125" style="518" bestFit="1" customWidth="1"/>
    <col min="11028" max="11028" width="14.28515625" style="518" bestFit="1" customWidth="1"/>
    <col min="11029" max="11029" width="15" style="518" bestFit="1" customWidth="1"/>
    <col min="11030" max="11030" width="14.28515625" style="518" bestFit="1" customWidth="1"/>
    <col min="11031" max="11031" width="14.42578125" style="518" bestFit="1" customWidth="1"/>
    <col min="11032" max="11032" width="14.28515625" style="518" bestFit="1" customWidth="1"/>
    <col min="11033" max="11035" width="12.42578125" style="518" customWidth="1"/>
    <col min="11036" max="11036" width="12.42578125" style="518" bestFit="1" customWidth="1"/>
    <col min="11037" max="11274" width="11.5703125" style="518"/>
    <col min="11275" max="11275" width="68.140625" style="518" customWidth="1"/>
    <col min="11276" max="11276" width="19.42578125" style="518" customWidth="1"/>
    <col min="11277" max="11277" width="13.7109375" style="518" bestFit="1" customWidth="1"/>
    <col min="11278" max="11281" width="12.42578125" style="518" customWidth="1"/>
    <col min="11282" max="11282" width="14.28515625" style="518" bestFit="1" customWidth="1"/>
    <col min="11283" max="11283" width="14.42578125" style="518" bestFit="1" customWidth="1"/>
    <col min="11284" max="11284" width="14.28515625" style="518" bestFit="1" customWidth="1"/>
    <col min="11285" max="11285" width="15" style="518" bestFit="1" customWidth="1"/>
    <col min="11286" max="11286" width="14.28515625" style="518" bestFit="1" customWidth="1"/>
    <col min="11287" max="11287" width="14.42578125" style="518" bestFit="1" customWidth="1"/>
    <col min="11288" max="11288" width="14.28515625" style="518" bestFit="1" customWidth="1"/>
    <col min="11289" max="11291" width="12.42578125" style="518" customWidth="1"/>
    <col min="11292" max="11292" width="12.42578125" style="518" bestFit="1" customWidth="1"/>
    <col min="11293" max="11530" width="11.5703125" style="518"/>
    <col min="11531" max="11531" width="68.140625" style="518" customWidth="1"/>
    <col min="11532" max="11532" width="19.42578125" style="518" customWidth="1"/>
    <col min="11533" max="11533" width="13.7109375" style="518" bestFit="1" customWidth="1"/>
    <col min="11534" max="11537" width="12.42578125" style="518" customWidth="1"/>
    <col min="11538" max="11538" width="14.28515625" style="518" bestFit="1" customWidth="1"/>
    <col min="11539" max="11539" width="14.42578125" style="518" bestFit="1" customWidth="1"/>
    <col min="11540" max="11540" width="14.28515625" style="518" bestFit="1" customWidth="1"/>
    <col min="11541" max="11541" width="15" style="518" bestFit="1" customWidth="1"/>
    <col min="11542" max="11542" width="14.28515625" style="518" bestFit="1" customWidth="1"/>
    <col min="11543" max="11543" width="14.42578125" style="518" bestFit="1" customWidth="1"/>
    <col min="11544" max="11544" width="14.28515625" style="518" bestFit="1" customWidth="1"/>
    <col min="11545" max="11547" width="12.42578125" style="518" customWidth="1"/>
    <col min="11548" max="11548" width="12.42578125" style="518" bestFit="1" customWidth="1"/>
    <col min="11549" max="11786" width="11.5703125" style="518"/>
    <col min="11787" max="11787" width="68.140625" style="518" customWidth="1"/>
    <col min="11788" max="11788" width="19.42578125" style="518" customWidth="1"/>
    <col min="11789" max="11789" width="13.7109375" style="518" bestFit="1" customWidth="1"/>
    <col min="11790" max="11793" width="12.42578125" style="518" customWidth="1"/>
    <col min="11794" max="11794" width="14.28515625" style="518" bestFit="1" customWidth="1"/>
    <col min="11795" max="11795" width="14.42578125" style="518" bestFit="1" customWidth="1"/>
    <col min="11796" max="11796" width="14.28515625" style="518" bestFit="1" customWidth="1"/>
    <col min="11797" max="11797" width="15" style="518" bestFit="1" customWidth="1"/>
    <col min="11798" max="11798" width="14.28515625" style="518" bestFit="1" customWidth="1"/>
    <col min="11799" max="11799" width="14.42578125" style="518" bestFit="1" customWidth="1"/>
    <col min="11800" max="11800" width="14.28515625" style="518" bestFit="1" customWidth="1"/>
    <col min="11801" max="11803" width="12.42578125" style="518" customWidth="1"/>
    <col min="11804" max="11804" width="12.42578125" style="518" bestFit="1" customWidth="1"/>
    <col min="11805" max="12042" width="11.5703125" style="518"/>
    <col min="12043" max="12043" width="68.140625" style="518" customWidth="1"/>
    <col min="12044" max="12044" width="19.42578125" style="518" customWidth="1"/>
    <col min="12045" max="12045" width="13.7109375" style="518" bestFit="1" customWidth="1"/>
    <col min="12046" max="12049" width="12.42578125" style="518" customWidth="1"/>
    <col min="12050" max="12050" width="14.28515625" style="518" bestFit="1" customWidth="1"/>
    <col min="12051" max="12051" width="14.42578125" style="518" bestFit="1" customWidth="1"/>
    <col min="12052" max="12052" width="14.28515625" style="518" bestFit="1" customWidth="1"/>
    <col min="12053" max="12053" width="15" style="518" bestFit="1" customWidth="1"/>
    <col min="12054" max="12054" width="14.28515625" style="518" bestFit="1" customWidth="1"/>
    <col min="12055" max="12055" width="14.42578125" style="518" bestFit="1" customWidth="1"/>
    <col min="12056" max="12056" width="14.28515625" style="518" bestFit="1" customWidth="1"/>
    <col min="12057" max="12059" width="12.42578125" style="518" customWidth="1"/>
    <col min="12060" max="12060" width="12.42578125" style="518" bestFit="1" customWidth="1"/>
    <col min="12061" max="12298" width="11.5703125" style="518"/>
    <col min="12299" max="12299" width="68.140625" style="518" customWidth="1"/>
    <col min="12300" max="12300" width="19.42578125" style="518" customWidth="1"/>
    <col min="12301" max="12301" width="13.7109375" style="518" bestFit="1" customWidth="1"/>
    <col min="12302" max="12305" width="12.42578125" style="518" customWidth="1"/>
    <col min="12306" max="12306" width="14.28515625" style="518" bestFit="1" customWidth="1"/>
    <col min="12307" max="12307" width="14.42578125" style="518" bestFit="1" customWidth="1"/>
    <col min="12308" max="12308" width="14.28515625" style="518" bestFit="1" customWidth="1"/>
    <col min="12309" max="12309" width="15" style="518" bestFit="1" customWidth="1"/>
    <col min="12310" max="12310" width="14.28515625" style="518" bestFit="1" customWidth="1"/>
    <col min="12311" max="12311" width="14.42578125" style="518" bestFit="1" customWidth="1"/>
    <col min="12312" max="12312" width="14.28515625" style="518" bestFit="1" customWidth="1"/>
    <col min="12313" max="12315" width="12.42578125" style="518" customWidth="1"/>
    <col min="12316" max="12316" width="12.42578125" style="518" bestFit="1" customWidth="1"/>
    <col min="12317" max="12554" width="11.5703125" style="518"/>
    <col min="12555" max="12555" width="68.140625" style="518" customWidth="1"/>
    <col min="12556" max="12556" width="19.42578125" style="518" customWidth="1"/>
    <col min="12557" max="12557" width="13.7109375" style="518" bestFit="1" customWidth="1"/>
    <col min="12558" max="12561" width="12.42578125" style="518" customWidth="1"/>
    <col min="12562" max="12562" width="14.28515625" style="518" bestFit="1" customWidth="1"/>
    <col min="12563" max="12563" width="14.42578125" style="518" bestFit="1" customWidth="1"/>
    <col min="12564" max="12564" width="14.28515625" style="518" bestFit="1" customWidth="1"/>
    <col min="12565" max="12565" width="15" style="518" bestFit="1" customWidth="1"/>
    <col min="12566" max="12566" width="14.28515625" style="518" bestFit="1" customWidth="1"/>
    <col min="12567" max="12567" width="14.42578125" style="518" bestFit="1" customWidth="1"/>
    <col min="12568" max="12568" width="14.28515625" style="518" bestFit="1" customWidth="1"/>
    <col min="12569" max="12571" width="12.42578125" style="518" customWidth="1"/>
    <col min="12572" max="12572" width="12.42578125" style="518" bestFit="1" customWidth="1"/>
    <col min="12573" max="12810" width="11.5703125" style="518"/>
    <col min="12811" max="12811" width="68.140625" style="518" customWidth="1"/>
    <col min="12812" max="12812" width="19.42578125" style="518" customWidth="1"/>
    <col min="12813" max="12813" width="13.7109375" style="518" bestFit="1" customWidth="1"/>
    <col min="12814" max="12817" width="12.42578125" style="518" customWidth="1"/>
    <col min="12818" max="12818" width="14.28515625" style="518" bestFit="1" customWidth="1"/>
    <col min="12819" max="12819" width="14.42578125" style="518" bestFit="1" customWidth="1"/>
    <col min="12820" max="12820" width="14.28515625" style="518" bestFit="1" customWidth="1"/>
    <col min="12821" max="12821" width="15" style="518" bestFit="1" customWidth="1"/>
    <col min="12822" max="12822" width="14.28515625" style="518" bestFit="1" customWidth="1"/>
    <col min="12823" max="12823" width="14.42578125" style="518" bestFit="1" customWidth="1"/>
    <col min="12824" max="12824" width="14.28515625" style="518" bestFit="1" customWidth="1"/>
    <col min="12825" max="12827" width="12.42578125" style="518" customWidth="1"/>
    <col min="12828" max="12828" width="12.42578125" style="518" bestFit="1" customWidth="1"/>
    <col min="12829" max="13066" width="11.5703125" style="518"/>
    <col min="13067" max="13067" width="68.140625" style="518" customWidth="1"/>
    <col min="13068" max="13068" width="19.42578125" style="518" customWidth="1"/>
    <col min="13069" max="13069" width="13.7109375" style="518" bestFit="1" customWidth="1"/>
    <col min="13070" max="13073" width="12.42578125" style="518" customWidth="1"/>
    <col min="13074" max="13074" width="14.28515625" style="518" bestFit="1" customWidth="1"/>
    <col min="13075" max="13075" width="14.42578125" style="518" bestFit="1" customWidth="1"/>
    <col min="13076" max="13076" width="14.28515625" style="518" bestFit="1" customWidth="1"/>
    <col min="13077" max="13077" width="15" style="518" bestFit="1" customWidth="1"/>
    <col min="13078" max="13078" width="14.28515625" style="518" bestFit="1" customWidth="1"/>
    <col min="13079" max="13079" width="14.42578125" style="518" bestFit="1" customWidth="1"/>
    <col min="13080" max="13080" width="14.28515625" style="518" bestFit="1" customWidth="1"/>
    <col min="13081" max="13083" width="12.42578125" style="518" customWidth="1"/>
    <col min="13084" max="13084" width="12.42578125" style="518" bestFit="1" customWidth="1"/>
    <col min="13085" max="13322" width="11.5703125" style="518"/>
    <col min="13323" max="13323" width="68.140625" style="518" customWidth="1"/>
    <col min="13324" max="13324" width="19.42578125" style="518" customWidth="1"/>
    <col min="13325" max="13325" width="13.7109375" style="518" bestFit="1" customWidth="1"/>
    <col min="13326" max="13329" width="12.42578125" style="518" customWidth="1"/>
    <col min="13330" max="13330" width="14.28515625" style="518" bestFit="1" customWidth="1"/>
    <col min="13331" max="13331" width="14.42578125" style="518" bestFit="1" customWidth="1"/>
    <col min="13332" max="13332" width="14.28515625" style="518" bestFit="1" customWidth="1"/>
    <col min="13333" max="13333" width="15" style="518" bestFit="1" customWidth="1"/>
    <col min="13334" max="13334" width="14.28515625" style="518" bestFit="1" customWidth="1"/>
    <col min="13335" max="13335" width="14.42578125" style="518" bestFit="1" customWidth="1"/>
    <col min="13336" max="13336" width="14.28515625" style="518" bestFit="1" customWidth="1"/>
    <col min="13337" max="13339" width="12.42578125" style="518" customWidth="1"/>
    <col min="13340" max="13340" width="12.42578125" style="518" bestFit="1" customWidth="1"/>
    <col min="13341" max="13578" width="11.5703125" style="518"/>
    <col min="13579" max="13579" width="68.140625" style="518" customWidth="1"/>
    <col min="13580" max="13580" width="19.42578125" style="518" customWidth="1"/>
    <col min="13581" max="13581" width="13.7109375" style="518" bestFit="1" customWidth="1"/>
    <col min="13582" max="13585" width="12.42578125" style="518" customWidth="1"/>
    <col min="13586" max="13586" width="14.28515625" style="518" bestFit="1" customWidth="1"/>
    <col min="13587" max="13587" width="14.42578125" style="518" bestFit="1" customWidth="1"/>
    <col min="13588" max="13588" width="14.28515625" style="518" bestFit="1" customWidth="1"/>
    <col min="13589" max="13589" width="15" style="518" bestFit="1" customWidth="1"/>
    <col min="13590" max="13590" width="14.28515625" style="518" bestFit="1" customWidth="1"/>
    <col min="13591" max="13591" width="14.42578125" style="518" bestFit="1" customWidth="1"/>
    <col min="13592" max="13592" width="14.28515625" style="518" bestFit="1" customWidth="1"/>
    <col min="13593" max="13595" width="12.42578125" style="518" customWidth="1"/>
    <col min="13596" max="13596" width="12.42578125" style="518" bestFit="1" customWidth="1"/>
    <col min="13597" max="13834" width="11.5703125" style="518"/>
    <col min="13835" max="13835" width="68.140625" style="518" customWidth="1"/>
    <col min="13836" max="13836" width="19.42578125" style="518" customWidth="1"/>
    <col min="13837" max="13837" width="13.7109375" style="518" bestFit="1" customWidth="1"/>
    <col min="13838" max="13841" width="12.42578125" style="518" customWidth="1"/>
    <col min="13842" max="13842" width="14.28515625" style="518" bestFit="1" customWidth="1"/>
    <col min="13843" max="13843" width="14.42578125" style="518" bestFit="1" customWidth="1"/>
    <col min="13844" max="13844" width="14.28515625" style="518" bestFit="1" customWidth="1"/>
    <col min="13845" max="13845" width="15" style="518" bestFit="1" customWidth="1"/>
    <col min="13846" max="13846" width="14.28515625" style="518" bestFit="1" customWidth="1"/>
    <col min="13847" max="13847" width="14.42578125" style="518" bestFit="1" customWidth="1"/>
    <col min="13848" max="13848" width="14.28515625" style="518" bestFit="1" customWidth="1"/>
    <col min="13849" max="13851" width="12.42578125" style="518" customWidth="1"/>
    <col min="13852" max="13852" width="12.42578125" style="518" bestFit="1" customWidth="1"/>
    <col min="13853" max="14090" width="11.5703125" style="518"/>
    <col min="14091" max="14091" width="68.140625" style="518" customWidth="1"/>
    <col min="14092" max="14092" width="19.42578125" style="518" customWidth="1"/>
    <col min="14093" max="14093" width="13.7109375" style="518" bestFit="1" customWidth="1"/>
    <col min="14094" max="14097" width="12.42578125" style="518" customWidth="1"/>
    <col min="14098" max="14098" width="14.28515625" style="518" bestFit="1" customWidth="1"/>
    <col min="14099" max="14099" width="14.42578125" style="518" bestFit="1" customWidth="1"/>
    <col min="14100" max="14100" width="14.28515625" style="518" bestFit="1" customWidth="1"/>
    <col min="14101" max="14101" width="15" style="518" bestFit="1" customWidth="1"/>
    <col min="14102" max="14102" width="14.28515625" style="518" bestFit="1" customWidth="1"/>
    <col min="14103" max="14103" width="14.42578125" style="518" bestFit="1" customWidth="1"/>
    <col min="14104" max="14104" width="14.28515625" style="518" bestFit="1" customWidth="1"/>
    <col min="14105" max="14107" width="12.42578125" style="518" customWidth="1"/>
    <col min="14108" max="14108" width="12.42578125" style="518" bestFit="1" customWidth="1"/>
    <col min="14109" max="14346" width="11.5703125" style="518"/>
    <col min="14347" max="14347" width="68.140625" style="518" customWidth="1"/>
    <col min="14348" max="14348" width="19.42578125" style="518" customWidth="1"/>
    <col min="14349" max="14349" width="13.7109375" style="518" bestFit="1" customWidth="1"/>
    <col min="14350" max="14353" width="12.42578125" style="518" customWidth="1"/>
    <col min="14354" max="14354" width="14.28515625" style="518" bestFit="1" customWidth="1"/>
    <col min="14355" max="14355" width="14.42578125" style="518" bestFit="1" customWidth="1"/>
    <col min="14356" max="14356" width="14.28515625" style="518" bestFit="1" customWidth="1"/>
    <col min="14357" max="14357" width="15" style="518" bestFit="1" customWidth="1"/>
    <col min="14358" max="14358" width="14.28515625" style="518" bestFit="1" customWidth="1"/>
    <col min="14359" max="14359" width="14.42578125" style="518" bestFit="1" customWidth="1"/>
    <col min="14360" max="14360" width="14.28515625" style="518" bestFit="1" customWidth="1"/>
    <col min="14361" max="14363" width="12.42578125" style="518" customWidth="1"/>
    <col min="14364" max="14364" width="12.42578125" style="518" bestFit="1" customWidth="1"/>
    <col min="14365" max="14602" width="11.5703125" style="518"/>
    <col min="14603" max="14603" width="68.140625" style="518" customWidth="1"/>
    <col min="14604" max="14604" width="19.42578125" style="518" customWidth="1"/>
    <col min="14605" max="14605" width="13.7109375" style="518" bestFit="1" customWidth="1"/>
    <col min="14606" max="14609" width="12.42578125" style="518" customWidth="1"/>
    <col min="14610" max="14610" width="14.28515625" style="518" bestFit="1" customWidth="1"/>
    <col min="14611" max="14611" width="14.42578125" style="518" bestFit="1" customWidth="1"/>
    <col min="14612" max="14612" width="14.28515625" style="518" bestFit="1" customWidth="1"/>
    <col min="14613" max="14613" width="15" style="518" bestFit="1" customWidth="1"/>
    <col min="14614" max="14614" width="14.28515625" style="518" bestFit="1" customWidth="1"/>
    <col min="14615" max="14615" width="14.42578125" style="518" bestFit="1" customWidth="1"/>
    <col min="14616" max="14616" width="14.28515625" style="518" bestFit="1" customWidth="1"/>
    <col min="14617" max="14619" width="12.42578125" style="518" customWidth="1"/>
    <col min="14620" max="14620" width="12.42578125" style="518" bestFit="1" customWidth="1"/>
    <col min="14621" max="14858" width="11.5703125" style="518"/>
    <col min="14859" max="14859" width="68.140625" style="518" customWidth="1"/>
    <col min="14860" max="14860" width="19.42578125" style="518" customWidth="1"/>
    <col min="14861" max="14861" width="13.7109375" style="518" bestFit="1" customWidth="1"/>
    <col min="14862" max="14865" width="12.42578125" style="518" customWidth="1"/>
    <col min="14866" max="14866" width="14.28515625" style="518" bestFit="1" customWidth="1"/>
    <col min="14867" max="14867" width="14.42578125" style="518" bestFit="1" customWidth="1"/>
    <col min="14868" max="14868" width="14.28515625" style="518" bestFit="1" customWidth="1"/>
    <col min="14869" max="14869" width="15" style="518" bestFit="1" customWidth="1"/>
    <col min="14870" max="14870" width="14.28515625" style="518" bestFit="1" customWidth="1"/>
    <col min="14871" max="14871" width="14.42578125" style="518" bestFit="1" customWidth="1"/>
    <col min="14872" max="14872" width="14.28515625" style="518" bestFit="1" customWidth="1"/>
    <col min="14873" max="14875" width="12.42578125" style="518" customWidth="1"/>
    <col min="14876" max="14876" width="12.42578125" style="518" bestFit="1" customWidth="1"/>
    <col min="14877" max="15114" width="11.5703125" style="518"/>
    <col min="15115" max="15115" width="68.140625" style="518" customWidth="1"/>
    <col min="15116" max="15116" width="19.42578125" style="518" customWidth="1"/>
    <col min="15117" max="15117" width="13.7109375" style="518" bestFit="1" customWidth="1"/>
    <col min="15118" max="15121" width="12.42578125" style="518" customWidth="1"/>
    <col min="15122" max="15122" width="14.28515625" style="518" bestFit="1" customWidth="1"/>
    <col min="15123" max="15123" width="14.42578125" style="518" bestFit="1" customWidth="1"/>
    <col min="15124" max="15124" width="14.28515625" style="518" bestFit="1" customWidth="1"/>
    <col min="15125" max="15125" width="15" style="518" bestFit="1" customWidth="1"/>
    <col min="15126" max="15126" width="14.28515625" style="518" bestFit="1" customWidth="1"/>
    <col min="15127" max="15127" width="14.42578125" style="518" bestFit="1" customWidth="1"/>
    <col min="15128" max="15128" width="14.28515625" style="518" bestFit="1" customWidth="1"/>
    <col min="15129" max="15131" width="12.42578125" style="518" customWidth="1"/>
    <col min="15132" max="15132" width="12.42578125" style="518" bestFit="1" customWidth="1"/>
    <col min="15133" max="15370" width="11.5703125" style="518"/>
    <col min="15371" max="15371" width="68.140625" style="518" customWidth="1"/>
    <col min="15372" max="15372" width="19.42578125" style="518" customWidth="1"/>
    <col min="15373" max="15373" width="13.7109375" style="518" bestFit="1" customWidth="1"/>
    <col min="15374" max="15377" width="12.42578125" style="518" customWidth="1"/>
    <col min="15378" max="15378" width="14.28515625" style="518" bestFit="1" customWidth="1"/>
    <col min="15379" max="15379" width="14.42578125" style="518" bestFit="1" customWidth="1"/>
    <col min="15380" max="15380" width="14.28515625" style="518" bestFit="1" customWidth="1"/>
    <col min="15381" max="15381" width="15" style="518" bestFit="1" customWidth="1"/>
    <col min="15382" max="15382" width="14.28515625" style="518" bestFit="1" customWidth="1"/>
    <col min="15383" max="15383" width="14.42578125" style="518" bestFit="1" customWidth="1"/>
    <col min="15384" max="15384" width="14.28515625" style="518" bestFit="1" customWidth="1"/>
    <col min="15385" max="15387" width="12.42578125" style="518" customWidth="1"/>
    <col min="15388" max="15388" width="12.42578125" style="518" bestFit="1" customWidth="1"/>
    <col min="15389" max="15626" width="11.5703125" style="518"/>
    <col min="15627" max="15627" width="68.140625" style="518" customWidth="1"/>
    <col min="15628" max="15628" width="19.42578125" style="518" customWidth="1"/>
    <col min="15629" max="15629" width="13.7109375" style="518" bestFit="1" customWidth="1"/>
    <col min="15630" max="15633" width="12.42578125" style="518" customWidth="1"/>
    <col min="15634" max="15634" width="14.28515625" style="518" bestFit="1" customWidth="1"/>
    <col min="15635" max="15635" width="14.42578125" style="518" bestFit="1" customWidth="1"/>
    <col min="15636" max="15636" width="14.28515625" style="518" bestFit="1" customWidth="1"/>
    <col min="15637" max="15637" width="15" style="518" bestFit="1" customWidth="1"/>
    <col min="15638" max="15638" width="14.28515625" style="518" bestFit="1" customWidth="1"/>
    <col min="15639" max="15639" width="14.42578125" style="518" bestFit="1" customWidth="1"/>
    <col min="15640" max="15640" width="14.28515625" style="518" bestFit="1" customWidth="1"/>
    <col min="15641" max="15643" width="12.42578125" style="518" customWidth="1"/>
    <col min="15644" max="15644" width="12.42578125" style="518" bestFit="1" customWidth="1"/>
    <col min="15645" max="15882" width="11.5703125" style="518"/>
    <col min="15883" max="15883" width="68.140625" style="518" customWidth="1"/>
    <col min="15884" max="15884" width="19.42578125" style="518" customWidth="1"/>
    <col min="15885" max="15885" width="13.7109375" style="518" bestFit="1" customWidth="1"/>
    <col min="15886" max="15889" width="12.42578125" style="518" customWidth="1"/>
    <col min="15890" max="15890" width="14.28515625" style="518" bestFit="1" customWidth="1"/>
    <col min="15891" max="15891" width="14.42578125" style="518" bestFit="1" customWidth="1"/>
    <col min="15892" max="15892" width="14.28515625" style="518" bestFit="1" customWidth="1"/>
    <col min="15893" max="15893" width="15" style="518" bestFit="1" customWidth="1"/>
    <col min="15894" max="15894" width="14.28515625" style="518" bestFit="1" customWidth="1"/>
    <col min="15895" max="15895" width="14.42578125" style="518" bestFit="1" customWidth="1"/>
    <col min="15896" max="15896" width="14.28515625" style="518" bestFit="1" customWidth="1"/>
    <col min="15897" max="15899" width="12.42578125" style="518" customWidth="1"/>
    <col min="15900" max="15900" width="12.42578125" style="518" bestFit="1" customWidth="1"/>
    <col min="15901" max="16138" width="11.5703125" style="518"/>
    <col min="16139" max="16139" width="68.140625" style="518" customWidth="1"/>
    <col min="16140" max="16140" width="19.42578125" style="518" customWidth="1"/>
    <col min="16141" max="16141" width="13.7109375" style="518" bestFit="1" customWidth="1"/>
    <col min="16142" max="16145" width="12.42578125" style="518" customWidth="1"/>
    <col min="16146" max="16146" width="14.28515625" style="518" bestFit="1" customWidth="1"/>
    <col min="16147" max="16147" width="14.42578125" style="518" bestFit="1" customWidth="1"/>
    <col min="16148" max="16148" width="14.28515625" style="518" bestFit="1" customWidth="1"/>
    <col min="16149" max="16149" width="15" style="518" bestFit="1" customWidth="1"/>
    <col min="16150" max="16150" width="14.28515625" style="518" bestFit="1" customWidth="1"/>
    <col min="16151" max="16151" width="14.42578125" style="518" bestFit="1" customWidth="1"/>
    <col min="16152" max="16152" width="14.28515625" style="518" bestFit="1" customWidth="1"/>
    <col min="16153" max="16155" width="12.42578125" style="518" customWidth="1"/>
    <col min="16156" max="16156" width="12.42578125" style="518" bestFit="1" customWidth="1"/>
    <col min="16157" max="16353" width="11.5703125" style="518"/>
    <col min="16354" max="16384" width="11.5703125" style="518" customWidth="1"/>
  </cols>
  <sheetData>
    <row r="2" spans="2:29" ht="15.75">
      <c r="B2" s="990" t="s">
        <v>742</v>
      </c>
      <c r="D2" s="517"/>
      <c r="E2" s="517"/>
      <c r="F2" s="517"/>
      <c r="G2" s="517"/>
      <c r="H2" s="517"/>
      <c r="I2" s="517"/>
      <c r="J2" s="517"/>
      <c r="K2" s="517"/>
      <c r="L2" s="517"/>
      <c r="M2" s="517"/>
      <c r="N2" s="517"/>
      <c r="O2" s="517"/>
      <c r="P2" s="517"/>
      <c r="Q2" s="517"/>
      <c r="R2" s="517"/>
      <c r="S2" s="517"/>
      <c r="T2" s="517"/>
      <c r="U2" s="517"/>
      <c r="V2" s="517"/>
      <c r="W2" s="517"/>
      <c r="X2" s="517"/>
      <c r="Y2" s="517"/>
      <c r="Z2" s="517"/>
      <c r="AA2" s="517"/>
      <c r="AB2" s="517"/>
    </row>
    <row r="3" spans="2:29" ht="23.25">
      <c r="B3" s="991" t="s">
        <v>482</v>
      </c>
      <c r="C3" s="992" t="s">
        <v>540</v>
      </c>
      <c r="D3" s="989"/>
      <c r="E3" s="989"/>
      <c r="F3" s="989"/>
      <c r="G3" s="989"/>
      <c r="H3" s="989"/>
      <c r="I3" s="989"/>
      <c r="J3" s="989"/>
      <c r="K3" s="989"/>
      <c r="L3" s="989"/>
      <c r="M3" s="989"/>
      <c r="N3" s="989"/>
      <c r="O3" s="989"/>
      <c r="P3" s="989"/>
      <c r="Q3" s="989"/>
      <c r="R3" s="989"/>
      <c r="S3" s="989"/>
      <c r="T3" s="989"/>
      <c r="U3" s="989"/>
      <c r="V3" s="989"/>
      <c r="W3" s="989"/>
      <c r="X3" s="989"/>
      <c r="Y3" s="989"/>
      <c r="Z3" s="989"/>
      <c r="AA3" s="989"/>
      <c r="AB3" s="989"/>
    </row>
    <row r="4" spans="2:29">
      <c r="B4" s="519" t="s">
        <v>483</v>
      </c>
      <c r="C4" s="517"/>
      <c r="D4" s="957"/>
      <c r="E4" s="517"/>
      <c r="F4" s="517"/>
      <c r="G4" s="517"/>
      <c r="H4" s="517"/>
      <c r="I4" s="517"/>
      <c r="J4" s="517"/>
      <c r="K4" s="517"/>
      <c r="L4" s="517"/>
      <c r="M4" s="517"/>
      <c r="N4" s="517"/>
      <c r="O4" s="517"/>
      <c r="P4" s="517"/>
      <c r="Q4" s="517"/>
      <c r="R4" s="517"/>
      <c r="S4" s="517"/>
      <c r="T4" s="517"/>
      <c r="U4" s="517"/>
      <c r="V4" s="517"/>
      <c r="W4" s="517"/>
      <c r="X4" s="517"/>
      <c r="Y4" s="517"/>
      <c r="Z4" s="517"/>
      <c r="AA4" s="517"/>
      <c r="AB4" s="517"/>
    </row>
    <row r="5" spans="2:29" ht="15.75" thickBot="1">
      <c r="B5" s="520" t="s">
        <v>484</v>
      </c>
      <c r="C5" s="517"/>
      <c r="D5" s="517"/>
      <c r="E5" s="517"/>
      <c r="F5" s="517"/>
      <c r="G5" s="517"/>
      <c r="H5" s="517"/>
      <c r="I5" s="517"/>
      <c r="J5" s="517"/>
      <c r="K5" s="517"/>
      <c r="L5" s="517"/>
      <c r="M5" s="517"/>
      <c r="N5" s="517"/>
      <c r="O5" s="517"/>
      <c r="P5" s="517"/>
      <c r="Q5" s="517"/>
      <c r="R5" s="517"/>
      <c r="S5" s="517"/>
      <c r="T5" s="517"/>
      <c r="U5" s="517"/>
      <c r="V5" s="517"/>
      <c r="W5" s="517"/>
      <c r="X5" s="517"/>
      <c r="Y5" s="517"/>
      <c r="Z5" s="517"/>
      <c r="AA5" s="517"/>
      <c r="AB5" s="517"/>
    </row>
    <row r="6" spans="2:29" ht="15.75" thickBot="1">
      <c r="B6" s="521" t="s">
        <v>59</v>
      </c>
      <c r="C6" s="521"/>
      <c r="D6" s="1032"/>
      <c r="E6" s="1032"/>
      <c r="F6" s="1032"/>
      <c r="G6" s="1032"/>
      <c r="H6" s="1032"/>
      <c r="I6" s="1032"/>
      <c r="J6" s="1032"/>
      <c r="K6" s="1032"/>
      <c r="L6" s="1032"/>
      <c r="M6" s="1032"/>
      <c r="N6" s="1032"/>
      <c r="O6" s="1032"/>
      <c r="P6" s="1032"/>
      <c r="Q6" s="1032"/>
      <c r="R6" s="1032"/>
      <c r="S6" s="1032"/>
      <c r="T6" s="1032"/>
      <c r="U6" s="1032"/>
      <c r="V6" s="1032"/>
      <c r="W6" s="1032"/>
      <c r="X6" s="1032"/>
      <c r="Y6" s="1032"/>
      <c r="Z6" s="1032"/>
      <c r="AA6" s="1032"/>
      <c r="AB6" s="1032"/>
    </row>
    <row r="7" spans="2:29" ht="15.75" thickBot="1">
      <c r="B7" s="412" t="s">
        <v>485</v>
      </c>
      <c r="C7" s="412" t="s">
        <v>7</v>
      </c>
      <c r="D7" s="95">
        <v>41821</v>
      </c>
      <c r="E7" s="95">
        <v>41852</v>
      </c>
      <c r="F7" s="95">
        <v>41883</v>
      </c>
      <c r="G7" s="95">
        <v>41913</v>
      </c>
      <c r="H7" s="95">
        <v>41944</v>
      </c>
      <c r="I7" s="95">
        <v>41974</v>
      </c>
      <c r="J7" s="95">
        <v>42005</v>
      </c>
      <c r="K7" s="95">
        <v>42036</v>
      </c>
      <c r="L7" s="670">
        <v>42064</v>
      </c>
      <c r="M7" s="95">
        <v>42095</v>
      </c>
      <c r="N7" s="95">
        <v>42125</v>
      </c>
      <c r="O7" s="95">
        <v>42156</v>
      </c>
      <c r="P7" s="95">
        <v>42186</v>
      </c>
      <c r="Q7" s="95">
        <v>42217</v>
      </c>
      <c r="R7" s="95">
        <v>42248</v>
      </c>
      <c r="S7" s="95">
        <v>42278</v>
      </c>
      <c r="T7" s="95">
        <v>42309</v>
      </c>
      <c r="U7" s="95">
        <v>42339</v>
      </c>
      <c r="V7" s="95">
        <v>42370</v>
      </c>
      <c r="W7" s="95">
        <v>42401</v>
      </c>
      <c r="X7" s="95">
        <v>42430</v>
      </c>
      <c r="Y7" s="95">
        <v>42461</v>
      </c>
      <c r="Z7" s="95">
        <v>42491</v>
      </c>
      <c r="AA7" s="95">
        <v>42522</v>
      </c>
      <c r="AB7" s="412" t="s">
        <v>4</v>
      </c>
    </row>
    <row r="8" spans="2:29" s="525" customFormat="1">
      <c r="B8" s="522" t="s">
        <v>468</v>
      </c>
      <c r="C8" s="523">
        <f>SUM(C9:C15)</f>
        <v>542878.06000000006</v>
      </c>
      <c r="D8" s="524">
        <f t="shared" ref="D8:X8" si="0">SUM(D9:D15)</f>
        <v>0</v>
      </c>
      <c r="E8" s="524">
        <f t="shared" si="0"/>
        <v>0</v>
      </c>
      <c r="F8" s="524">
        <f t="shared" si="0"/>
        <v>0</v>
      </c>
      <c r="G8" s="524">
        <f t="shared" si="0"/>
        <v>1500</v>
      </c>
      <c r="H8" s="524">
        <f t="shared" si="0"/>
        <v>1500</v>
      </c>
      <c r="I8" s="524">
        <f t="shared" si="0"/>
        <v>0</v>
      </c>
      <c r="J8" s="524">
        <f t="shared" si="0"/>
        <v>0</v>
      </c>
      <c r="K8" s="524">
        <f t="shared" si="0"/>
        <v>0</v>
      </c>
      <c r="L8" s="524">
        <f t="shared" si="0"/>
        <v>0</v>
      </c>
      <c r="M8" s="524">
        <f t="shared" si="0"/>
        <v>35793.053333333337</v>
      </c>
      <c r="N8" s="524">
        <f t="shared" si="0"/>
        <v>156453.97833333333</v>
      </c>
      <c r="O8" s="524">
        <f t="shared" si="0"/>
        <v>156453.97833333333</v>
      </c>
      <c r="P8" s="524">
        <f t="shared" si="0"/>
        <v>120660.92500000002</v>
      </c>
      <c r="Q8" s="524">
        <f t="shared" si="0"/>
        <v>14103.225</v>
      </c>
      <c r="R8" s="524">
        <f t="shared" si="0"/>
        <v>0</v>
      </c>
      <c r="S8" s="524">
        <f t="shared" si="0"/>
        <v>28206.45</v>
      </c>
      <c r="T8" s="524">
        <f t="shared" si="0"/>
        <v>28206.45</v>
      </c>
      <c r="U8" s="524">
        <f t="shared" si="0"/>
        <v>0</v>
      </c>
      <c r="V8" s="524">
        <f t="shared" si="0"/>
        <v>0</v>
      </c>
      <c r="W8" s="524">
        <f t="shared" si="0"/>
        <v>0</v>
      </c>
      <c r="X8" s="524">
        <f t="shared" si="0"/>
        <v>0</v>
      </c>
      <c r="Y8" s="524">
        <f t="shared" ref="Y8:Z8" si="1">SUM(Y9:Y15)</f>
        <v>0</v>
      </c>
      <c r="Z8" s="524">
        <f t="shared" si="1"/>
        <v>0</v>
      </c>
      <c r="AA8" s="524">
        <f t="shared" ref="AA8" si="2">SUM(AA9:AA15)</f>
        <v>0</v>
      </c>
      <c r="AB8" s="577">
        <f t="shared" ref="AB8:AB16" si="3">SUM(D8:Z8)</f>
        <v>542878.06000000006</v>
      </c>
      <c r="AC8" s="525" t="str">
        <f t="shared" ref="AC8:AC33" si="4">IF(ROUND(AB8,1)=ROUND(C8,1),"OK","ERROR")</f>
        <v>OK</v>
      </c>
    </row>
    <row r="9" spans="2:29">
      <c r="B9" s="691" t="s">
        <v>409</v>
      </c>
      <c r="C9" s="692">
        <f>CONSTRUCCION!G13</f>
        <v>3000</v>
      </c>
      <c r="D9" s="528"/>
      <c r="E9" s="528"/>
      <c r="F9" s="528"/>
      <c r="G9" s="528">
        <f>$C$9/2</f>
        <v>1500</v>
      </c>
      <c r="H9" s="528">
        <f>$C$9/2</f>
        <v>1500</v>
      </c>
      <c r="I9" s="528">
        <v>0</v>
      </c>
      <c r="J9" s="528">
        <v>0</v>
      </c>
      <c r="K9" s="528">
        <v>0</v>
      </c>
      <c r="L9" s="528">
        <v>0</v>
      </c>
      <c r="M9" s="528"/>
      <c r="N9" s="528"/>
      <c r="O9" s="528"/>
      <c r="P9" s="528"/>
      <c r="Q9" s="528"/>
      <c r="R9" s="528"/>
      <c r="S9" s="528"/>
      <c r="T9" s="528"/>
      <c r="U9" s="528"/>
      <c r="V9" s="528"/>
      <c r="W9" s="528"/>
      <c r="X9" s="528"/>
      <c r="Y9" s="528"/>
      <c r="Z9" s="528"/>
      <c r="AA9" s="528"/>
      <c r="AB9" s="578">
        <f t="shared" si="3"/>
        <v>3000</v>
      </c>
      <c r="AC9" s="525" t="str">
        <f t="shared" si="4"/>
        <v>OK</v>
      </c>
    </row>
    <row r="10" spans="2:29">
      <c r="B10" s="691" t="s">
        <v>416</v>
      </c>
      <c r="C10" s="692">
        <f>CONSTRUCCION!G14</f>
        <v>47979.16</v>
      </c>
      <c r="D10" s="528"/>
      <c r="E10" s="528"/>
      <c r="F10" s="528"/>
      <c r="G10" s="528"/>
      <c r="H10" s="528"/>
      <c r="I10" s="528"/>
      <c r="J10" s="528"/>
      <c r="K10" s="528"/>
      <c r="L10" s="528"/>
      <c r="M10" s="528">
        <f>$C$10/3</f>
        <v>15993.053333333335</v>
      </c>
      <c r="N10" s="528">
        <f t="shared" ref="N10:O10" si="5">$C$10/3</f>
        <v>15993.053333333335</v>
      </c>
      <c r="O10" s="528">
        <f t="shared" si="5"/>
        <v>15993.053333333335</v>
      </c>
      <c r="P10" s="528"/>
      <c r="Q10" s="528"/>
      <c r="R10" s="528"/>
      <c r="S10" s="528"/>
      <c r="T10" s="528"/>
      <c r="U10" s="528"/>
      <c r="V10" s="528"/>
      <c r="W10" s="528"/>
      <c r="X10" s="528"/>
      <c r="Y10" s="528"/>
      <c r="Z10" s="528"/>
      <c r="AA10" s="528"/>
      <c r="AB10" s="578">
        <f t="shared" si="3"/>
        <v>47979.16</v>
      </c>
      <c r="AC10" s="525" t="str">
        <f t="shared" si="4"/>
        <v>OK</v>
      </c>
    </row>
    <row r="11" spans="2:29">
      <c r="B11" s="691" t="s">
        <v>417</v>
      </c>
      <c r="C11" s="692">
        <f>CONSTRUCCION!G15</f>
        <v>59400</v>
      </c>
      <c r="D11" s="528"/>
      <c r="E11" s="528"/>
      <c r="F11" s="528"/>
      <c r="G11" s="528"/>
      <c r="H11" s="528"/>
      <c r="I11" s="528"/>
      <c r="J11" s="528"/>
      <c r="K11" s="528"/>
      <c r="L11" s="528"/>
      <c r="M11" s="528">
        <f>$C$11/3</f>
        <v>19800</v>
      </c>
      <c r="N11" s="528">
        <f t="shared" ref="N11:O11" si="6">$C$11/3</f>
        <v>19800</v>
      </c>
      <c r="O11" s="528">
        <f t="shared" si="6"/>
        <v>19800</v>
      </c>
      <c r="P11" s="528"/>
      <c r="Q11" s="528"/>
      <c r="R11" s="528"/>
      <c r="S11" s="528"/>
      <c r="T11" s="528"/>
      <c r="U11" s="528"/>
      <c r="V11" s="528"/>
      <c r="W11" s="528"/>
      <c r="X11" s="528"/>
      <c r="Y11" s="528"/>
      <c r="Z11" s="528"/>
      <c r="AA11" s="528"/>
      <c r="AB11" s="578">
        <f t="shared" si="3"/>
        <v>59400</v>
      </c>
      <c r="AC11" s="525" t="str">
        <f t="shared" si="4"/>
        <v>OK</v>
      </c>
    </row>
    <row r="12" spans="2:29">
      <c r="B12" s="526" t="s">
        <v>97</v>
      </c>
      <c r="C12" s="527">
        <f>CONSTRUCCION!G16</f>
        <v>319673.10000000003</v>
      </c>
      <c r="D12" s="528"/>
      <c r="E12" s="528"/>
      <c r="F12" s="528"/>
      <c r="G12" s="528"/>
      <c r="H12" s="528"/>
      <c r="I12" s="528"/>
      <c r="J12" s="528"/>
      <c r="K12" s="528"/>
      <c r="L12" s="528"/>
      <c r="M12" s="528"/>
      <c r="N12" s="528">
        <f>$C$12/3</f>
        <v>106557.70000000001</v>
      </c>
      <c r="O12" s="528">
        <f t="shared" ref="O12:P12" si="7">$C$12/3</f>
        <v>106557.70000000001</v>
      </c>
      <c r="P12" s="528">
        <f t="shared" si="7"/>
        <v>106557.70000000001</v>
      </c>
      <c r="Q12" s="528"/>
      <c r="R12" s="528"/>
      <c r="S12" s="528"/>
      <c r="T12" s="528"/>
      <c r="U12" s="528"/>
      <c r="V12" s="528"/>
      <c r="W12" s="528"/>
      <c r="X12" s="528"/>
      <c r="Y12" s="528"/>
      <c r="Z12" s="528"/>
      <c r="AA12" s="528"/>
      <c r="AB12" s="578">
        <f t="shared" si="3"/>
        <v>319673.10000000003</v>
      </c>
      <c r="AC12" s="525" t="str">
        <f t="shared" si="4"/>
        <v>OK</v>
      </c>
    </row>
    <row r="13" spans="2:29">
      <c r="B13" s="526" t="s">
        <v>469</v>
      </c>
      <c r="C13" s="527">
        <f>CONSTRUCCION!G17</f>
        <v>56412.9</v>
      </c>
      <c r="D13" s="528"/>
      <c r="E13" s="528"/>
      <c r="F13" s="528"/>
      <c r="G13" s="528"/>
      <c r="H13" s="528"/>
      <c r="I13" s="528"/>
      <c r="J13" s="528"/>
      <c r="K13" s="528"/>
      <c r="L13" s="528"/>
      <c r="M13" s="528"/>
      <c r="N13" s="528"/>
      <c r="O13" s="528"/>
      <c r="P13" s="528"/>
      <c r="Q13" s="528"/>
      <c r="R13" s="528"/>
      <c r="S13" s="528">
        <f>$C$13/2</f>
        <v>28206.45</v>
      </c>
      <c r="T13" s="528">
        <f>$C$13/2</f>
        <v>28206.45</v>
      </c>
      <c r="U13" s="528"/>
      <c r="V13" s="528"/>
      <c r="W13" s="528"/>
      <c r="X13" s="528"/>
      <c r="Y13" s="528"/>
      <c r="Z13" s="528"/>
      <c r="AA13" s="528"/>
      <c r="AB13" s="578">
        <f t="shared" si="3"/>
        <v>56412.9</v>
      </c>
      <c r="AC13" s="525" t="str">
        <f t="shared" si="4"/>
        <v>OK</v>
      </c>
    </row>
    <row r="14" spans="2:29">
      <c r="B14" s="526" t="s">
        <v>223</v>
      </c>
      <c r="C14" s="527">
        <f>CONSTRUCCION!G18</f>
        <v>28206.45</v>
      </c>
      <c r="D14" s="528"/>
      <c r="E14" s="528"/>
      <c r="F14" s="528"/>
      <c r="G14" s="528"/>
      <c r="H14" s="528"/>
      <c r="I14" s="528"/>
      <c r="J14" s="528"/>
      <c r="K14" s="528"/>
      <c r="L14" s="528"/>
      <c r="M14" s="528"/>
      <c r="N14" s="528">
        <f t="shared" ref="N14:P14" si="8">$C$14/4</f>
        <v>7051.6125000000002</v>
      </c>
      <c r="O14" s="528">
        <f t="shared" si="8"/>
        <v>7051.6125000000002</v>
      </c>
      <c r="P14" s="528">
        <f t="shared" si="8"/>
        <v>7051.6125000000002</v>
      </c>
      <c r="Q14" s="528">
        <f>$C$14/4</f>
        <v>7051.6125000000002</v>
      </c>
      <c r="R14" s="528"/>
      <c r="S14" s="528"/>
      <c r="T14" s="528"/>
      <c r="U14" s="528"/>
      <c r="V14" s="528"/>
      <c r="W14" s="528"/>
      <c r="X14" s="528"/>
      <c r="Y14" s="528"/>
      <c r="Z14" s="528"/>
      <c r="AA14" s="528"/>
      <c r="AB14" s="578">
        <f t="shared" si="3"/>
        <v>28206.45</v>
      </c>
      <c r="AC14" s="525" t="str">
        <f t="shared" si="4"/>
        <v>OK</v>
      </c>
    </row>
    <row r="15" spans="2:29">
      <c r="B15" s="526" t="s">
        <v>224</v>
      </c>
      <c r="C15" s="527">
        <f>CONSTRUCCION!G19</f>
        <v>28206.45</v>
      </c>
      <c r="D15" s="528"/>
      <c r="E15" s="528"/>
      <c r="F15" s="528"/>
      <c r="G15" s="528"/>
      <c r="H15" s="528"/>
      <c r="I15" s="528"/>
      <c r="J15" s="528"/>
      <c r="K15" s="528"/>
      <c r="L15" s="528"/>
      <c r="M15" s="528"/>
      <c r="N15" s="528">
        <f t="shared" ref="N15:P15" si="9">$C$15/4</f>
        <v>7051.6125000000002</v>
      </c>
      <c r="O15" s="528">
        <f t="shared" si="9"/>
        <v>7051.6125000000002</v>
      </c>
      <c r="P15" s="528">
        <f t="shared" si="9"/>
        <v>7051.6125000000002</v>
      </c>
      <c r="Q15" s="528">
        <f>$C$15/4</f>
        <v>7051.6125000000002</v>
      </c>
      <c r="R15" s="528"/>
      <c r="S15" s="528"/>
      <c r="T15" s="528"/>
      <c r="U15" s="528"/>
      <c r="V15" s="528"/>
      <c r="W15" s="528"/>
      <c r="X15" s="528"/>
      <c r="Y15" s="528"/>
      <c r="Z15" s="528"/>
      <c r="AA15" s="528"/>
      <c r="AB15" s="578">
        <f t="shared" si="3"/>
        <v>28206.45</v>
      </c>
      <c r="AC15" s="525" t="str">
        <f t="shared" si="4"/>
        <v>OK</v>
      </c>
    </row>
    <row r="16" spans="2:29">
      <c r="B16" s="522" t="s">
        <v>470</v>
      </c>
      <c r="C16" s="523">
        <f>SUM(C17:C22)</f>
        <v>2839770.2</v>
      </c>
      <c r="D16" s="549">
        <f t="shared" ref="D16" si="10">SUM(D17:D22)</f>
        <v>0</v>
      </c>
      <c r="E16" s="549">
        <f t="shared" ref="E16" si="11">SUM(E17:E22)</f>
        <v>0</v>
      </c>
      <c r="F16" s="549">
        <f t="shared" ref="F16:AA16" si="12">SUM(F17:F22)</f>
        <v>0</v>
      </c>
      <c r="G16" s="549">
        <f t="shared" si="12"/>
        <v>0</v>
      </c>
      <c r="H16" s="549">
        <f t="shared" si="12"/>
        <v>0</v>
      </c>
      <c r="I16" s="549">
        <f t="shared" si="12"/>
        <v>0</v>
      </c>
      <c r="J16" s="549">
        <f t="shared" si="12"/>
        <v>0</v>
      </c>
      <c r="K16" s="549">
        <f t="shared" si="12"/>
        <v>0</v>
      </c>
      <c r="L16" s="549">
        <f t="shared" si="12"/>
        <v>0</v>
      </c>
      <c r="M16" s="549">
        <f t="shared" si="12"/>
        <v>0</v>
      </c>
      <c r="N16" s="549">
        <f t="shared" si="12"/>
        <v>0</v>
      </c>
      <c r="O16" s="549">
        <f t="shared" si="12"/>
        <v>0</v>
      </c>
      <c r="P16" s="549">
        <f t="shared" si="12"/>
        <v>0</v>
      </c>
      <c r="Q16" s="549">
        <f t="shared" si="12"/>
        <v>260624.12333333335</v>
      </c>
      <c r="R16" s="549">
        <f t="shared" si="12"/>
        <v>260624.12333333335</v>
      </c>
      <c r="S16" s="549">
        <f t="shared" si="12"/>
        <v>260624.12333333335</v>
      </c>
      <c r="T16" s="549">
        <f t="shared" si="12"/>
        <v>260624.12333333335</v>
      </c>
      <c r="U16" s="549">
        <f t="shared" si="12"/>
        <v>435800.12333333341</v>
      </c>
      <c r="V16" s="549">
        <f t="shared" si="12"/>
        <v>435800.12333333341</v>
      </c>
      <c r="W16" s="549">
        <f t="shared" si="12"/>
        <v>246821.69</v>
      </c>
      <c r="X16" s="549">
        <f t="shared" si="12"/>
        <v>246821.69</v>
      </c>
      <c r="Y16" s="549">
        <f t="shared" si="12"/>
        <v>216015.04</v>
      </c>
      <c r="Z16" s="549">
        <f t="shared" si="12"/>
        <v>216015.04</v>
      </c>
      <c r="AA16" s="549">
        <f t="shared" si="12"/>
        <v>0</v>
      </c>
      <c r="AB16" s="577">
        <f t="shared" si="3"/>
        <v>2839770.2</v>
      </c>
      <c r="AC16" s="525" t="str">
        <f t="shared" si="4"/>
        <v>OK</v>
      </c>
    </row>
    <row r="17" spans="2:29">
      <c r="B17" s="526" t="s">
        <v>97</v>
      </c>
      <c r="C17" s="527">
        <f>CONSTRUCCION!G30</f>
        <v>1262297.6000000001</v>
      </c>
      <c r="D17" s="528"/>
      <c r="E17" s="528"/>
      <c r="F17" s="528"/>
      <c r="G17" s="528"/>
      <c r="H17" s="528"/>
      <c r="I17" s="528"/>
      <c r="J17" s="528"/>
      <c r="K17" s="528"/>
      <c r="L17" s="528"/>
      <c r="M17" s="528"/>
      <c r="N17" s="528"/>
      <c r="O17" s="528"/>
      <c r="P17" s="528"/>
      <c r="Q17" s="528">
        <f t="shared" ref="Q17:U17" si="13">$C$17/6</f>
        <v>210382.93333333335</v>
      </c>
      <c r="R17" s="528">
        <f t="shared" si="13"/>
        <v>210382.93333333335</v>
      </c>
      <c r="S17" s="528">
        <f t="shared" si="13"/>
        <v>210382.93333333335</v>
      </c>
      <c r="T17" s="528">
        <f t="shared" si="13"/>
        <v>210382.93333333335</v>
      </c>
      <c r="U17" s="528">
        <f t="shared" si="13"/>
        <v>210382.93333333335</v>
      </c>
      <c r="V17" s="528">
        <f>$C$17/6</f>
        <v>210382.93333333335</v>
      </c>
      <c r="W17" s="528"/>
      <c r="X17" s="528"/>
      <c r="Y17" s="528"/>
      <c r="Z17" s="528"/>
      <c r="AA17" s="528"/>
      <c r="AB17" s="578">
        <f t="shared" ref="AB17:AB22" si="14">SUM(D17:AA17)</f>
        <v>1262297.6000000001</v>
      </c>
      <c r="AC17" s="525" t="str">
        <f t="shared" si="4"/>
        <v>OK</v>
      </c>
    </row>
    <row r="18" spans="2:29">
      <c r="B18" s="526" t="s">
        <v>471</v>
      </c>
      <c r="C18" s="527">
        <f>CONSTRUCCION!G31</f>
        <v>1051056</v>
      </c>
      <c r="D18" s="528"/>
      <c r="E18" s="528"/>
      <c r="F18" s="528"/>
      <c r="G18" s="528"/>
      <c r="H18" s="528"/>
      <c r="I18" s="528"/>
      <c r="J18" s="528"/>
      <c r="K18" s="528"/>
      <c r="L18" s="528"/>
      <c r="M18" s="528"/>
      <c r="N18" s="528"/>
      <c r="O18" s="528"/>
      <c r="P18" s="528"/>
      <c r="Q18" s="528"/>
      <c r="R18" s="528"/>
      <c r="S18" s="528"/>
      <c r="T18" s="528"/>
      <c r="U18" s="528">
        <f t="shared" ref="U18:Y18" si="15">$C$18/6</f>
        <v>175176</v>
      </c>
      <c r="V18" s="528">
        <f t="shared" si="15"/>
        <v>175176</v>
      </c>
      <c r="W18" s="528">
        <f t="shared" si="15"/>
        <v>175176</v>
      </c>
      <c r="X18" s="528">
        <f t="shared" si="15"/>
        <v>175176</v>
      </c>
      <c r="Y18" s="528">
        <f t="shared" si="15"/>
        <v>175176</v>
      </c>
      <c r="Z18" s="528">
        <f>$C$18/6</f>
        <v>175176</v>
      </c>
      <c r="AA18" s="528"/>
      <c r="AB18" s="578">
        <f t="shared" si="14"/>
        <v>1051056</v>
      </c>
      <c r="AC18" s="525" t="str">
        <f t="shared" si="4"/>
        <v>OK</v>
      </c>
    </row>
    <row r="19" spans="2:29">
      <c r="B19" s="526" t="s">
        <v>472</v>
      </c>
      <c r="C19" s="527">
        <f>CONSTRUCCION!G32</f>
        <v>42809</v>
      </c>
      <c r="D19" s="528"/>
      <c r="E19" s="528"/>
      <c r="F19" s="528"/>
      <c r="G19" s="528"/>
      <c r="H19" s="528"/>
      <c r="I19" s="528"/>
      <c r="J19" s="528"/>
      <c r="K19" s="528"/>
      <c r="L19" s="528"/>
      <c r="M19" s="528"/>
      <c r="N19" s="528"/>
      <c r="O19" s="528"/>
      <c r="P19" s="528"/>
      <c r="Q19" s="528"/>
      <c r="R19" s="528"/>
      <c r="S19" s="528"/>
      <c r="T19" s="528"/>
      <c r="U19" s="528"/>
      <c r="V19" s="528"/>
      <c r="W19" s="528">
        <f>$C$19/2</f>
        <v>21404.5</v>
      </c>
      <c r="X19" s="528">
        <f>$C$19/2</f>
        <v>21404.5</v>
      </c>
      <c r="Y19" s="528"/>
      <c r="Z19" s="528"/>
      <c r="AA19" s="528"/>
      <c r="AB19" s="578">
        <f t="shared" si="14"/>
        <v>42809</v>
      </c>
      <c r="AC19" s="525" t="str">
        <f t="shared" si="4"/>
        <v>OK</v>
      </c>
    </row>
    <row r="20" spans="2:29">
      <c r="B20" s="526" t="s">
        <v>223</v>
      </c>
      <c r="C20" s="527">
        <f>CONSTRUCCION!G33</f>
        <v>185632.00000000003</v>
      </c>
      <c r="D20" s="528"/>
      <c r="E20" s="528"/>
      <c r="F20" s="528"/>
      <c r="G20" s="528"/>
      <c r="H20" s="528"/>
      <c r="I20" s="528"/>
      <c r="J20" s="528"/>
      <c r="K20" s="528"/>
      <c r="L20" s="528"/>
      <c r="M20" s="528"/>
      <c r="N20" s="528"/>
      <c r="O20" s="528"/>
      <c r="P20" s="528"/>
      <c r="Q20" s="528">
        <f t="shared" ref="Q20:Y20" si="16">$C$20/10</f>
        <v>18563.200000000004</v>
      </c>
      <c r="R20" s="528">
        <f t="shared" si="16"/>
        <v>18563.200000000004</v>
      </c>
      <c r="S20" s="528">
        <f t="shared" si="16"/>
        <v>18563.200000000004</v>
      </c>
      <c r="T20" s="528">
        <f t="shared" si="16"/>
        <v>18563.200000000004</v>
      </c>
      <c r="U20" s="528">
        <f t="shared" si="16"/>
        <v>18563.200000000004</v>
      </c>
      <c r="V20" s="528">
        <f t="shared" si="16"/>
        <v>18563.200000000004</v>
      </c>
      <c r="W20" s="528">
        <f t="shared" si="16"/>
        <v>18563.200000000004</v>
      </c>
      <c r="X20" s="528">
        <f t="shared" si="16"/>
        <v>18563.200000000004</v>
      </c>
      <c r="Y20" s="528">
        <f t="shared" si="16"/>
        <v>18563.200000000004</v>
      </c>
      <c r="Z20" s="528">
        <f>$C$20/10</f>
        <v>18563.200000000004</v>
      </c>
      <c r="AA20" s="528"/>
      <c r="AB20" s="578">
        <f t="shared" si="14"/>
        <v>185632.00000000009</v>
      </c>
      <c r="AC20" s="525" t="str">
        <f t="shared" si="4"/>
        <v>OK</v>
      </c>
    </row>
    <row r="21" spans="2:29">
      <c r="B21" s="526" t="s">
        <v>224</v>
      </c>
      <c r="C21" s="527">
        <f>CONSTRUCCION!G34</f>
        <v>222758.40000000002</v>
      </c>
      <c r="D21" s="528"/>
      <c r="E21" s="528"/>
      <c r="F21" s="528"/>
      <c r="G21" s="528"/>
      <c r="H21" s="528"/>
      <c r="I21" s="528"/>
      <c r="J21" s="528"/>
      <c r="K21" s="528"/>
      <c r="L21" s="528"/>
      <c r="M21" s="528"/>
      <c r="N21" s="528"/>
      <c r="O21" s="528"/>
      <c r="P21" s="528"/>
      <c r="Q21" s="528">
        <f t="shared" ref="Q21:Z21" si="17">$C$21/10</f>
        <v>22275.840000000004</v>
      </c>
      <c r="R21" s="528">
        <f t="shared" si="17"/>
        <v>22275.840000000004</v>
      </c>
      <c r="S21" s="528">
        <f t="shared" si="17"/>
        <v>22275.840000000004</v>
      </c>
      <c r="T21" s="528">
        <f t="shared" si="17"/>
        <v>22275.840000000004</v>
      </c>
      <c r="U21" s="528">
        <f t="shared" si="17"/>
        <v>22275.840000000004</v>
      </c>
      <c r="V21" s="528">
        <f t="shared" si="17"/>
        <v>22275.840000000004</v>
      </c>
      <c r="W21" s="528">
        <f t="shared" si="17"/>
        <v>22275.840000000004</v>
      </c>
      <c r="X21" s="528">
        <f t="shared" si="17"/>
        <v>22275.840000000004</v>
      </c>
      <c r="Y21" s="528">
        <f t="shared" si="17"/>
        <v>22275.840000000004</v>
      </c>
      <c r="Z21" s="528">
        <f t="shared" si="17"/>
        <v>22275.840000000004</v>
      </c>
      <c r="AA21" s="528"/>
      <c r="AB21" s="578">
        <f t="shared" si="14"/>
        <v>222758.39999999999</v>
      </c>
      <c r="AC21" s="525" t="str">
        <f t="shared" si="4"/>
        <v>OK</v>
      </c>
    </row>
    <row r="22" spans="2:29">
      <c r="B22" s="526" t="s">
        <v>425</v>
      </c>
      <c r="C22" s="527">
        <f>CONSTRUCCION!G35</f>
        <v>75217.2</v>
      </c>
      <c r="D22" s="528"/>
      <c r="E22" s="528"/>
      <c r="F22" s="528"/>
      <c r="G22" s="528"/>
      <c r="H22" s="528"/>
      <c r="I22" s="528"/>
      <c r="J22" s="528"/>
      <c r="K22" s="528"/>
      <c r="L22" s="528"/>
      <c r="M22" s="528"/>
      <c r="N22" s="528"/>
      <c r="O22" s="528"/>
      <c r="P22" s="528"/>
      <c r="Q22" s="528">
        <f t="shared" ref="Q22:X22" si="18">$C$22/8</f>
        <v>9402.15</v>
      </c>
      <c r="R22" s="528">
        <f t="shared" si="18"/>
        <v>9402.15</v>
      </c>
      <c r="S22" s="528">
        <f t="shared" si="18"/>
        <v>9402.15</v>
      </c>
      <c r="T22" s="528">
        <f t="shared" si="18"/>
        <v>9402.15</v>
      </c>
      <c r="U22" s="528">
        <f t="shared" si="18"/>
        <v>9402.15</v>
      </c>
      <c r="V22" s="528">
        <f t="shared" si="18"/>
        <v>9402.15</v>
      </c>
      <c r="W22" s="528">
        <f t="shared" si="18"/>
        <v>9402.15</v>
      </c>
      <c r="X22" s="528">
        <f t="shared" si="18"/>
        <v>9402.15</v>
      </c>
      <c r="Y22" s="528"/>
      <c r="Z22" s="528"/>
      <c r="AA22" s="528"/>
      <c r="AB22" s="578">
        <f t="shared" si="14"/>
        <v>75217.2</v>
      </c>
      <c r="AC22" s="525" t="str">
        <f t="shared" si="4"/>
        <v>OK</v>
      </c>
    </row>
    <row r="23" spans="2:29">
      <c r="B23" s="529" t="s">
        <v>487</v>
      </c>
      <c r="C23" s="530">
        <f>C24+C25</f>
        <v>121000</v>
      </c>
      <c r="D23" s="531">
        <f t="shared" ref="D23:AA23" si="19">D24+D25</f>
        <v>0</v>
      </c>
      <c r="E23" s="531">
        <f t="shared" si="19"/>
        <v>0</v>
      </c>
      <c r="F23" s="531">
        <f t="shared" si="19"/>
        <v>0</v>
      </c>
      <c r="G23" s="531">
        <f t="shared" si="19"/>
        <v>0</v>
      </c>
      <c r="H23" s="531">
        <f t="shared" si="19"/>
        <v>0</v>
      </c>
      <c r="I23" s="531">
        <f t="shared" si="19"/>
        <v>0</v>
      </c>
      <c r="J23" s="531">
        <f t="shared" si="19"/>
        <v>0</v>
      </c>
      <c r="K23" s="531">
        <f t="shared" si="19"/>
        <v>0</v>
      </c>
      <c r="L23" s="531">
        <f t="shared" si="19"/>
        <v>0</v>
      </c>
      <c r="M23" s="531">
        <f t="shared" si="19"/>
        <v>0</v>
      </c>
      <c r="N23" s="531">
        <f t="shared" si="19"/>
        <v>19200</v>
      </c>
      <c r="O23" s="531">
        <f t="shared" si="19"/>
        <v>0</v>
      </c>
      <c r="P23" s="531">
        <f t="shared" si="19"/>
        <v>0</v>
      </c>
      <c r="Q23" s="531">
        <f t="shared" si="19"/>
        <v>19200</v>
      </c>
      <c r="R23" s="531">
        <f t="shared" si="19"/>
        <v>0</v>
      </c>
      <c r="S23" s="531">
        <f t="shared" si="19"/>
        <v>0</v>
      </c>
      <c r="T23" s="531">
        <f t="shared" si="19"/>
        <v>0</v>
      </c>
      <c r="U23" s="531">
        <f t="shared" si="19"/>
        <v>0</v>
      </c>
      <c r="V23" s="531">
        <f t="shared" si="19"/>
        <v>0</v>
      </c>
      <c r="W23" s="531">
        <f t="shared" si="19"/>
        <v>60500</v>
      </c>
      <c r="X23" s="531">
        <f t="shared" si="19"/>
        <v>0</v>
      </c>
      <c r="Y23" s="531">
        <f t="shared" si="19"/>
        <v>0</v>
      </c>
      <c r="Z23" s="531">
        <f t="shared" si="19"/>
        <v>22100</v>
      </c>
      <c r="AA23" s="531">
        <f t="shared" si="19"/>
        <v>0</v>
      </c>
      <c r="AB23" s="577">
        <f>SUM(D23:Z23)</f>
        <v>121000</v>
      </c>
      <c r="AC23" s="525" t="str">
        <f t="shared" si="4"/>
        <v>OK</v>
      </c>
    </row>
    <row r="24" spans="2:29">
      <c r="B24" s="526" t="s">
        <v>422</v>
      </c>
      <c r="C24" s="527">
        <f>CONSTRUCCION!G46</f>
        <v>96000</v>
      </c>
      <c r="D24" s="548"/>
      <c r="E24" s="548"/>
      <c r="F24" s="528"/>
      <c r="G24" s="528"/>
      <c r="H24" s="548"/>
      <c r="I24" s="548"/>
      <c r="J24" s="528"/>
      <c r="K24" s="548"/>
      <c r="L24" s="548"/>
      <c r="M24" s="548"/>
      <c r="N24" s="528">
        <f>$C$24*0.2</f>
        <v>19200</v>
      </c>
      <c r="O24" s="548"/>
      <c r="P24" s="548"/>
      <c r="Q24" s="528">
        <f>$C$24*0.2</f>
        <v>19200</v>
      </c>
      <c r="R24" s="548"/>
      <c r="S24" s="548"/>
      <c r="T24" s="548"/>
      <c r="U24" s="548"/>
      <c r="V24" s="548"/>
      <c r="W24" s="528">
        <f>$C$24*0.5</f>
        <v>48000</v>
      </c>
      <c r="X24" s="528"/>
      <c r="Y24" s="528"/>
      <c r="Z24" s="528">
        <f>$C$24*0.1</f>
        <v>9600</v>
      </c>
      <c r="AA24" s="548"/>
      <c r="AB24" s="578">
        <f>SUM(D24:AA24)</f>
        <v>96000</v>
      </c>
      <c r="AC24" s="525" t="str">
        <f t="shared" si="4"/>
        <v>OK</v>
      </c>
    </row>
    <row r="25" spans="2:29" ht="15.75" thickBot="1">
      <c r="B25" s="526" t="s">
        <v>423</v>
      </c>
      <c r="C25" s="527">
        <f>CONSTRUCCION!G47</f>
        <v>25000</v>
      </c>
      <c r="D25" s="548"/>
      <c r="E25" s="548"/>
      <c r="F25" s="548"/>
      <c r="G25" s="548"/>
      <c r="H25" s="548"/>
      <c r="I25" s="548"/>
      <c r="J25" s="548"/>
      <c r="K25" s="548"/>
      <c r="L25" s="548"/>
      <c r="M25" s="548"/>
      <c r="N25" s="548"/>
      <c r="O25" s="548"/>
      <c r="P25" s="548"/>
      <c r="Q25" s="548"/>
      <c r="R25" s="548"/>
      <c r="S25" s="548"/>
      <c r="T25" s="548"/>
      <c r="U25" s="548"/>
      <c r="V25" s="548"/>
      <c r="W25" s="574">
        <f>$C$25*0.5</f>
        <v>12500</v>
      </c>
      <c r="X25" s="574"/>
      <c r="Y25" s="574"/>
      <c r="Z25" s="574">
        <f>$C$25*0.5</f>
        <v>12500</v>
      </c>
      <c r="AA25" s="548"/>
      <c r="AB25" s="578">
        <f>SUM(D25:AA25)</f>
        <v>25000</v>
      </c>
      <c r="AC25" s="525" t="str">
        <f t="shared" si="4"/>
        <v>OK</v>
      </c>
    </row>
    <row r="26" spans="2:29">
      <c r="B26" s="532" t="s">
        <v>486</v>
      </c>
      <c r="C26" s="533">
        <f>C16+C8</f>
        <v>3382648.2600000002</v>
      </c>
      <c r="D26" s="534">
        <f t="shared" ref="D26:S26" si="20">D8+D16</f>
        <v>0</v>
      </c>
      <c r="E26" s="534">
        <f t="shared" si="20"/>
        <v>0</v>
      </c>
      <c r="F26" s="534">
        <f t="shared" si="20"/>
        <v>0</v>
      </c>
      <c r="G26" s="534">
        <f t="shared" si="20"/>
        <v>1500</v>
      </c>
      <c r="H26" s="534">
        <f t="shared" si="20"/>
        <v>1500</v>
      </c>
      <c r="I26" s="534">
        <f t="shared" si="20"/>
        <v>0</v>
      </c>
      <c r="J26" s="534">
        <f t="shared" si="20"/>
        <v>0</v>
      </c>
      <c r="K26" s="534">
        <f>K8+K16</f>
        <v>0</v>
      </c>
      <c r="L26" s="534">
        <f t="shared" si="20"/>
        <v>0</v>
      </c>
      <c r="M26" s="534">
        <f t="shared" si="20"/>
        <v>35793.053333333337</v>
      </c>
      <c r="N26" s="534">
        <f t="shared" si="20"/>
        <v>156453.97833333333</v>
      </c>
      <c r="O26" s="534">
        <f t="shared" si="20"/>
        <v>156453.97833333333</v>
      </c>
      <c r="P26" s="534">
        <f t="shared" si="20"/>
        <v>120660.92500000002</v>
      </c>
      <c r="Q26" s="534">
        <f t="shared" si="20"/>
        <v>274727.34833333333</v>
      </c>
      <c r="R26" s="534">
        <f t="shared" si="20"/>
        <v>260624.12333333335</v>
      </c>
      <c r="S26" s="534">
        <f t="shared" si="20"/>
        <v>288830.57333333336</v>
      </c>
      <c r="T26" s="534">
        <f t="shared" ref="T26:Z26" si="21">T8+T16</f>
        <v>288830.57333333336</v>
      </c>
      <c r="U26" s="534">
        <f t="shared" si="21"/>
        <v>435800.12333333341</v>
      </c>
      <c r="V26" s="534">
        <f t="shared" si="21"/>
        <v>435800.12333333341</v>
      </c>
      <c r="W26" s="534">
        <f t="shared" si="21"/>
        <v>246821.69</v>
      </c>
      <c r="X26" s="534">
        <f t="shared" si="21"/>
        <v>246821.69</v>
      </c>
      <c r="Y26" s="534">
        <f t="shared" si="21"/>
        <v>216015.04</v>
      </c>
      <c r="Z26" s="534">
        <f t="shared" si="21"/>
        <v>216015.04</v>
      </c>
      <c r="AA26" s="534">
        <f t="shared" ref="AA26" si="22">AA8+AA16</f>
        <v>0</v>
      </c>
      <c r="AB26" s="579">
        <f>AB16+AB8</f>
        <v>3382648.2600000002</v>
      </c>
      <c r="AC26" s="525" t="str">
        <f t="shared" si="4"/>
        <v>OK</v>
      </c>
    </row>
    <row r="27" spans="2:29">
      <c r="B27" s="537" t="s">
        <v>506</v>
      </c>
      <c r="C27" s="535"/>
      <c r="D27" s="536">
        <f>D26</f>
        <v>0</v>
      </c>
      <c r="E27" s="536">
        <f>E26+D27</f>
        <v>0</v>
      </c>
      <c r="F27" s="536">
        <f t="shared" ref="F27:P27" si="23">F26+E27</f>
        <v>0</v>
      </c>
      <c r="G27" s="536">
        <f t="shared" si="23"/>
        <v>1500</v>
      </c>
      <c r="H27" s="536">
        <f t="shared" si="23"/>
        <v>3000</v>
      </c>
      <c r="I27" s="536">
        <f t="shared" si="23"/>
        <v>3000</v>
      </c>
      <c r="J27" s="536">
        <f t="shared" si="23"/>
        <v>3000</v>
      </c>
      <c r="K27" s="536">
        <f>K26+J27</f>
        <v>3000</v>
      </c>
      <c r="L27" s="536">
        <f>L26+K27</f>
        <v>3000</v>
      </c>
      <c r="M27" s="536">
        <f t="shared" si="23"/>
        <v>38793.053333333337</v>
      </c>
      <c r="N27" s="536">
        <f t="shared" si="23"/>
        <v>195247.03166666668</v>
      </c>
      <c r="O27" s="536"/>
      <c r="P27" s="536">
        <f t="shared" si="23"/>
        <v>120660.92500000002</v>
      </c>
      <c r="Q27" s="536"/>
      <c r="R27" s="536"/>
      <c r="S27" s="536"/>
      <c r="T27" s="536"/>
      <c r="U27" s="536"/>
      <c r="V27" s="536"/>
      <c r="W27" s="536"/>
      <c r="X27" s="536"/>
      <c r="Y27" s="536"/>
      <c r="Z27" s="536"/>
      <c r="AA27" s="536"/>
      <c r="AB27" s="580"/>
      <c r="AC27" s="525" t="str">
        <f t="shared" si="4"/>
        <v>OK</v>
      </c>
    </row>
    <row r="28" spans="2:29">
      <c r="B28" s="537" t="s">
        <v>487</v>
      </c>
      <c r="C28" s="538">
        <f>C23</f>
        <v>121000</v>
      </c>
      <c r="D28" s="539">
        <f t="shared" ref="D28:S28" si="24">D23</f>
        <v>0</v>
      </c>
      <c r="E28" s="539">
        <f t="shared" si="24"/>
        <v>0</v>
      </c>
      <c r="F28" s="539">
        <f t="shared" si="24"/>
        <v>0</v>
      </c>
      <c r="G28" s="539">
        <f t="shared" si="24"/>
        <v>0</v>
      </c>
      <c r="H28" s="539">
        <f t="shared" si="24"/>
        <v>0</v>
      </c>
      <c r="I28" s="539">
        <f t="shared" si="24"/>
        <v>0</v>
      </c>
      <c r="J28" s="539">
        <f t="shared" si="24"/>
        <v>0</v>
      </c>
      <c r="K28" s="539">
        <f>K23</f>
        <v>0</v>
      </c>
      <c r="L28" s="539">
        <f t="shared" si="24"/>
        <v>0</v>
      </c>
      <c r="M28" s="539">
        <f t="shared" si="24"/>
        <v>0</v>
      </c>
      <c r="N28" s="539">
        <f t="shared" si="24"/>
        <v>19200</v>
      </c>
      <c r="O28" s="539">
        <f t="shared" si="24"/>
        <v>0</v>
      </c>
      <c r="P28" s="539">
        <f t="shared" si="24"/>
        <v>0</v>
      </c>
      <c r="Q28" s="539">
        <f t="shared" si="24"/>
        <v>19200</v>
      </c>
      <c r="R28" s="539">
        <f t="shared" si="24"/>
        <v>0</v>
      </c>
      <c r="S28" s="539">
        <f t="shared" si="24"/>
        <v>0</v>
      </c>
      <c r="T28" s="539">
        <f t="shared" ref="T28:Z28" si="25">T23</f>
        <v>0</v>
      </c>
      <c r="U28" s="539">
        <f t="shared" si="25"/>
        <v>0</v>
      </c>
      <c r="V28" s="539">
        <f t="shared" si="25"/>
        <v>0</v>
      </c>
      <c r="W28" s="539">
        <f t="shared" si="25"/>
        <v>60500</v>
      </c>
      <c r="X28" s="539">
        <f t="shared" si="25"/>
        <v>0</v>
      </c>
      <c r="Y28" s="539">
        <f t="shared" si="25"/>
        <v>0</v>
      </c>
      <c r="Z28" s="539">
        <f t="shared" si="25"/>
        <v>22100</v>
      </c>
      <c r="AA28" s="539">
        <f t="shared" ref="AA28" si="26">AA23</f>
        <v>0</v>
      </c>
      <c r="AB28" s="578">
        <f>SUM(D28:Z28)</f>
        <v>121000</v>
      </c>
      <c r="AC28" s="525" t="str">
        <f t="shared" si="4"/>
        <v>OK</v>
      </c>
    </row>
    <row r="29" spans="2:29">
      <c r="B29" s="537" t="s">
        <v>488</v>
      </c>
      <c r="C29" s="538">
        <f>C26+C28</f>
        <v>3503648.2600000002</v>
      </c>
      <c r="D29" s="539">
        <f t="shared" ref="D29" si="27">D28+D26</f>
        <v>0</v>
      </c>
      <c r="E29" s="539">
        <f t="shared" ref="E29" si="28">E28+E26</f>
        <v>0</v>
      </c>
      <c r="F29" s="539">
        <f t="shared" ref="F29" si="29">F28+F26</f>
        <v>0</v>
      </c>
      <c r="G29" s="539">
        <f t="shared" ref="G29" si="30">G28+G26</f>
        <v>1500</v>
      </c>
      <c r="H29" s="539">
        <f t="shared" ref="H29" si="31">H28+H26</f>
        <v>1500</v>
      </c>
      <c r="I29" s="539">
        <f t="shared" ref="I29" si="32">I28+I26</f>
        <v>0</v>
      </c>
      <c r="J29" s="539">
        <f t="shared" ref="J29" si="33">J28+J26</f>
        <v>0</v>
      </c>
      <c r="K29" s="539">
        <f>K28+K26</f>
        <v>0</v>
      </c>
      <c r="L29" s="539">
        <f t="shared" ref="L29" si="34">L28+L26</f>
        <v>0</v>
      </c>
      <c r="M29" s="539">
        <f t="shared" ref="M29" si="35">M28+M26</f>
        <v>35793.053333333337</v>
      </c>
      <c r="N29" s="539">
        <f t="shared" ref="N29" si="36">N28+N26</f>
        <v>175653.97833333333</v>
      </c>
      <c r="O29" s="539">
        <f t="shared" ref="O29" si="37">O28+O26</f>
        <v>156453.97833333333</v>
      </c>
      <c r="P29" s="539">
        <f t="shared" ref="P29" si="38">P28+P26</f>
        <v>120660.92500000002</v>
      </c>
      <c r="Q29" s="539">
        <f t="shared" ref="Q29" si="39">Q28+Q26</f>
        <v>293927.34833333333</v>
      </c>
      <c r="R29" s="539">
        <f t="shared" ref="R29:S29" si="40">R28+R26</f>
        <v>260624.12333333335</v>
      </c>
      <c r="S29" s="539">
        <f t="shared" si="40"/>
        <v>288830.57333333336</v>
      </c>
      <c r="T29" s="539">
        <f t="shared" ref="T29:Z29" si="41">T28+T26</f>
        <v>288830.57333333336</v>
      </c>
      <c r="U29" s="539">
        <f t="shared" si="41"/>
        <v>435800.12333333341</v>
      </c>
      <c r="V29" s="539">
        <f t="shared" si="41"/>
        <v>435800.12333333341</v>
      </c>
      <c r="W29" s="539">
        <f t="shared" si="41"/>
        <v>307321.69</v>
      </c>
      <c r="X29" s="539">
        <f t="shared" si="41"/>
        <v>246821.69</v>
      </c>
      <c r="Y29" s="539">
        <f t="shared" si="41"/>
        <v>216015.04</v>
      </c>
      <c r="Z29" s="539">
        <f t="shared" si="41"/>
        <v>238115.04</v>
      </c>
      <c r="AA29" s="539">
        <f t="shared" ref="AA29" si="42">AA28+AA26</f>
        <v>0</v>
      </c>
      <c r="AB29" s="581">
        <f t="shared" ref="AB29" si="43">AB26+AB28</f>
        <v>3503648.2600000002</v>
      </c>
      <c r="AC29" s="525" t="str">
        <f t="shared" si="4"/>
        <v>OK</v>
      </c>
    </row>
    <row r="30" spans="2:29">
      <c r="B30" s="537" t="s">
        <v>491</v>
      </c>
      <c r="C30" s="538">
        <f>0.06*C29</f>
        <v>210218.89560000002</v>
      </c>
      <c r="D30" s="539">
        <f t="shared" ref="D30" si="44">0.06*D29</f>
        <v>0</v>
      </c>
      <c r="E30" s="539">
        <f t="shared" ref="E30" si="45">0.06*E29</f>
        <v>0</v>
      </c>
      <c r="F30" s="539">
        <f t="shared" ref="F30" si="46">0.06*F29</f>
        <v>0</v>
      </c>
      <c r="G30" s="539">
        <f t="shared" ref="G30" si="47">0.06*G29</f>
        <v>90</v>
      </c>
      <c r="H30" s="539">
        <f t="shared" ref="H30" si="48">0.06*H29</f>
        <v>90</v>
      </c>
      <c r="I30" s="539">
        <f t="shared" ref="I30" si="49">0.06*I29</f>
        <v>0</v>
      </c>
      <c r="J30" s="539">
        <f t="shared" ref="J30" si="50">0.06*J29</f>
        <v>0</v>
      </c>
      <c r="K30" s="539">
        <f t="shared" ref="K30" si="51">0.06*K29</f>
        <v>0</v>
      </c>
      <c r="L30" s="539">
        <f t="shared" ref="L30" si="52">0.06*L29</f>
        <v>0</v>
      </c>
      <c r="M30" s="539">
        <f t="shared" ref="M30" si="53">0.06*M29</f>
        <v>2147.5832</v>
      </c>
      <c r="N30" s="539">
        <f t="shared" ref="N30" si="54">0.06*N29</f>
        <v>10539.2387</v>
      </c>
      <c r="O30" s="539">
        <f t="shared" ref="O30" si="55">0.06*O29</f>
        <v>9387.2386999999999</v>
      </c>
      <c r="P30" s="539">
        <f t="shared" ref="P30" si="56">0.06*P29</f>
        <v>7239.6555000000008</v>
      </c>
      <c r="Q30" s="539">
        <f t="shared" ref="Q30" si="57">0.06*Q29</f>
        <v>17635.640899999999</v>
      </c>
      <c r="R30" s="539">
        <f t="shared" ref="R30:S30" si="58">0.06*R29</f>
        <v>15637.447400000001</v>
      </c>
      <c r="S30" s="539">
        <f t="shared" si="58"/>
        <v>17329.8344</v>
      </c>
      <c r="T30" s="539">
        <f t="shared" ref="T30:Z30" si="59">0.06*T29</f>
        <v>17329.8344</v>
      </c>
      <c r="U30" s="539">
        <f t="shared" si="59"/>
        <v>26148.007400000002</v>
      </c>
      <c r="V30" s="539">
        <f t="shared" si="59"/>
        <v>26148.007400000002</v>
      </c>
      <c r="W30" s="539">
        <f t="shared" si="59"/>
        <v>18439.3014</v>
      </c>
      <c r="X30" s="539">
        <f t="shared" si="59"/>
        <v>14809.3014</v>
      </c>
      <c r="Y30" s="539">
        <f t="shared" si="59"/>
        <v>12960.902400000001</v>
      </c>
      <c r="Z30" s="539">
        <f t="shared" si="59"/>
        <v>14286.902400000001</v>
      </c>
      <c r="AA30" s="539">
        <f t="shared" ref="AA30" si="60">0.06*AA29</f>
        <v>0</v>
      </c>
      <c r="AB30" s="578">
        <f>SUM(D30:Z30)</f>
        <v>210218.89559999996</v>
      </c>
      <c r="AC30" s="525" t="str">
        <f t="shared" si="4"/>
        <v>OK</v>
      </c>
    </row>
    <row r="31" spans="2:29">
      <c r="B31" s="537" t="s">
        <v>492</v>
      </c>
      <c r="C31" s="540">
        <f>0.06*C29</f>
        <v>210218.89560000002</v>
      </c>
      <c r="D31" s="539">
        <f t="shared" ref="D31:Q31" si="61">0.06*D29</f>
        <v>0</v>
      </c>
      <c r="E31" s="539">
        <f t="shared" si="61"/>
        <v>0</v>
      </c>
      <c r="F31" s="539">
        <f t="shared" si="61"/>
        <v>0</v>
      </c>
      <c r="G31" s="539">
        <f t="shared" si="61"/>
        <v>90</v>
      </c>
      <c r="H31" s="539">
        <f t="shared" si="61"/>
        <v>90</v>
      </c>
      <c r="I31" s="539">
        <f t="shared" si="61"/>
        <v>0</v>
      </c>
      <c r="J31" s="539">
        <f t="shared" si="61"/>
        <v>0</v>
      </c>
      <c r="K31" s="539">
        <f t="shared" si="61"/>
        <v>0</v>
      </c>
      <c r="L31" s="539">
        <f t="shared" si="61"/>
        <v>0</v>
      </c>
      <c r="M31" s="539">
        <f t="shared" si="61"/>
        <v>2147.5832</v>
      </c>
      <c r="N31" s="539">
        <f t="shared" si="61"/>
        <v>10539.2387</v>
      </c>
      <c r="O31" s="539">
        <f t="shared" si="61"/>
        <v>9387.2386999999999</v>
      </c>
      <c r="P31" s="539">
        <f t="shared" si="61"/>
        <v>7239.6555000000008</v>
      </c>
      <c r="Q31" s="539">
        <f t="shared" si="61"/>
        <v>17635.640899999999</v>
      </c>
      <c r="R31" s="539">
        <f t="shared" ref="R31:S31" si="62">0.06*R29</f>
        <v>15637.447400000001</v>
      </c>
      <c r="S31" s="539">
        <f t="shared" si="62"/>
        <v>17329.8344</v>
      </c>
      <c r="T31" s="539">
        <f t="shared" ref="T31:Z31" si="63">0.06*T29</f>
        <v>17329.8344</v>
      </c>
      <c r="U31" s="539">
        <f t="shared" si="63"/>
        <v>26148.007400000002</v>
      </c>
      <c r="V31" s="539">
        <f t="shared" si="63"/>
        <v>26148.007400000002</v>
      </c>
      <c r="W31" s="539">
        <f t="shared" si="63"/>
        <v>18439.3014</v>
      </c>
      <c r="X31" s="539">
        <f t="shared" si="63"/>
        <v>14809.3014</v>
      </c>
      <c r="Y31" s="539">
        <f t="shared" si="63"/>
        <v>12960.902400000001</v>
      </c>
      <c r="Z31" s="539">
        <f t="shared" si="63"/>
        <v>14286.902400000001</v>
      </c>
      <c r="AA31" s="539">
        <f t="shared" ref="AA31" si="64">0.06*AA29</f>
        <v>0</v>
      </c>
      <c r="AB31" s="578">
        <f>SUM(D31:Z31)</f>
        <v>210218.89559999996</v>
      </c>
      <c r="AC31" s="525" t="str">
        <f t="shared" si="4"/>
        <v>OK</v>
      </c>
    </row>
    <row r="32" spans="2:29" ht="15.75" thickBot="1">
      <c r="B32" s="537" t="s">
        <v>489</v>
      </c>
      <c r="C32" s="541">
        <f>0.18*(C29+C30+C31)</f>
        <v>706335.48921599996</v>
      </c>
      <c r="D32" s="576">
        <f t="shared" ref="D32" si="65">0.18*(D29+D30+D31)</f>
        <v>0</v>
      </c>
      <c r="E32" s="576">
        <f t="shared" ref="E32" si="66">0.18*(E29+E30+E31)</f>
        <v>0</v>
      </c>
      <c r="F32" s="576">
        <f t="shared" ref="F32" si="67">0.18*(F29+F30+F31)</f>
        <v>0</v>
      </c>
      <c r="G32" s="576">
        <f t="shared" ref="G32" si="68">0.18*(G29+G30+G31)</f>
        <v>302.39999999999998</v>
      </c>
      <c r="H32" s="576">
        <f t="shared" ref="H32" si="69">0.18*(H29+H30+H31)</f>
        <v>302.39999999999998</v>
      </c>
      <c r="I32" s="576">
        <f t="shared" ref="I32" si="70">0.18*(I29+I30+I31)</f>
        <v>0</v>
      </c>
      <c r="J32" s="576">
        <f t="shared" ref="J32" si="71">0.18*(J29+J30+J31)</f>
        <v>0</v>
      </c>
      <c r="K32" s="576">
        <f>0.18*(K29+K30+K31)</f>
        <v>0</v>
      </c>
      <c r="L32" s="576">
        <f t="shared" ref="L32" si="72">0.18*(L29+L30+L31)</f>
        <v>0</v>
      </c>
      <c r="M32" s="576">
        <f t="shared" ref="M32" si="73">0.18*(M29+M30+M31)</f>
        <v>7215.8795520000003</v>
      </c>
      <c r="N32" s="576">
        <f t="shared" ref="N32" si="74">0.18*(N29+N30+N31)</f>
        <v>35411.842031999993</v>
      </c>
      <c r="O32" s="576">
        <f t="shared" ref="O32" si="75">0.18*(O29+O30+O31)</f>
        <v>31541.122031999996</v>
      </c>
      <c r="P32" s="576">
        <f t="shared" ref="P32" si="76">0.18*(P29+P30+P31)</f>
        <v>24325.242480000001</v>
      </c>
      <c r="Q32" s="576">
        <f t="shared" ref="Q32" si="77">0.18*(Q29+Q30+Q31)</f>
        <v>59255.753423999995</v>
      </c>
      <c r="R32" s="576">
        <f t="shared" ref="R32:S32" si="78">0.18*(R29+R30+R31)</f>
        <v>52541.823264000006</v>
      </c>
      <c r="S32" s="576">
        <f t="shared" si="78"/>
        <v>58228.243584000003</v>
      </c>
      <c r="T32" s="576">
        <f t="shared" ref="T32:Z32" si="79">0.18*(T29+T30+T31)</f>
        <v>58228.243584000003</v>
      </c>
      <c r="U32" s="576">
        <f t="shared" si="79"/>
        <v>87857.304864000005</v>
      </c>
      <c r="V32" s="576">
        <f t="shared" si="79"/>
        <v>87857.304864000005</v>
      </c>
      <c r="W32" s="576">
        <f t="shared" si="79"/>
        <v>61956.052703999994</v>
      </c>
      <c r="X32" s="576">
        <f t="shared" si="79"/>
        <v>49759.252703999999</v>
      </c>
      <c r="Y32" s="576">
        <f t="shared" si="79"/>
        <v>43548.632063999998</v>
      </c>
      <c r="Z32" s="576">
        <f t="shared" si="79"/>
        <v>48003.992064000005</v>
      </c>
      <c r="AA32" s="576">
        <f t="shared" ref="AA32" si="80">0.18*(AA29+AA30+AA31)</f>
        <v>0</v>
      </c>
      <c r="AB32" s="582">
        <f t="shared" ref="AB32" si="81">0.18*(AB28+AB30+AB31+AB26)</f>
        <v>706335.48921599996</v>
      </c>
      <c r="AC32" s="525" t="str">
        <f t="shared" si="4"/>
        <v>OK</v>
      </c>
    </row>
    <row r="33" spans="2:29" ht="15.75" thickBot="1">
      <c r="B33" s="542" t="s">
        <v>490</v>
      </c>
      <c r="C33" s="543">
        <f>C29+C30+C31+C32</f>
        <v>4630421.5404160004</v>
      </c>
      <c r="D33" s="575">
        <f t="shared" ref="D33" si="82">D29+D30+D31+D32</f>
        <v>0</v>
      </c>
      <c r="E33" s="575">
        <f t="shared" ref="E33" si="83">E29+E30+E31+E32</f>
        <v>0</v>
      </c>
      <c r="F33" s="575">
        <f t="shared" ref="F33" si="84">F29+F30+F31+F32</f>
        <v>0</v>
      </c>
      <c r="G33" s="575">
        <f t="shared" ref="G33" si="85">G29+G30+G31+G32</f>
        <v>1982.4</v>
      </c>
      <c r="H33" s="575">
        <f t="shared" ref="H33" si="86">H29+H30+H31+H32</f>
        <v>1982.4</v>
      </c>
      <c r="I33" s="575">
        <f t="shared" ref="I33" si="87">I29+I30+I31+I32</f>
        <v>0</v>
      </c>
      <c r="J33" s="575">
        <f t="shared" ref="J33" si="88">J29+J30+J31+J32</f>
        <v>0</v>
      </c>
      <c r="K33" s="575">
        <f t="shared" ref="K33" si="89">K29+K30+K31+K32</f>
        <v>0</v>
      </c>
      <c r="L33" s="575">
        <f t="shared" ref="L33" si="90">L29+L30+L31+L32</f>
        <v>0</v>
      </c>
      <c r="M33" s="575">
        <f t="shared" ref="M33" si="91">M29+M30+M31+M32</f>
        <v>47304.099285333337</v>
      </c>
      <c r="N33" s="575">
        <f t="shared" ref="N33" si="92">N29+N30+N31+N32</f>
        <v>232144.29776533329</v>
      </c>
      <c r="O33" s="575">
        <f t="shared" ref="O33" si="93">O29+O30+O31+O32</f>
        <v>206769.57776533329</v>
      </c>
      <c r="P33" s="575">
        <f t="shared" ref="P33" si="94">P29+P30+P31+P32</f>
        <v>159465.47847999999</v>
      </c>
      <c r="Q33" s="575">
        <f t="shared" ref="Q33" si="95">Q29+Q30+Q31+Q32</f>
        <v>388454.38355733332</v>
      </c>
      <c r="R33" s="575">
        <f t="shared" ref="R33:S33" si="96">R29+R30+R31+R32</f>
        <v>344440.84139733337</v>
      </c>
      <c r="S33" s="575">
        <f t="shared" si="96"/>
        <v>381718.48571733333</v>
      </c>
      <c r="T33" s="575">
        <f t="shared" ref="T33:Z33" si="97">T29+T30+T31+T32</f>
        <v>381718.48571733333</v>
      </c>
      <c r="U33" s="575">
        <f t="shared" si="97"/>
        <v>575953.44299733336</v>
      </c>
      <c r="V33" s="575">
        <f t="shared" si="97"/>
        <v>575953.44299733336</v>
      </c>
      <c r="W33" s="575">
        <f t="shared" si="97"/>
        <v>406156.34550399997</v>
      </c>
      <c r="X33" s="575">
        <f t="shared" si="97"/>
        <v>326199.54550399998</v>
      </c>
      <c r="Y33" s="575">
        <f t="shared" si="97"/>
        <v>285485.47686399997</v>
      </c>
      <c r="Z33" s="575">
        <f t="shared" si="97"/>
        <v>314692.83686400001</v>
      </c>
      <c r="AA33" s="575">
        <f t="shared" ref="AA33" si="98">AA29+AA30+AA31+AA32</f>
        <v>0</v>
      </c>
      <c r="AB33" s="583">
        <f t="shared" ref="AB33" si="99">AB29+AB30+AB31+AB32</f>
        <v>4630421.5404160004</v>
      </c>
      <c r="AC33" s="525" t="str">
        <f t="shared" si="4"/>
        <v>OK</v>
      </c>
    </row>
    <row r="34" spans="2:29" s="893" customFormat="1">
      <c r="B34" s="890"/>
      <c r="C34" s="891"/>
      <c r="D34" s="891"/>
      <c r="E34" s="891"/>
      <c r="F34" s="891"/>
      <c r="G34" s="891"/>
      <c r="H34" s="891"/>
      <c r="I34" s="891"/>
      <c r="J34" s="891"/>
      <c r="K34" s="891"/>
      <c r="L34" s="891"/>
      <c r="M34" s="891"/>
      <c r="N34" s="891"/>
      <c r="O34" s="891"/>
      <c r="P34" s="891"/>
      <c r="Q34" s="891"/>
      <c r="R34" s="891"/>
      <c r="S34" s="891"/>
      <c r="T34" s="891"/>
      <c r="U34" s="891"/>
      <c r="V34" s="891"/>
      <c r="W34" s="891"/>
      <c r="X34" s="891"/>
      <c r="Y34" s="891"/>
      <c r="Z34" s="891"/>
      <c r="AA34" s="891"/>
      <c r="AB34" s="892"/>
    </row>
    <row r="35" spans="2:29">
      <c r="B35" s="544"/>
      <c r="C35" s="545"/>
      <c r="D35" s="546"/>
      <c r="E35" s="546"/>
      <c r="F35" s="546"/>
      <c r="G35" s="546"/>
      <c r="H35" s="546"/>
      <c r="I35" s="546"/>
      <c r="J35" s="546"/>
      <c r="K35" s="546"/>
      <c r="L35" s="546"/>
      <c r="M35" s="546"/>
      <c r="N35" s="546"/>
      <c r="O35" s="546"/>
      <c r="P35" s="546"/>
      <c r="Q35" s="546"/>
      <c r="R35" s="546"/>
      <c r="S35" s="546"/>
      <c r="T35" s="546"/>
      <c r="U35" s="546"/>
      <c r="V35" s="546"/>
      <c r="W35" s="546"/>
      <c r="X35" s="546"/>
      <c r="Y35" s="546"/>
      <c r="Z35" s="546"/>
      <c r="AA35" s="546"/>
      <c r="AB35" s="546"/>
    </row>
    <row r="38" spans="2:29">
      <c r="C38" s="547"/>
    </row>
  </sheetData>
  <mergeCells count="1">
    <mergeCell ref="D6:AB6"/>
  </mergeCells>
  <printOptions horizontalCentered="1" verticalCentered="1"/>
  <pageMargins left="1.3779527559055118" right="0.98425196850393704" top="1.5748031496062993" bottom="0.98425196850393704" header="0.31496062992125984" footer="0.31496062992125984"/>
  <pageSetup paperSize="8" scale="3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P151"/>
  <sheetViews>
    <sheetView showGridLines="0" view="pageBreakPreview" topLeftCell="A25" zoomScale="60" zoomScaleNormal="70" workbookViewId="0">
      <selection activeCell="A97" sqref="A97"/>
    </sheetView>
  </sheetViews>
  <sheetFormatPr baseColWidth="10" defaultColWidth="11.42578125" defaultRowHeight="12.75" outlineLevelRow="1" outlineLevelCol="1"/>
  <cols>
    <col min="1" max="1" width="2.28515625" style="10" customWidth="1"/>
    <col min="2" max="2" width="54" style="10" customWidth="1"/>
    <col min="3" max="3" width="11.140625" style="10" customWidth="1"/>
    <col min="4" max="4" width="13.7109375" style="10" customWidth="1"/>
    <col min="5" max="5" width="15.42578125" style="10" customWidth="1"/>
    <col min="6" max="6" width="17" style="10" customWidth="1"/>
    <col min="7" max="7" width="17.7109375" style="10" customWidth="1"/>
    <col min="8" max="8" width="17" style="10" customWidth="1"/>
    <col min="9" max="9" width="10.28515625" style="10" customWidth="1"/>
    <col min="10" max="12" width="9.28515625" style="10" bestFit="1" customWidth="1" outlineLevel="1"/>
    <col min="13" max="13" width="10.28515625" style="10" bestFit="1" customWidth="1" outlineLevel="1"/>
    <col min="14" max="14" width="9.28515625" style="10" bestFit="1" customWidth="1" outlineLevel="1"/>
    <col min="15" max="15" width="11.85546875" style="10" bestFit="1" customWidth="1" outlineLevel="1"/>
    <col min="16" max="16" width="9.28515625" style="10" bestFit="1" customWidth="1" outlineLevel="1"/>
    <col min="17" max="17" width="8.28515625" style="10" bestFit="1" customWidth="1" outlineLevel="1"/>
    <col min="18" max="18" width="10.28515625" style="10" bestFit="1" customWidth="1" outlineLevel="1"/>
    <col min="19" max="20" width="9.28515625" style="10" bestFit="1" customWidth="1" outlineLevel="1"/>
    <col min="21" max="33" width="10.28515625" style="10" bestFit="1" customWidth="1" outlineLevel="1"/>
    <col min="34" max="34" width="9.28515625" style="10" bestFit="1" customWidth="1" outlineLevel="1"/>
    <col min="35" max="35" width="12.42578125" style="10" bestFit="1" customWidth="1" outlineLevel="1"/>
    <col min="36" max="36" width="8.28515625" style="10" bestFit="1" customWidth="1" outlineLevel="1"/>
    <col min="37" max="37" width="7" style="10" bestFit="1" customWidth="1" outlineLevel="1"/>
    <col min="38" max="38" width="6.5703125" style="10" bestFit="1" customWidth="1" outlineLevel="1"/>
    <col min="39" max="39" width="7.28515625" style="10" bestFit="1" customWidth="1" outlineLevel="1"/>
    <col min="40" max="40" width="6.28515625" style="10" bestFit="1" customWidth="1" outlineLevel="1"/>
    <col min="41" max="41" width="11.85546875" style="10" bestFit="1" customWidth="1" outlineLevel="1"/>
    <col min="42" max="16384" width="11.42578125" style="10"/>
  </cols>
  <sheetData>
    <row r="1" spans="1:42" ht="20.25" customHeight="1">
      <c r="A1" s="17"/>
      <c r="B1" s="22" t="s">
        <v>743</v>
      </c>
      <c r="D1" s="18"/>
      <c r="E1" s="19"/>
      <c r="F1" s="20"/>
      <c r="G1" s="17"/>
      <c r="H1" s="17"/>
      <c r="I1" s="17"/>
      <c r="AP1" s="11"/>
    </row>
    <row r="2" spans="1:42" ht="15" customHeight="1">
      <c r="A2" s="17"/>
      <c r="B2" s="21" t="s">
        <v>56</v>
      </c>
      <c r="C2" s="992" t="s">
        <v>540</v>
      </c>
      <c r="D2" s="21"/>
      <c r="E2" s="21"/>
      <c r="F2" s="20"/>
      <c r="G2" s="17"/>
      <c r="H2" s="17"/>
      <c r="I2" s="17"/>
      <c r="AP2" s="11"/>
    </row>
    <row r="3" spans="1:42" ht="15.75">
      <c r="A3" s="17"/>
      <c r="C3" s="22"/>
      <c r="D3" s="22"/>
      <c r="E3" s="22"/>
      <c r="F3" s="380"/>
      <c r="G3" s="23"/>
      <c r="H3" s="23"/>
      <c r="AP3" s="11"/>
    </row>
    <row r="4" spans="1:42" ht="15.75">
      <c r="A4" s="17"/>
      <c r="B4" s="25" t="s">
        <v>59</v>
      </c>
      <c r="C4" s="26"/>
      <c r="D4" s="22" t="s">
        <v>36</v>
      </c>
      <c r="E4" s="26"/>
      <c r="F4" s="354"/>
      <c r="G4" s="27"/>
      <c r="H4" s="27"/>
      <c r="I4" s="24"/>
      <c r="AP4" s="11"/>
    </row>
    <row r="5" spans="1:42" ht="13.5" thickBot="1">
      <c r="A5" s="17"/>
      <c r="B5" s="25" t="s">
        <v>400</v>
      </c>
      <c r="C5" s="26"/>
      <c r="D5" s="26"/>
      <c r="E5" s="26"/>
      <c r="F5" s="27"/>
      <c r="G5" s="27"/>
      <c r="H5" s="27"/>
      <c r="I5" s="24"/>
      <c r="AP5" s="11"/>
    </row>
    <row r="6" spans="1:42" ht="13.5" thickBot="1">
      <c r="A6" s="17"/>
      <c r="B6" s="97" t="s">
        <v>8</v>
      </c>
      <c r="C6" s="98" t="s">
        <v>53</v>
      </c>
      <c r="D6" s="98" t="s">
        <v>43</v>
      </c>
      <c r="E6" s="98" t="s">
        <v>54</v>
      </c>
      <c r="F6" s="98" t="s">
        <v>2</v>
      </c>
      <c r="G6" s="98" t="s">
        <v>3</v>
      </c>
      <c r="H6" s="98" t="s">
        <v>4</v>
      </c>
      <c r="I6" s="99" t="s">
        <v>71</v>
      </c>
      <c r="J6" s="95">
        <v>41791</v>
      </c>
      <c r="K6" s="95">
        <v>41821</v>
      </c>
      <c r="L6" s="95">
        <v>41852</v>
      </c>
      <c r="M6" s="95">
        <v>41883</v>
      </c>
      <c r="N6" s="670">
        <v>41913</v>
      </c>
      <c r="O6" s="95">
        <v>41944</v>
      </c>
      <c r="P6" s="95">
        <v>41974</v>
      </c>
      <c r="Q6" s="95">
        <v>42005</v>
      </c>
      <c r="R6" s="95">
        <v>42036</v>
      </c>
      <c r="S6" s="95">
        <v>42064</v>
      </c>
      <c r="T6" s="670">
        <v>42095</v>
      </c>
      <c r="U6" s="95">
        <v>42125</v>
      </c>
      <c r="V6" s="95">
        <v>42156</v>
      </c>
      <c r="W6" s="95">
        <v>42186</v>
      </c>
      <c r="X6" s="95">
        <v>42217</v>
      </c>
      <c r="Y6" s="95">
        <v>42248</v>
      </c>
      <c r="Z6" s="95">
        <v>42278</v>
      </c>
      <c r="AA6" s="95">
        <v>42309</v>
      </c>
      <c r="AB6" s="95">
        <v>42339</v>
      </c>
      <c r="AC6" s="95">
        <v>42370</v>
      </c>
      <c r="AD6" s="95">
        <v>42401</v>
      </c>
      <c r="AE6" s="95">
        <v>42430</v>
      </c>
      <c r="AF6" s="670">
        <v>42461</v>
      </c>
      <c r="AG6" s="95">
        <v>42491</v>
      </c>
      <c r="AH6" s="95">
        <v>42522</v>
      </c>
      <c r="AI6" s="670">
        <v>42552</v>
      </c>
      <c r="AJ6" s="95">
        <v>42583</v>
      </c>
      <c r="AK6" s="670">
        <v>42614</v>
      </c>
      <c r="AL6" s="95">
        <v>42644</v>
      </c>
      <c r="AM6" s="95">
        <v>42675</v>
      </c>
      <c r="AN6" s="95">
        <v>42705</v>
      </c>
      <c r="AO6" s="514" t="s">
        <v>4</v>
      </c>
      <c r="AP6" s="11"/>
    </row>
    <row r="7" spans="1:42" outlineLevel="1">
      <c r="A7" s="17"/>
      <c r="B7" s="107" t="s">
        <v>9</v>
      </c>
      <c r="C7" s="108" t="s">
        <v>66</v>
      </c>
      <c r="D7" s="108">
        <v>1076</v>
      </c>
      <c r="E7" s="108">
        <v>1900</v>
      </c>
      <c r="F7" s="401">
        <f>D7*E7</f>
        <v>2044400</v>
      </c>
      <c r="G7" s="362"/>
      <c r="H7" s="362">
        <f>F7+G7</f>
        <v>2044400</v>
      </c>
      <c r="I7" s="109">
        <f t="shared" ref="I7:I12" si="0">H7/$H$95</f>
        <v>0.28112553706769244</v>
      </c>
      <c r="J7" s="110">
        <v>20000</v>
      </c>
      <c r="K7" s="110"/>
      <c r="L7" s="110"/>
      <c r="M7" s="110">
        <v>184259.95</v>
      </c>
      <c r="N7" s="110"/>
      <c r="O7" s="110">
        <f>$H$7-$J$7-$M$7-R7-AI7</f>
        <v>1169460.05</v>
      </c>
      <c r="P7" s="110"/>
      <c r="Q7" s="110"/>
      <c r="R7" s="110">
        <v>150000</v>
      </c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>
        <f>'CUADRO DE VENTAS'!K104+SUM('CUADRO DE VENTAS'!K161:K168)</f>
        <v>520680</v>
      </c>
      <c r="AJ7" s="511"/>
      <c r="AK7" s="511"/>
      <c r="AL7" s="511"/>
      <c r="AM7" s="511"/>
      <c r="AN7" s="511"/>
      <c r="AO7" s="511">
        <f>SUM(J7:AN7)</f>
        <v>2044400</v>
      </c>
      <c r="AP7" s="516" t="str">
        <f>IF(ROUND(AO7,1)=ROUND(F7,1),"OK","ERROR")</f>
        <v>OK</v>
      </c>
    </row>
    <row r="8" spans="1:42" outlineLevel="1">
      <c r="A8" s="17"/>
      <c r="B8" s="111" t="s">
        <v>45</v>
      </c>
      <c r="C8" s="102" t="s">
        <v>392</v>
      </c>
      <c r="D8" s="102">
        <v>1</v>
      </c>
      <c r="E8" s="102"/>
      <c r="F8" s="103">
        <f>(F7-(20*3800/3.11))*0.03</f>
        <v>60598.8810289389</v>
      </c>
      <c r="G8" s="104"/>
      <c r="H8" s="104">
        <f>F8+G8</f>
        <v>60598.8810289389</v>
      </c>
      <c r="I8" s="105">
        <f t="shared" si="0"/>
        <v>8.3329548889462188E-3</v>
      </c>
      <c r="J8" s="106"/>
      <c r="K8" s="106"/>
      <c r="L8" s="106"/>
      <c r="M8" s="106"/>
      <c r="N8" s="106"/>
      <c r="O8" s="106">
        <f>$H$8</f>
        <v>60598.8810289389</v>
      </c>
      <c r="P8" s="106"/>
      <c r="Q8" s="106"/>
      <c r="R8" s="106"/>
      <c r="S8" s="106"/>
      <c r="T8" s="106"/>
      <c r="U8" s="106"/>
      <c r="V8" s="106"/>
      <c r="W8" s="106"/>
      <c r="X8" s="106"/>
      <c r="Y8" s="106"/>
      <c r="Z8" s="106"/>
      <c r="AA8" s="106"/>
      <c r="AB8" s="106"/>
      <c r="AC8" s="106"/>
      <c r="AD8" s="106"/>
      <c r="AE8" s="106"/>
      <c r="AF8" s="106"/>
      <c r="AG8" s="106"/>
      <c r="AH8" s="106"/>
      <c r="AI8" s="106"/>
      <c r="AJ8" s="512"/>
      <c r="AK8" s="512"/>
      <c r="AL8" s="512"/>
      <c r="AM8" s="512"/>
      <c r="AN8" s="512"/>
      <c r="AO8" s="512">
        <f>SUM(J8:AN8)</f>
        <v>60598.8810289389</v>
      </c>
      <c r="AP8" s="516" t="str">
        <f>IF(ROUND(AO8,1)=ROUND(F8,1),"OK","ERROR")</f>
        <v>OK</v>
      </c>
    </row>
    <row r="9" spans="1:42" outlineLevel="1">
      <c r="A9" s="17"/>
      <c r="B9" s="111" t="s">
        <v>24</v>
      </c>
      <c r="C9" s="102" t="s">
        <v>67</v>
      </c>
      <c r="D9" s="102">
        <v>1</v>
      </c>
      <c r="E9" s="402">
        <v>2E-3</v>
      </c>
      <c r="F9" s="103">
        <f>F7*E9</f>
        <v>4088.8</v>
      </c>
      <c r="G9" s="894">
        <f>F9*0.18</f>
        <v>735.98400000000004</v>
      </c>
      <c r="H9" s="104">
        <f>F9+G9</f>
        <v>4824.7840000000006</v>
      </c>
      <c r="I9" s="105">
        <f t="shared" si="0"/>
        <v>6.6345626747975426E-4</v>
      </c>
      <c r="J9" s="106"/>
      <c r="K9" s="106"/>
      <c r="L9" s="106"/>
      <c r="M9" s="106"/>
      <c r="N9" s="106"/>
      <c r="O9" s="897">
        <f>$F$9</f>
        <v>4088.8</v>
      </c>
      <c r="P9" s="106"/>
      <c r="Q9" s="106"/>
      <c r="R9" s="106"/>
      <c r="S9" s="106"/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06"/>
      <c r="AE9" s="106"/>
      <c r="AF9" s="106"/>
      <c r="AG9" s="106"/>
      <c r="AH9" s="106"/>
      <c r="AI9" s="106"/>
      <c r="AJ9" s="512"/>
      <c r="AK9" s="512"/>
      <c r="AL9" s="512"/>
      <c r="AM9" s="512"/>
      <c r="AN9" s="512"/>
      <c r="AO9" s="512">
        <f>SUM(J9:AN9)</f>
        <v>4088.8</v>
      </c>
      <c r="AP9" s="516" t="str">
        <f>IF(ROUND(AO9,1)=ROUND(F9,1),"OK","ERROR")</f>
        <v>OK</v>
      </c>
    </row>
    <row r="10" spans="1:42" ht="13.5" outlineLevel="1" thickBot="1">
      <c r="A10" s="17"/>
      <c r="B10" s="116" t="s">
        <v>46</v>
      </c>
      <c r="C10" s="117" t="s">
        <v>67</v>
      </c>
      <c r="D10" s="117">
        <v>1</v>
      </c>
      <c r="E10" s="402">
        <v>3000</v>
      </c>
      <c r="F10" s="584">
        <f>E10*D10</f>
        <v>3000</v>
      </c>
      <c r="G10" s="118"/>
      <c r="H10" s="118">
        <f>F10+G10</f>
        <v>3000</v>
      </c>
      <c r="I10" s="119">
        <f t="shared" si="0"/>
        <v>4.1253013656969152E-4</v>
      </c>
      <c r="J10" s="106"/>
      <c r="K10" s="120"/>
      <c r="L10" s="120"/>
      <c r="M10" s="120"/>
      <c r="N10" s="120"/>
      <c r="O10" s="120">
        <f>$H$10</f>
        <v>3000</v>
      </c>
      <c r="P10" s="120"/>
      <c r="Q10" s="120"/>
      <c r="R10" s="120"/>
      <c r="S10" s="120"/>
      <c r="T10" s="120"/>
      <c r="U10" s="120"/>
      <c r="V10" s="120"/>
      <c r="W10" s="120"/>
      <c r="X10" s="120"/>
      <c r="Y10" s="120"/>
      <c r="Z10" s="120"/>
      <c r="AA10" s="120"/>
      <c r="AB10" s="120"/>
      <c r="AC10" s="120"/>
      <c r="AD10" s="120"/>
      <c r="AE10" s="120"/>
      <c r="AF10" s="120"/>
      <c r="AG10" s="120"/>
      <c r="AH10" s="120"/>
      <c r="AI10" s="120"/>
      <c r="AJ10" s="513"/>
      <c r="AK10" s="513"/>
      <c r="AL10" s="513"/>
      <c r="AM10" s="513"/>
      <c r="AN10" s="513"/>
      <c r="AO10" s="513">
        <f>SUM(J10:AN10)</f>
        <v>3000</v>
      </c>
      <c r="AP10" s="516" t="str">
        <f>IF(ROUND(AO10,1)=ROUND(F10,1),"OK","ERROR")</f>
        <v>OK</v>
      </c>
    </row>
    <row r="11" spans="1:42" ht="13.5" outlineLevel="1" thickBot="1">
      <c r="A11" s="17"/>
      <c r="B11" s="121" t="s">
        <v>10</v>
      </c>
      <c r="C11" s="122"/>
      <c r="D11" s="122"/>
      <c r="E11" s="122"/>
      <c r="F11" s="123">
        <f>SUM(F7:F10)</f>
        <v>2112087.6810289389</v>
      </c>
      <c r="G11" s="123">
        <f>SUM(G7:G10)</f>
        <v>735.98400000000004</v>
      </c>
      <c r="H11" s="123">
        <f>SUM(H7:H10)</f>
        <v>2112823.665028939</v>
      </c>
      <c r="I11" s="124">
        <f t="shared" si="0"/>
        <v>0.29053447836068813</v>
      </c>
      <c r="J11" s="125">
        <f>SUM(J7:J10)</f>
        <v>20000</v>
      </c>
      <c r="K11" s="125">
        <f t="shared" ref="K11:AN11" si="1">SUM(K7:K10)</f>
        <v>0</v>
      </c>
      <c r="L11" s="125">
        <f t="shared" si="1"/>
        <v>0</v>
      </c>
      <c r="M11" s="125">
        <f t="shared" si="1"/>
        <v>184259.95</v>
      </c>
      <c r="N11" s="125">
        <f t="shared" si="1"/>
        <v>0</v>
      </c>
      <c r="O11" s="125">
        <f t="shared" si="1"/>
        <v>1237147.7310289389</v>
      </c>
      <c r="P11" s="125">
        <f t="shared" si="1"/>
        <v>0</v>
      </c>
      <c r="Q11" s="125">
        <f t="shared" si="1"/>
        <v>0</v>
      </c>
      <c r="R11" s="125">
        <f t="shared" si="1"/>
        <v>150000</v>
      </c>
      <c r="S11" s="125">
        <f t="shared" si="1"/>
        <v>0</v>
      </c>
      <c r="T11" s="125">
        <f t="shared" si="1"/>
        <v>0</v>
      </c>
      <c r="U11" s="125">
        <f t="shared" si="1"/>
        <v>0</v>
      </c>
      <c r="V11" s="125">
        <f t="shared" si="1"/>
        <v>0</v>
      </c>
      <c r="W11" s="125">
        <f t="shared" si="1"/>
        <v>0</v>
      </c>
      <c r="X11" s="125">
        <f t="shared" si="1"/>
        <v>0</v>
      </c>
      <c r="Y11" s="125">
        <f t="shared" si="1"/>
        <v>0</v>
      </c>
      <c r="Z11" s="125">
        <f t="shared" si="1"/>
        <v>0</v>
      </c>
      <c r="AA11" s="125">
        <f t="shared" si="1"/>
        <v>0</v>
      </c>
      <c r="AB11" s="125">
        <f t="shared" si="1"/>
        <v>0</v>
      </c>
      <c r="AC11" s="125">
        <f t="shared" si="1"/>
        <v>0</v>
      </c>
      <c r="AD11" s="125">
        <f t="shared" si="1"/>
        <v>0</v>
      </c>
      <c r="AE11" s="125">
        <f t="shared" si="1"/>
        <v>0</v>
      </c>
      <c r="AF11" s="125">
        <f t="shared" si="1"/>
        <v>0</v>
      </c>
      <c r="AG11" s="125">
        <f t="shared" si="1"/>
        <v>0</v>
      </c>
      <c r="AH11" s="125">
        <f t="shared" si="1"/>
        <v>0</v>
      </c>
      <c r="AI11" s="125">
        <f t="shared" si="1"/>
        <v>520680</v>
      </c>
      <c r="AJ11" s="125">
        <f t="shared" si="1"/>
        <v>0</v>
      </c>
      <c r="AK11" s="125">
        <f t="shared" si="1"/>
        <v>0</v>
      </c>
      <c r="AL11" s="125">
        <f t="shared" si="1"/>
        <v>0</v>
      </c>
      <c r="AM11" s="125">
        <f t="shared" si="1"/>
        <v>0</v>
      </c>
      <c r="AN11" s="125">
        <f t="shared" si="1"/>
        <v>0</v>
      </c>
      <c r="AO11" s="515">
        <f t="shared" ref="AO11" si="2">SUM(AO7:AO10)</f>
        <v>2112087.6810289389</v>
      </c>
      <c r="AP11" s="516" t="str">
        <f>IF(ROUND(AO11,1)=ROUND(F11,1),"OK","ERROR")</f>
        <v>OK</v>
      </c>
    </row>
    <row r="12" spans="1:42">
      <c r="A12" s="17"/>
      <c r="B12" s="26"/>
      <c r="C12" s="26"/>
      <c r="D12" s="26"/>
      <c r="E12" s="26"/>
      <c r="F12" s="27"/>
      <c r="G12" s="27"/>
      <c r="H12" s="27"/>
      <c r="I12" s="27">
        <f t="shared" si="0"/>
        <v>0</v>
      </c>
      <c r="O12" s="898">
        <f>G9</f>
        <v>735.98400000000004</v>
      </c>
      <c r="AO12" s="599">
        <f>SUM(J12:AN12)</f>
        <v>735.98400000000004</v>
      </c>
      <c r="AP12" s="11"/>
    </row>
    <row r="13" spans="1:42" ht="13.5" thickBot="1">
      <c r="A13" s="17"/>
      <c r="B13" s="26"/>
      <c r="C13" s="26"/>
      <c r="D13" s="26"/>
      <c r="E13" s="26"/>
      <c r="F13" s="27"/>
      <c r="G13" s="27"/>
      <c r="H13" s="27"/>
      <c r="I13" s="27"/>
      <c r="AP13" s="11"/>
    </row>
    <row r="14" spans="1:42" ht="13.5" thickBot="1">
      <c r="A14" s="17"/>
      <c r="B14" s="97" t="s">
        <v>698</v>
      </c>
      <c r="C14" s="98" t="s">
        <v>53</v>
      </c>
      <c r="D14" s="98" t="s">
        <v>43</v>
      </c>
      <c r="E14" s="98" t="s">
        <v>54</v>
      </c>
      <c r="F14" s="98" t="s">
        <v>2</v>
      </c>
      <c r="G14" s="98" t="s">
        <v>3</v>
      </c>
      <c r="H14" s="98" t="s">
        <v>4</v>
      </c>
      <c r="I14" s="126"/>
      <c r="J14" s="95">
        <f t="shared" ref="J14:AO14" si="3">J6</f>
        <v>41791</v>
      </c>
      <c r="K14" s="95">
        <f t="shared" si="3"/>
        <v>41821</v>
      </c>
      <c r="L14" s="95">
        <f t="shared" si="3"/>
        <v>41852</v>
      </c>
      <c r="M14" s="95">
        <f t="shared" si="3"/>
        <v>41883</v>
      </c>
      <c r="N14" s="95">
        <f t="shared" si="3"/>
        <v>41913</v>
      </c>
      <c r="O14" s="95">
        <f t="shared" si="3"/>
        <v>41944</v>
      </c>
      <c r="P14" s="95">
        <f t="shared" si="3"/>
        <v>41974</v>
      </c>
      <c r="Q14" s="95">
        <f t="shared" si="3"/>
        <v>42005</v>
      </c>
      <c r="R14" s="95">
        <f t="shared" si="3"/>
        <v>42036</v>
      </c>
      <c r="S14" s="95">
        <f t="shared" si="3"/>
        <v>42064</v>
      </c>
      <c r="T14" s="95">
        <f t="shared" si="3"/>
        <v>42095</v>
      </c>
      <c r="U14" s="95">
        <f t="shared" si="3"/>
        <v>42125</v>
      </c>
      <c r="V14" s="95">
        <f t="shared" si="3"/>
        <v>42156</v>
      </c>
      <c r="W14" s="95">
        <f t="shared" si="3"/>
        <v>42186</v>
      </c>
      <c r="X14" s="95">
        <f t="shared" si="3"/>
        <v>42217</v>
      </c>
      <c r="Y14" s="95">
        <f t="shared" si="3"/>
        <v>42248</v>
      </c>
      <c r="Z14" s="95">
        <f t="shared" si="3"/>
        <v>42278</v>
      </c>
      <c r="AA14" s="95">
        <f t="shared" si="3"/>
        <v>42309</v>
      </c>
      <c r="AB14" s="95">
        <f t="shared" si="3"/>
        <v>42339</v>
      </c>
      <c r="AC14" s="95">
        <f t="shared" si="3"/>
        <v>42370</v>
      </c>
      <c r="AD14" s="95">
        <f t="shared" si="3"/>
        <v>42401</v>
      </c>
      <c r="AE14" s="95">
        <f t="shared" si="3"/>
        <v>42430</v>
      </c>
      <c r="AF14" s="95">
        <f t="shared" si="3"/>
        <v>42461</v>
      </c>
      <c r="AG14" s="95">
        <f t="shared" si="3"/>
        <v>42491</v>
      </c>
      <c r="AH14" s="95">
        <f t="shared" si="3"/>
        <v>42522</v>
      </c>
      <c r="AI14" s="95">
        <f t="shared" si="3"/>
        <v>42552</v>
      </c>
      <c r="AJ14" s="95">
        <f t="shared" si="3"/>
        <v>42583</v>
      </c>
      <c r="AK14" s="95">
        <f t="shared" si="3"/>
        <v>42614</v>
      </c>
      <c r="AL14" s="95">
        <f t="shared" si="3"/>
        <v>42644</v>
      </c>
      <c r="AM14" s="95">
        <f t="shared" si="3"/>
        <v>42675</v>
      </c>
      <c r="AN14" s="95">
        <f t="shared" si="3"/>
        <v>42705</v>
      </c>
      <c r="AO14" s="95" t="str">
        <f t="shared" si="3"/>
        <v>TOTAL</v>
      </c>
      <c r="AP14" s="11"/>
    </row>
    <row r="15" spans="1:42" outlineLevel="1">
      <c r="A15" s="17"/>
      <c r="B15" s="107" t="s">
        <v>11</v>
      </c>
      <c r="C15" s="108" t="s">
        <v>392</v>
      </c>
      <c r="D15" s="108">
        <v>1</v>
      </c>
      <c r="E15" s="108">
        <v>500</v>
      </c>
      <c r="F15" s="127">
        <f t="shared" ref="F15" si="4">D15*E15</f>
        <v>500</v>
      </c>
      <c r="G15" s="894">
        <f t="shared" ref="G15:G23" si="5">F15*0.18</f>
        <v>90</v>
      </c>
      <c r="H15" s="102">
        <f t="shared" ref="H15" si="6">F15+G15</f>
        <v>590</v>
      </c>
      <c r="I15" s="109">
        <f t="shared" ref="I15:I24" si="7">H15/$H$95</f>
        <v>8.1130926858706E-5</v>
      </c>
      <c r="J15" s="900">
        <f>+F15</f>
        <v>500</v>
      </c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  <c r="AO15" s="110">
        <f t="shared" ref="AO15:AO23" si="8">SUM(J15:AN15)</f>
        <v>500</v>
      </c>
      <c r="AP15" s="516" t="str">
        <f t="shared" ref="AP15:AP23" si="9">IF(ROUND(AO15,1)=ROUND(F15,1),"OK","ERROR")</f>
        <v>OK</v>
      </c>
    </row>
    <row r="16" spans="1:42" outlineLevel="1">
      <c r="A16" s="17"/>
      <c r="B16" s="111" t="s">
        <v>12</v>
      </c>
      <c r="C16" s="102" t="s">
        <v>392</v>
      </c>
      <c r="D16" s="102">
        <v>1</v>
      </c>
      <c r="E16" s="102">
        <v>500</v>
      </c>
      <c r="F16" s="127">
        <f t="shared" ref="F16:F23" si="10">D16*E16</f>
        <v>500</v>
      </c>
      <c r="G16" s="894">
        <f t="shared" si="5"/>
        <v>90</v>
      </c>
      <c r="H16" s="102">
        <f>F16+G16</f>
        <v>590</v>
      </c>
      <c r="I16" s="105">
        <f t="shared" si="7"/>
        <v>8.1130926858706E-5</v>
      </c>
      <c r="J16" s="106"/>
      <c r="K16" s="897">
        <f>+F16</f>
        <v>500</v>
      </c>
      <c r="L16" s="106"/>
      <c r="M16" s="106"/>
      <c r="N16" s="106"/>
      <c r="O16" s="106"/>
      <c r="P16" s="106"/>
      <c r="Q16" s="106"/>
      <c r="R16" s="106"/>
      <c r="S16" s="106"/>
      <c r="T16" s="106"/>
      <c r="U16" s="106"/>
      <c r="V16" s="106"/>
      <c r="W16" s="106"/>
      <c r="X16" s="106"/>
      <c r="Y16" s="106"/>
      <c r="Z16" s="106"/>
      <c r="AA16" s="106"/>
      <c r="AB16" s="106"/>
      <c r="AC16" s="106"/>
      <c r="AD16" s="106"/>
      <c r="AE16" s="106"/>
      <c r="AF16" s="106"/>
      <c r="AG16" s="106"/>
      <c r="AH16" s="106"/>
      <c r="AI16" s="106"/>
      <c r="AJ16" s="106"/>
      <c r="AK16" s="106"/>
      <c r="AL16" s="106"/>
      <c r="AM16" s="106"/>
      <c r="AN16" s="106"/>
      <c r="AO16" s="106">
        <f t="shared" si="8"/>
        <v>500</v>
      </c>
      <c r="AP16" s="516" t="str">
        <f t="shared" si="9"/>
        <v>OK</v>
      </c>
    </row>
    <row r="17" spans="1:42" outlineLevel="1">
      <c r="A17" s="17"/>
      <c r="B17" s="111" t="s">
        <v>433</v>
      </c>
      <c r="C17" s="102" t="s">
        <v>392</v>
      </c>
      <c r="D17" s="102">
        <v>1</v>
      </c>
      <c r="E17" s="102">
        <v>1500</v>
      </c>
      <c r="F17" s="127">
        <f t="shared" ref="F17:F18" si="11">D17*E17</f>
        <v>1500</v>
      </c>
      <c r="G17" s="961">
        <f t="shared" si="5"/>
        <v>270</v>
      </c>
      <c r="H17" s="102">
        <f>F17+G17</f>
        <v>1770</v>
      </c>
      <c r="I17" s="105">
        <f t="shared" si="7"/>
        <v>2.43392780576118E-4</v>
      </c>
      <c r="J17" s="106"/>
      <c r="K17" s="897">
        <f>+F17</f>
        <v>1500</v>
      </c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06"/>
      <c r="AE17" s="106"/>
      <c r="AF17" s="106"/>
      <c r="AG17" s="106"/>
      <c r="AH17" s="106"/>
      <c r="AI17" s="106"/>
      <c r="AJ17" s="106"/>
      <c r="AK17" s="106"/>
      <c r="AL17" s="106"/>
      <c r="AM17" s="106"/>
      <c r="AN17" s="106"/>
      <c r="AO17" s="106">
        <f t="shared" si="8"/>
        <v>1500</v>
      </c>
      <c r="AP17" s="516" t="str">
        <f t="shared" si="9"/>
        <v>OK</v>
      </c>
    </row>
    <row r="18" spans="1:42" outlineLevel="1">
      <c r="A18" s="17"/>
      <c r="B18" s="111" t="s">
        <v>434</v>
      </c>
      <c r="C18" s="102" t="s">
        <v>392</v>
      </c>
      <c r="D18" s="102">
        <v>1</v>
      </c>
      <c r="E18" s="102">
        <v>1500</v>
      </c>
      <c r="F18" s="127">
        <f t="shared" si="11"/>
        <v>1500</v>
      </c>
      <c r="G18" s="961">
        <f t="shared" si="5"/>
        <v>270</v>
      </c>
      <c r="H18" s="102">
        <f>F18+G18</f>
        <v>1770</v>
      </c>
      <c r="I18" s="105">
        <f t="shared" si="7"/>
        <v>2.43392780576118E-4</v>
      </c>
      <c r="J18" s="106"/>
      <c r="K18" s="897">
        <f>+F18</f>
        <v>1500</v>
      </c>
      <c r="L18" s="106"/>
      <c r="M18" s="106"/>
      <c r="N18" s="106"/>
      <c r="O18" s="106"/>
      <c r="P18" s="106"/>
      <c r="Q18" s="106"/>
      <c r="R18" s="106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6"/>
      <c r="AJ18" s="106"/>
      <c r="AK18" s="106"/>
      <c r="AL18" s="106"/>
      <c r="AM18" s="106"/>
      <c r="AN18" s="106"/>
      <c r="AO18" s="106">
        <f t="shared" si="8"/>
        <v>1500</v>
      </c>
      <c r="AP18" s="516" t="str">
        <f t="shared" si="9"/>
        <v>OK</v>
      </c>
    </row>
    <row r="19" spans="1:42" outlineLevel="1">
      <c r="A19" s="17"/>
      <c r="B19" s="111" t="s">
        <v>428</v>
      </c>
      <c r="C19" s="102" t="s">
        <v>66</v>
      </c>
      <c r="D19" s="102">
        <f>+CONSTRUCCION!C9</f>
        <v>9305.7100000000009</v>
      </c>
      <c r="E19" s="449">
        <v>2</v>
      </c>
      <c r="F19" s="127">
        <f t="shared" si="10"/>
        <v>18611.420000000002</v>
      </c>
      <c r="G19" s="894">
        <f t="shared" si="5"/>
        <v>3350.0556000000001</v>
      </c>
      <c r="H19" s="102">
        <f t="shared" ref="H19:H23" si="12">F19+G19</f>
        <v>21961.475600000002</v>
      </c>
      <c r="I19" s="105">
        <f t="shared" si="7"/>
        <v>3.0199235095133164E-3</v>
      </c>
      <c r="J19" s="897">
        <f>F19*0.2</f>
        <v>3722.2840000000006</v>
      </c>
      <c r="K19" s="897">
        <f>F19*0.5</f>
        <v>9305.7100000000009</v>
      </c>
      <c r="L19" s="106"/>
      <c r="M19" s="897">
        <f>F19*0.3</f>
        <v>5583.4260000000004</v>
      </c>
      <c r="N19" s="106"/>
      <c r="O19" s="106"/>
      <c r="P19" s="106"/>
      <c r="Q19" s="106"/>
      <c r="R19" s="106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6"/>
      <c r="AJ19" s="106"/>
      <c r="AK19" s="106"/>
      <c r="AL19" s="106"/>
      <c r="AM19" s="106"/>
      <c r="AN19" s="106"/>
      <c r="AO19" s="106">
        <f t="shared" si="8"/>
        <v>18611.420000000002</v>
      </c>
      <c r="AP19" s="516" t="str">
        <f t="shared" si="9"/>
        <v>OK</v>
      </c>
    </row>
    <row r="20" spans="1:42" outlineLevel="1">
      <c r="A20" s="17"/>
      <c r="B20" s="111" t="s">
        <v>429</v>
      </c>
      <c r="C20" s="102" t="s">
        <v>66</v>
      </c>
      <c r="D20" s="102">
        <f>+D19</f>
        <v>9305.7100000000009</v>
      </c>
      <c r="E20" s="449">
        <v>1</v>
      </c>
      <c r="F20" s="127">
        <f t="shared" si="10"/>
        <v>9305.7100000000009</v>
      </c>
      <c r="G20" s="894">
        <f t="shared" si="5"/>
        <v>1675.0278000000001</v>
      </c>
      <c r="H20" s="102">
        <f t="shared" si="12"/>
        <v>10980.737800000001</v>
      </c>
      <c r="I20" s="105">
        <f t="shared" si="7"/>
        <v>1.5099617547566582E-3</v>
      </c>
      <c r="J20" s="106"/>
      <c r="K20" s="106"/>
      <c r="L20" s="897">
        <f>F20*0.2</f>
        <v>1861.1420000000003</v>
      </c>
      <c r="M20" s="106"/>
      <c r="N20" s="897">
        <f>$F$20*0.3</f>
        <v>2791.7130000000002</v>
      </c>
      <c r="O20" s="106"/>
      <c r="P20" s="897">
        <f>$F$20*0.5</f>
        <v>4652.8550000000005</v>
      </c>
      <c r="Q20" s="106"/>
      <c r="R20" s="106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6"/>
      <c r="AJ20" s="106"/>
      <c r="AK20" s="106"/>
      <c r="AL20" s="106"/>
      <c r="AM20" s="106"/>
      <c r="AN20" s="106"/>
      <c r="AO20" s="106">
        <f t="shared" si="8"/>
        <v>9305.7100000000009</v>
      </c>
      <c r="AP20" s="516" t="str">
        <f t="shared" si="9"/>
        <v>OK</v>
      </c>
    </row>
    <row r="21" spans="1:42" outlineLevel="1">
      <c r="A21" s="17"/>
      <c r="B21" s="111" t="s">
        <v>431</v>
      </c>
      <c r="C21" s="102" t="s">
        <v>66</v>
      </c>
      <c r="D21" s="102">
        <f t="shared" ref="D21:D23" si="13">+D20</f>
        <v>9305.7100000000009</v>
      </c>
      <c r="E21" s="449">
        <v>0.75</v>
      </c>
      <c r="F21" s="127">
        <f t="shared" si="10"/>
        <v>6979.2825000000012</v>
      </c>
      <c r="G21" s="894">
        <f t="shared" si="5"/>
        <v>1256.2708500000001</v>
      </c>
      <c r="H21" s="102">
        <f t="shared" si="12"/>
        <v>8235.553350000002</v>
      </c>
      <c r="I21" s="105">
        <f t="shared" si="7"/>
        <v>1.1324713160674939E-3</v>
      </c>
      <c r="J21" s="106"/>
      <c r="K21" s="106"/>
      <c r="L21" s="897">
        <f>F21*0.2</f>
        <v>1395.8565000000003</v>
      </c>
      <c r="M21" s="106"/>
      <c r="N21" s="897">
        <f>$F$21*0.3</f>
        <v>2093.7847500000003</v>
      </c>
      <c r="O21" s="106"/>
      <c r="P21" s="897">
        <f>$F$21*0.5</f>
        <v>3489.6412500000006</v>
      </c>
      <c r="Q21" s="106"/>
      <c r="R21" s="106"/>
      <c r="S21" s="106"/>
      <c r="T21" s="106"/>
      <c r="U21" s="106"/>
      <c r="V21" s="106"/>
      <c r="W21" s="106"/>
      <c r="X21" s="106"/>
      <c r="Y21" s="106"/>
      <c r="Z21" s="106"/>
      <c r="AA21" s="106"/>
      <c r="AB21" s="106"/>
      <c r="AC21" s="106"/>
      <c r="AD21" s="106"/>
      <c r="AE21" s="106"/>
      <c r="AF21" s="106"/>
      <c r="AG21" s="106"/>
      <c r="AH21" s="106"/>
      <c r="AI21" s="106"/>
      <c r="AJ21" s="106"/>
      <c r="AK21" s="106"/>
      <c r="AL21" s="106"/>
      <c r="AM21" s="106"/>
      <c r="AN21" s="106"/>
      <c r="AO21" s="106">
        <f t="shared" si="8"/>
        <v>6979.2825000000012</v>
      </c>
      <c r="AP21" s="516" t="str">
        <f t="shared" si="9"/>
        <v>OK</v>
      </c>
    </row>
    <row r="22" spans="1:42" outlineLevel="1">
      <c r="A22" s="17"/>
      <c r="B22" s="111" t="s">
        <v>430</v>
      </c>
      <c r="C22" s="102" t="s">
        <v>66</v>
      </c>
      <c r="D22" s="102">
        <f t="shared" si="13"/>
        <v>9305.7100000000009</v>
      </c>
      <c r="E22" s="449">
        <v>0.75</v>
      </c>
      <c r="F22" s="127">
        <f t="shared" si="10"/>
        <v>6979.2825000000012</v>
      </c>
      <c r="G22" s="894">
        <f t="shared" si="5"/>
        <v>1256.2708500000001</v>
      </c>
      <c r="H22" s="102">
        <f t="shared" si="12"/>
        <v>8235.553350000002</v>
      </c>
      <c r="I22" s="105">
        <f t="shared" si="7"/>
        <v>1.1324713160674939E-3</v>
      </c>
      <c r="J22" s="106"/>
      <c r="K22" s="106"/>
      <c r="L22" s="897">
        <f>F22*0.2</f>
        <v>1395.8565000000003</v>
      </c>
      <c r="M22" s="106"/>
      <c r="N22" s="897">
        <f>$F$22*0.3</f>
        <v>2093.7847500000003</v>
      </c>
      <c r="O22" s="106"/>
      <c r="P22" s="897">
        <f>$F$22*0.5</f>
        <v>3489.6412500000006</v>
      </c>
      <c r="Q22" s="106"/>
      <c r="R22" s="106"/>
      <c r="S22" s="106"/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6"/>
      <c r="AJ22" s="106"/>
      <c r="AK22" s="106"/>
      <c r="AL22" s="106"/>
      <c r="AM22" s="106"/>
      <c r="AN22" s="106"/>
      <c r="AO22" s="106">
        <f t="shared" si="8"/>
        <v>6979.2825000000012</v>
      </c>
      <c r="AP22" s="516" t="str">
        <f t="shared" si="9"/>
        <v>OK</v>
      </c>
    </row>
    <row r="23" spans="1:42" ht="13.5" outlineLevel="1" thickBot="1">
      <c r="A23" s="17"/>
      <c r="B23" s="116" t="s">
        <v>432</v>
      </c>
      <c r="C23" s="117" t="s">
        <v>66</v>
      </c>
      <c r="D23" s="102">
        <f t="shared" si="13"/>
        <v>9305.7100000000009</v>
      </c>
      <c r="E23" s="452">
        <v>0.5</v>
      </c>
      <c r="F23" s="128">
        <f t="shared" si="10"/>
        <v>4652.8550000000005</v>
      </c>
      <c r="G23" s="894">
        <f t="shared" si="5"/>
        <v>837.51390000000004</v>
      </c>
      <c r="H23" s="117">
        <f t="shared" si="12"/>
        <v>5490.3689000000004</v>
      </c>
      <c r="I23" s="119">
        <f t="shared" si="7"/>
        <v>7.549808773783291E-4</v>
      </c>
      <c r="J23" s="120"/>
      <c r="K23" s="120"/>
      <c r="L23" s="897">
        <f>F23*0.2</f>
        <v>930.57100000000014</v>
      </c>
      <c r="M23" s="120"/>
      <c r="N23" s="897">
        <f>$F$23*0.3</f>
        <v>1395.8565000000001</v>
      </c>
      <c r="O23" s="120"/>
      <c r="P23" s="897">
        <f>$F$23*0.5</f>
        <v>2326.4275000000002</v>
      </c>
      <c r="Q23" s="120"/>
      <c r="R23" s="120"/>
      <c r="S23" s="120"/>
      <c r="T23" s="120"/>
      <c r="U23" s="120"/>
      <c r="V23" s="120"/>
      <c r="W23" s="120"/>
      <c r="X23" s="120"/>
      <c r="Y23" s="120"/>
      <c r="Z23" s="120"/>
      <c r="AA23" s="120"/>
      <c r="AB23" s="120"/>
      <c r="AC23" s="120"/>
      <c r="AD23" s="120"/>
      <c r="AE23" s="120"/>
      <c r="AF23" s="120"/>
      <c r="AG23" s="120"/>
      <c r="AH23" s="120"/>
      <c r="AI23" s="120"/>
      <c r="AJ23" s="120"/>
      <c r="AK23" s="120"/>
      <c r="AL23" s="120"/>
      <c r="AM23" s="120"/>
      <c r="AN23" s="120"/>
      <c r="AO23" s="120">
        <f t="shared" si="8"/>
        <v>4652.8550000000005</v>
      </c>
      <c r="AP23" s="516" t="str">
        <f t="shared" si="9"/>
        <v>OK</v>
      </c>
    </row>
    <row r="24" spans="1:42" ht="13.5" outlineLevel="1" thickBot="1">
      <c r="A24" s="17"/>
      <c r="B24" s="121" t="s">
        <v>13</v>
      </c>
      <c r="C24" s="122"/>
      <c r="D24" s="122"/>
      <c r="E24" s="122"/>
      <c r="F24" s="129">
        <f>SUM(F15:F23)</f>
        <v>50528.55000000001</v>
      </c>
      <c r="G24" s="129">
        <f>SUM(G15:G23)</f>
        <v>9095.139000000001</v>
      </c>
      <c r="H24" s="129">
        <f>SUM(H15:H23)</f>
        <v>59623.689000000006</v>
      </c>
      <c r="I24" s="124">
        <f t="shared" si="7"/>
        <v>8.1988561886529396E-3</v>
      </c>
      <c r="J24" s="125">
        <f>SUM(J15:J23)</f>
        <v>4222.2840000000006</v>
      </c>
      <c r="K24" s="125">
        <f>SUM(K15:K23)</f>
        <v>12805.710000000001</v>
      </c>
      <c r="L24" s="125">
        <f>SUM(L15:L23)</f>
        <v>5583.4260000000013</v>
      </c>
      <c r="M24" s="125">
        <f t="shared" ref="M24" si="14">SUM(M15:M23)</f>
        <v>5583.4260000000004</v>
      </c>
      <c r="N24" s="125">
        <f>SUM(N15:N23)</f>
        <v>8375.139000000001</v>
      </c>
      <c r="O24" s="125">
        <f>SUM(O15:O23)</f>
        <v>0</v>
      </c>
      <c r="P24" s="125">
        <f>SUM(P15:P23)</f>
        <v>13958.565000000001</v>
      </c>
      <c r="Q24" s="125">
        <f t="shared" ref="Q24" si="15">SUM(Q15:Q23)</f>
        <v>0</v>
      </c>
      <c r="R24" s="125">
        <f>SUM(R15:R23)</f>
        <v>0</v>
      </c>
      <c r="S24" s="125">
        <f>SUM(S15:S23)</f>
        <v>0</v>
      </c>
      <c r="T24" s="125">
        <f>SUM(T15:T23)</f>
        <v>0</v>
      </c>
      <c r="U24" s="125">
        <f>SUM(U15:U23)</f>
        <v>0</v>
      </c>
      <c r="V24" s="125">
        <f t="shared" ref="V24" si="16">SUM(V15:V23)</f>
        <v>0</v>
      </c>
      <c r="W24" s="125">
        <f t="shared" ref="W24" si="17">SUM(W15:W23)</f>
        <v>0</v>
      </c>
      <c r="X24" s="125">
        <f t="shared" ref="X24" si="18">SUM(X15:X23)</f>
        <v>0</v>
      </c>
      <c r="Y24" s="125">
        <f t="shared" ref="Y24" si="19">SUM(Y15:Y23)</f>
        <v>0</v>
      </c>
      <c r="Z24" s="125">
        <f t="shared" ref="Z24" si="20">SUM(Z15:Z23)</f>
        <v>0</v>
      </c>
      <c r="AA24" s="125">
        <f t="shared" ref="AA24" si="21">SUM(AA15:AA23)</f>
        <v>0</v>
      </c>
      <c r="AB24" s="125">
        <f t="shared" ref="AB24" si="22">SUM(AB15:AB23)</f>
        <v>0</v>
      </c>
      <c r="AC24" s="125">
        <f t="shared" ref="AC24" si="23">SUM(AC15:AC23)</f>
        <v>0</v>
      </c>
      <c r="AD24" s="125">
        <f t="shared" ref="AD24" si="24">SUM(AD15:AD23)</f>
        <v>0</v>
      </c>
      <c r="AE24" s="125">
        <f t="shared" ref="AE24" si="25">SUM(AE15:AE23)</f>
        <v>0</v>
      </c>
      <c r="AF24" s="125">
        <f t="shared" ref="AF24" si="26">SUM(AF15:AF23)</f>
        <v>0</v>
      </c>
      <c r="AG24" s="125">
        <f t="shared" ref="AG24" si="27">SUM(AG15:AG23)</f>
        <v>0</v>
      </c>
      <c r="AH24" s="125">
        <f t="shared" ref="AH24" si="28">SUM(AH15:AH23)</f>
        <v>0</v>
      </c>
      <c r="AI24" s="125">
        <f t="shared" ref="AI24" si="29">SUM(AI15:AI23)</f>
        <v>0</v>
      </c>
      <c r="AJ24" s="125">
        <f t="shared" ref="AJ24:AN24" si="30">SUM(AJ15:AJ23)</f>
        <v>0</v>
      </c>
      <c r="AK24" s="125">
        <f t="shared" si="30"/>
        <v>0</v>
      </c>
      <c r="AL24" s="125">
        <f t="shared" si="30"/>
        <v>0</v>
      </c>
      <c r="AM24" s="125">
        <f t="shared" si="30"/>
        <v>0</v>
      </c>
      <c r="AN24" s="125">
        <f t="shared" si="30"/>
        <v>0</v>
      </c>
      <c r="AO24" s="125">
        <f>SUM(AO15:AO23)</f>
        <v>50528.55000000001</v>
      </c>
      <c r="AP24" s="11"/>
    </row>
    <row r="25" spans="1:42">
      <c r="A25" s="17"/>
      <c r="B25" s="29"/>
      <c r="C25" s="29"/>
      <c r="D25" s="29"/>
      <c r="E25" s="29"/>
      <c r="F25" s="30"/>
      <c r="G25" s="27"/>
      <c r="H25" s="27"/>
      <c r="I25" s="27"/>
      <c r="J25" s="896">
        <f>G19*0.2+G15</f>
        <v>760.01112000000012</v>
      </c>
      <c r="K25" s="899">
        <f>G16+G17+G18+(G19*0.5)</f>
        <v>2305.0277999999998</v>
      </c>
      <c r="L25" s="897">
        <f>(G20+G21+G22+G23)*0.2</f>
        <v>1005.0166800000002</v>
      </c>
      <c r="M25" s="896">
        <f>G19*0.3</f>
        <v>1005.01668</v>
      </c>
      <c r="N25" s="962">
        <f>(G20+G21+G22+G23)*0.3</f>
        <v>1507.52502</v>
      </c>
      <c r="P25" s="962">
        <f>(G20+G21+G22+G23)*0.5</f>
        <v>2512.5417000000002</v>
      </c>
      <c r="AO25" s="34">
        <f>SUM(J25:AN25)</f>
        <v>9095.139000000001</v>
      </c>
      <c r="AP25" s="11"/>
    </row>
    <row r="26" spans="1:42" ht="13.5" thickBot="1">
      <c r="A26" s="31"/>
      <c r="B26" s="30"/>
      <c r="C26" s="30"/>
      <c r="D26" s="30"/>
      <c r="E26" s="30"/>
      <c r="F26" s="29"/>
      <c r="G26" s="29"/>
      <c r="H26" s="29"/>
      <c r="I26" s="29"/>
      <c r="AP26" s="11"/>
    </row>
    <row r="27" spans="1:42" ht="13.5" thickBot="1">
      <c r="A27" s="17"/>
      <c r="B27" s="97" t="s">
        <v>14</v>
      </c>
      <c r="C27" s="98" t="s">
        <v>53</v>
      </c>
      <c r="D27" s="98" t="s">
        <v>43</v>
      </c>
      <c r="E27" s="355" t="s">
        <v>54</v>
      </c>
      <c r="F27" s="98" t="s">
        <v>2</v>
      </c>
      <c r="G27" s="98" t="s">
        <v>3</v>
      </c>
      <c r="H27" s="98" t="s">
        <v>4</v>
      </c>
      <c r="I27" s="126"/>
      <c r="J27" s="95">
        <f>J14</f>
        <v>41791</v>
      </c>
      <c r="K27" s="95">
        <f t="shared" ref="K27:AO27" si="31">K14</f>
        <v>41821</v>
      </c>
      <c r="L27" s="95">
        <f t="shared" si="31"/>
        <v>41852</v>
      </c>
      <c r="M27" s="95">
        <f t="shared" si="31"/>
        <v>41883</v>
      </c>
      <c r="N27" s="95">
        <f t="shared" si="31"/>
        <v>41913</v>
      </c>
      <c r="O27" s="95">
        <f t="shared" si="31"/>
        <v>41944</v>
      </c>
      <c r="P27" s="95">
        <f t="shared" si="31"/>
        <v>41974</v>
      </c>
      <c r="Q27" s="95">
        <f t="shared" si="31"/>
        <v>42005</v>
      </c>
      <c r="R27" s="95">
        <f t="shared" si="31"/>
        <v>42036</v>
      </c>
      <c r="S27" s="95">
        <f t="shared" si="31"/>
        <v>42064</v>
      </c>
      <c r="T27" s="95">
        <f t="shared" si="31"/>
        <v>42095</v>
      </c>
      <c r="U27" s="95">
        <f t="shared" si="31"/>
        <v>42125</v>
      </c>
      <c r="V27" s="95">
        <f t="shared" si="31"/>
        <v>42156</v>
      </c>
      <c r="W27" s="95">
        <f t="shared" si="31"/>
        <v>42186</v>
      </c>
      <c r="X27" s="95">
        <f t="shared" si="31"/>
        <v>42217</v>
      </c>
      <c r="Y27" s="95">
        <f t="shared" si="31"/>
        <v>42248</v>
      </c>
      <c r="Z27" s="95">
        <f t="shared" si="31"/>
        <v>42278</v>
      </c>
      <c r="AA27" s="95">
        <f t="shared" si="31"/>
        <v>42309</v>
      </c>
      <c r="AB27" s="95">
        <f t="shared" si="31"/>
        <v>42339</v>
      </c>
      <c r="AC27" s="95">
        <f t="shared" si="31"/>
        <v>42370</v>
      </c>
      <c r="AD27" s="95">
        <f t="shared" si="31"/>
        <v>42401</v>
      </c>
      <c r="AE27" s="95">
        <f t="shared" si="31"/>
        <v>42430</v>
      </c>
      <c r="AF27" s="95">
        <f t="shared" si="31"/>
        <v>42461</v>
      </c>
      <c r="AG27" s="95">
        <f t="shared" si="31"/>
        <v>42491</v>
      </c>
      <c r="AH27" s="95">
        <f t="shared" si="31"/>
        <v>42522</v>
      </c>
      <c r="AI27" s="95">
        <f t="shared" si="31"/>
        <v>42552</v>
      </c>
      <c r="AJ27" s="95">
        <f t="shared" si="31"/>
        <v>42583</v>
      </c>
      <c r="AK27" s="95">
        <f t="shared" si="31"/>
        <v>42614</v>
      </c>
      <c r="AL27" s="95">
        <f t="shared" si="31"/>
        <v>42644</v>
      </c>
      <c r="AM27" s="95">
        <f t="shared" si="31"/>
        <v>42675</v>
      </c>
      <c r="AN27" s="95">
        <f t="shared" si="31"/>
        <v>42705</v>
      </c>
      <c r="AO27" s="95" t="str">
        <f t="shared" si="31"/>
        <v>TOTAL</v>
      </c>
      <c r="AP27" s="11"/>
    </row>
    <row r="28" spans="1:42" outlineLevel="1">
      <c r="A28" s="17"/>
      <c r="B28" s="107" t="s">
        <v>15</v>
      </c>
      <c r="C28" s="108" t="s">
        <v>67</v>
      </c>
      <c r="D28" s="108">
        <v>1</v>
      </c>
      <c r="E28" s="451">
        <v>110</v>
      </c>
      <c r="F28" s="387">
        <f t="shared" ref="F28:F38" si="32">D28*E28</f>
        <v>110</v>
      </c>
      <c r="G28" s="102"/>
      <c r="H28" s="449">
        <f t="shared" ref="H28" si="33">F28+G28</f>
        <v>110</v>
      </c>
      <c r="I28" s="109">
        <f t="shared" ref="I28:I39" si="34">H28/$H$95</f>
        <v>1.5126105007555357E-5</v>
      </c>
      <c r="J28" s="110">
        <f>H28</f>
        <v>110</v>
      </c>
      <c r="K28" s="110"/>
      <c r="L28" s="110"/>
      <c r="M28" s="110"/>
      <c r="N28" s="110"/>
      <c r="O28" s="110"/>
      <c r="P28" s="110"/>
      <c r="Q28" s="110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  <c r="AO28" s="106">
        <f>SUM(J28:AN28)</f>
        <v>110</v>
      </c>
      <c r="AP28" s="516" t="str">
        <f t="shared" ref="AP28:AP38" si="35">IF(ROUND(AO28,1)=ROUND(F28,1),"OK","ERROR")</f>
        <v>OK</v>
      </c>
    </row>
    <row r="29" spans="1:42" outlineLevel="1">
      <c r="A29" s="17"/>
      <c r="B29" s="111" t="s">
        <v>16</v>
      </c>
      <c r="C29" s="102" t="s">
        <v>67</v>
      </c>
      <c r="D29" s="102">
        <v>1</v>
      </c>
      <c r="E29" s="449">
        <v>30</v>
      </c>
      <c r="F29" s="388">
        <f t="shared" si="32"/>
        <v>30</v>
      </c>
      <c r="G29" s="102"/>
      <c r="H29" s="449">
        <f t="shared" ref="H29:H38" si="36">F29+G29</f>
        <v>30</v>
      </c>
      <c r="I29" s="105">
        <f t="shared" si="34"/>
        <v>4.1253013656969157E-6</v>
      </c>
      <c r="J29" s="106">
        <f>H29</f>
        <v>30</v>
      </c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6"/>
      <c r="AJ29" s="106"/>
      <c r="AK29" s="106"/>
      <c r="AL29" s="106"/>
      <c r="AM29" s="106"/>
      <c r="AN29" s="106"/>
      <c r="AO29" s="106">
        <f>SUM(J29:AN29)</f>
        <v>30</v>
      </c>
      <c r="AP29" s="516" t="str">
        <f t="shared" si="35"/>
        <v>OK</v>
      </c>
    </row>
    <row r="30" spans="1:42" outlineLevel="1">
      <c r="A30" s="17"/>
      <c r="B30" s="111" t="s">
        <v>17</v>
      </c>
      <c r="C30" s="102" t="s">
        <v>67</v>
      </c>
      <c r="D30" s="102">
        <v>1</v>
      </c>
      <c r="E30" s="449">
        <v>2000</v>
      </c>
      <c r="F30" s="388">
        <f t="shared" si="32"/>
        <v>2000</v>
      </c>
      <c r="G30" s="102"/>
      <c r="H30" s="449">
        <f t="shared" si="36"/>
        <v>2000</v>
      </c>
      <c r="I30" s="105">
        <f t="shared" si="34"/>
        <v>2.7502009104646101E-4</v>
      </c>
      <c r="J30" s="106"/>
      <c r="K30" s="106">
        <f>H30</f>
        <v>2000</v>
      </c>
      <c r="L30" s="106"/>
      <c r="M30" s="106"/>
      <c r="N30" s="106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106"/>
      <c r="AA30" s="106"/>
      <c r="AB30" s="106"/>
      <c r="AC30" s="106"/>
      <c r="AD30" s="106"/>
      <c r="AE30" s="106"/>
      <c r="AF30" s="106"/>
      <c r="AG30" s="106"/>
      <c r="AH30" s="106"/>
      <c r="AI30" s="106"/>
      <c r="AJ30" s="106"/>
      <c r="AK30" s="106"/>
      <c r="AL30" s="106"/>
      <c r="AM30" s="106"/>
      <c r="AN30" s="106"/>
      <c r="AO30" s="106">
        <f>SUM(K30:AN30)</f>
        <v>2000</v>
      </c>
      <c r="AP30" s="516" t="str">
        <f t="shared" si="35"/>
        <v>OK</v>
      </c>
    </row>
    <row r="31" spans="1:42" outlineLevel="1">
      <c r="A31" s="17"/>
      <c r="B31" s="111" t="s">
        <v>436</v>
      </c>
      <c r="C31" s="102" t="s">
        <v>67</v>
      </c>
      <c r="D31" s="102">
        <v>1</v>
      </c>
      <c r="E31" s="449">
        <v>2000</v>
      </c>
      <c r="F31" s="388">
        <f t="shared" si="32"/>
        <v>2000</v>
      </c>
      <c r="G31" s="102"/>
      <c r="H31" s="449">
        <f t="shared" si="36"/>
        <v>2000</v>
      </c>
      <c r="I31" s="105">
        <f t="shared" si="34"/>
        <v>2.7502009104646101E-4</v>
      </c>
      <c r="J31" s="106"/>
      <c r="K31" s="106"/>
      <c r="L31" s="106"/>
      <c r="M31" s="106">
        <f>H31</f>
        <v>2000</v>
      </c>
      <c r="N31" s="106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106"/>
      <c r="AA31" s="106"/>
      <c r="AB31" s="106"/>
      <c r="AC31" s="106"/>
      <c r="AE31" s="106"/>
      <c r="AF31" s="106"/>
      <c r="AG31" s="106"/>
      <c r="AH31" s="106"/>
      <c r="AI31" s="106"/>
      <c r="AJ31" s="106"/>
      <c r="AK31" s="106"/>
      <c r="AL31" s="106"/>
      <c r="AM31" s="106"/>
      <c r="AN31" s="106"/>
      <c r="AO31" s="106">
        <f t="shared" ref="AO31:AO38" si="37">SUM(J31:AN31)</f>
        <v>2000</v>
      </c>
      <c r="AP31" s="516" t="str">
        <f t="shared" si="35"/>
        <v>OK</v>
      </c>
    </row>
    <row r="32" spans="1:42" outlineLevel="1">
      <c r="A32" s="17"/>
      <c r="B32" s="111" t="s">
        <v>437</v>
      </c>
      <c r="C32" s="102" t="s">
        <v>67</v>
      </c>
      <c r="D32" s="102">
        <v>1</v>
      </c>
      <c r="E32" s="449">
        <v>150</v>
      </c>
      <c r="F32" s="388">
        <f t="shared" si="32"/>
        <v>150</v>
      </c>
      <c r="G32" s="102"/>
      <c r="H32" s="449">
        <f t="shared" si="36"/>
        <v>150</v>
      </c>
      <c r="I32" s="105">
        <f t="shared" si="34"/>
        <v>2.0626506828484579E-5</v>
      </c>
      <c r="J32" s="106"/>
      <c r="K32" s="106"/>
      <c r="L32" s="106"/>
      <c r="M32" s="106"/>
      <c r="N32" s="106">
        <f>H32</f>
        <v>150</v>
      </c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106"/>
      <c r="AA32" s="106"/>
      <c r="AB32" s="106"/>
      <c r="AC32" s="106"/>
      <c r="AD32" s="106"/>
      <c r="AF32" s="106"/>
      <c r="AG32" s="106"/>
      <c r="AH32" s="106"/>
      <c r="AI32" s="106"/>
      <c r="AJ32" s="106"/>
      <c r="AK32" s="106"/>
      <c r="AL32" s="106"/>
      <c r="AM32" s="106"/>
      <c r="AN32" s="106"/>
      <c r="AO32" s="106">
        <f t="shared" si="37"/>
        <v>150</v>
      </c>
      <c r="AP32" s="516" t="str">
        <f t="shared" si="35"/>
        <v>OK</v>
      </c>
    </row>
    <row r="33" spans="1:42" outlineLevel="1">
      <c r="A33" s="17"/>
      <c r="B33" s="111" t="s">
        <v>438</v>
      </c>
      <c r="C33" s="102" t="s">
        <v>67</v>
      </c>
      <c r="D33" s="102">
        <v>1</v>
      </c>
      <c r="E33" s="449">
        <v>35000</v>
      </c>
      <c r="F33" s="388">
        <f t="shared" si="32"/>
        <v>35000</v>
      </c>
      <c r="G33" s="102"/>
      <c r="H33" s="449">
        <f t="shared" si="36"/>
        <v>35000</v>
      </c>
      <c r="I33" s="105">
        <f t="shared" si="34"/>
        <v>4.8128515933130679E-3</v>
      </c>
      <c r="J33" s="106"/>
      <c r="K33" s="106"/>
      <c r="L33" s="106"/>
      <c r="M33" s="106"/>
      <c r="N33" s="963"/>
      <c r="O33" s="963"/>
      <c r="P33" s="963"/>
      <c r="Q33" s="963"/>
      <c r="R33" s="963"/>
      <c r="S33" s="106">
        <f>H33</f>
        <v>35000</v>
      </c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>
        <f t="shared" si="37"/>
        <v>35000</v>
      </c>
      <c r="AP33" s="516" t="str">
        <f t="shared" si="35"/>
        <v>OK</v>
      </c>
    </row>
    <row r="34" spans="1:42" outlineLevel="1">
      <c r="A34" s="17"/>
      <c r="B34" s="111" t="s">
        <v>18</v>
      </c>
      <c r="C34" s="102" t="s">
        <v>67</v>
      </c>
      <c r="D34" s="102">
        <v>1</v>
      </c>
      <c r="E34" s="449">
        <v>150</v>
      </c>
      <c r="F34" s="388">
        <f t="shared" si="32"/>
        <v>150</v>
      </c>
      <c r="G34" s="102"/>
      <c r="H34" s="449">
        <f t="shared" si="36"/>
        <v>150</v>
      </c>
      <c r="I34" s="105">
        <f t="shared" si="34"/>
        <v>2.0626506828484579E-5</v>
      </c>
      <c r="J34" s="106"/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06"/>
      <c r="W34" s="106"/>
      <c r="X34" s="106"/>
      <c r="Y34" s="106"/>
      <c r="Z34" s="106"/>
      <c r="AA34" s="106"/>
      <c r="AB34" s="106"/>
      <c r="AC34" s="106"/>
      <c r="AD34" s="106"/>
      <c r="AE34" s="106"/>
      <c r="AF34" s="963">
        <f>H34</f>
        <v>150</v>
      </c>
      <c r="AG34" s="963"/>
      <c r="AH34" s="106"/>
      <c r="AI34" s="106"/>
      <c r="AJ34" s="106"/>
      <c r="AK34" s="106"/>
      <c r="AL34" s="106"/>
      <c r="AM34" s="106"/>
      <c r="AN34" s="106"/>
      <c r="AO34" s="106">
        <f t="shared" si="37"/>
        <v>150</v>
      </c>
      <c r="AP34" s="516" t="str">
        <f t="shared" si="35"/>
        <v>OK</v>
      </c>
    </row>
    <row r="35" spans="1:42" outlineLevel="1">
      <c r="A35" s="17"/>
      <c r="B35" s="111" t="s">
        <v>49</v>
      </c>
      <c r="C35" s="102" t="s">
        <v>67</v>
      </c>
      <c r="D35" s="102">
        <v>1</v>
      </c>
      <c r="E35" s="449">
        <v>2500</v>
      </c>
      <c r="F35" s="388">
        <f t="shared" si="32"/>
        <v>2500</v>
      </c>
      <c r="G35" s="102"/>
      <c r="H35" s="449">
        <f t="shared" si="36"/>
        <v>2500</v>
      </c>
      <c r="I35" s="105">
        <f t="shared" si="34"/>
        <v>3.4377511380807629E-4</v>
      </c>
      <c r="J35" s="106"/>
      <c r="K35" s="106"/>
      <c r="L35" s="106"/>
      <c r="M35" s="106"/>
      <c r="N35" s="106"/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6"/>
      <c r="Z35" s="106"/>
      <c r="AA35" s="106"/>
      <c r="AB35" s="106"/>
      <c r="AC35" s="106"/>
      <c r="AD35" s="106"/>
      <c r="AE35" s="106"/>
      <c r="AF35" s="963">
        <f>H35</f>
        <v>2500</v>
      </c>
      <c r="AG35" s="963"/>
      <c r="AH35" s="106"/>
      <c r="AI35" s="106"/>
      <c r="AJ35" s="106"/>
      <c r="AK35" s="106"/>
      <c r="AL35" s="106"/>
      <c r="AM35" s="106"/>
      <c r="AN35" s="106"/>
      <c r="AO35" s="106">
        <f t="shared" si="37"/>
        <v>2500</v>
      </c>
      <c r="AP35" s="516" t="str">
        <f t="shared" si="35"/>
        <v>OK</v>
      </c>
    </row>
    <row r="36" spans="1:42" outlineLevel="1">
      <c r="A36" s="17"/>
      <c r="B36" s="111" t="s">
        <v>50</v>
      </c>
      <c r="C36" s="102" t="s">
        <v>67</v>
      </c>
      <c r="D36" s="102">
        <v>1</v>
      </c>
      <c r="E36" s="449">
        <v>12000</v>
      </c>
      <c r="F36" s="388">
        <f t="shared" si="32"/>
        <v>12000</v>
      </c>
      <c r="G36" s="102"/>
      <c r="H36" s="449">
        <f t="shared" si="36"/>
        <v>12000</v>
      </c>
      <c r="I36" s="105">
        <f t="shared" si="34"/>
        <v>1.6501205462787661E-3</v>
      </c>
      <c r="J36" s="106"/>
      <c r="K36" s="106"/>
      <c r="L36" s="106"/>
      <c r="M36" s="106"/>
      <c r="N36" s="106"/>
      <c r="O36" s="106"/>
      <c r="P36" s="106"/>
      <c r="Q36" s="106"/>
      <c r="R36" s="106"/>
      <c r="S36" s="106"/>
      <c r="T36" s="106"/>
      <c r="U36" s="106"/>
      <c r="V36" s="106"/>
      <c r="W36" s="106"/>
      <c r="X36" s="106"/>
      <c r="Y36" s="106"/>
      <c r="Z36" s="106"/>
      <c r="AA36" s="106"/>
      <c r="AB36" s="106"/>
      <c r="AC36" s="106"/>
      <c r="AD36" s="106"/>
      <c r="AE36" s="106"/>
      <c r="AF36" s="963">
        <f>H36/2</f>
        <v>6000</v>
      </c>
      <c r="AG36" s="963">
        <f>+AF36</f>
        <v>6000</v>
      </c>
      <c r="AH36" s="106"/>
      <c r="AI36" s="106"/>
      <c r="AJ36" s="106"/>
      <c r="AK36" s="106"/>
      <c r="AL36" s="106"/>
      <c r="AM36" s="106"/>
      <c r="AN36" s="106"/>
      <c r="AO36" s="106">
        <f t="shared" si="37"/>
        <v>12000</v>
      </c>
      <c r="AP36" s="516" t="str">
        <f t="shared" si="35"/>
        <v>OK</v>
      </c>
    </row>
    <row r="37" spans="1:42" outlineLevel="1">
      <c r="A37" s="17"/>
      <c r="B37" s="111" t="s">
        <v>47</v>
      </c>
      <c r="C37" s="102" t="s">
        <v>67</v>
      </c>
      <c r="D37" s="102">
        <v>1</v>
      </c>
      <c r="E37" s="449">
        <v>250</v>
      </c>
      <c r="F37" s="388">
        <f t="shared" si="32"/>
        <v>250</v>
      </c>
      <c r="G37" s="102"/>
      <c r="H37" s="449">
        <f t="shared" si="36"/>
        <v>250</v>
      </c>
      <c r="I37" s="105">
        <f t="shared" si="34"/>
        <v>3.4377511380807627E-5</v>
      </c>
      <c r="J37" s="106"/>
      <c r="K37" s="106"/>
      <c r="L37" s="106"/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106"/>
      <c r="AA37" s="106"/>
      <c r="AB37" s="106"/>
      <c r="AC37" s="106"/>
      <c r="AD37" s="106"/>
      <c r="AE37" s="106"/>
      <c r="AF37" s="963">
        <f>H37</f>
        <v>250</v>
      </c>
      <c r="AG37" s="963"/>
      <c r="AH37" s="106"/>
      <c r="AI37" s="106"/>
      <c r="AJ37" s="106"/>
      <c r="AK37" s="106"/>
      <c r="AL37" s="106"/>
      <c r="AM37" s="106"/>
      <c r="AN37" s="106"/>
      <c r="AO37" s="106">
        <f t="shared" si="37"/>
        <v>250</v>
      </c>
      <c r="AP37" s="516" t="str">
        <f t="shared" si="35"/>
        <v>OK</v>
      </c>
    </row>
    <row r="38" spans="1:42" ht="13.5" outlineLevel="1" thickBot="1">
      <c r="A38" s="17"/>
      <c r="B38" s="116" t="s">
        <v>51</v>
      </c>
      <c r="C38" s="117" t="s">
        <v>67</v>
      </c>
      <c r="D38" s="117">
        <v>1</v>
      </c>
      <c r="E38" s="452">
        <v>2000</v>
      </c>
      <c r="F38" s="388">
        <f t="shared" si="32"/>
        <v>2000</v>
      </c>
      <c r="G38" s="102"/>
      <c r="H38" s="449">
        <f t="shared" si="36"/>
        <v>2000</v>
      </c>
      <c r="I38" s="119">
        <f t="shared" si="34"/>
        <v>2.7502009104646101E-4</v>
      </c>
      <c r="J38" s="120"/>
      <c r="K38" s="120"/>
      <c r="L38" s="120"/>
      <c r="M38" s="120"/>
      <c r="N38" s="120"/>
      <c r="O38" s="120"/>
      <c r="P38" s="120"/>
      <c r="Q38" s="120"/>
      <c r="R38" s="120"/>
      <c r="S38" s="120"/>
      <c r="T38" s="120"/>
      <c r="U38" s="120"/>
      <c r="V38" s="120"/>
      <c r="W38" s="120"/>
      <c r="X38" s="120"/>
      <c r="Y38" s="120"/>
      <c r="Z38" s="120"/>
      <c r="AA38" s="120"/>
      <c r="AB38" s="120"/>
      <c r="AC38" s="120"/>
      <c r="AD38" s="120"/>
      <c r="AE38" s="120"/>
      <c r="AF38" s="964">
        <f>H38</f>
        <v>2000</v>
      </c>
      <c r="AG38" s="964"/>
      <c r="AH38" s="120"/>
      <c r="AI38" s="120"/>
      <c r="AJ38" s="120"/>
      <c r="AK38" s="120"/>
      <c r="AL38" s="120"/>
      <c r="AM38" s="120"/>
      <c r="AN38" s="120"/>
      <c r="AO38" s="106">
        <f t="shared" si="37"/>
        <v>2000</v>
      </c>
      <c r="AP38" s="516" t="str">
        <f t="shared" si="35"/>
        <v>OK</v>
      </c>
    </row>
    <row r="39" spans="1:42" ht="13.5" outlineLevel="1" thickBot="1">
      <c r="A39" s="17"/>
      <c r="B39" s="121" t="s">
        <v>19</v>
      </c>
      <c r="C39" s="122"/>
      <c r="D39" s="122"/>
      <c r="E39" s="122"/>
      <c r="F39" s="450">
        <f>SUM(F28:F38)</f>
        <v>56190</v>
      </c>
      <c r="G39" s="129">
        <f>SUM(G28:G38)</f>
        <v>0</v>
      </c>
      <c r="H39" s="450">
        <f>SUM(H28:H38)</f>
        <v>56190</v>
      </c>
      <c r="I39" s="124">
        <f t="shared" si="34"/>
        <v>7.7266894579503228E-3</v>
      </c>
      <c r="J39" s="125">
        <f t="shared" ref="J39:AJ39" si="38">SUM(J28:J38)</f>
        <v>140</v>
      </c>
      <c r="K39" s="125">
        <f t="shared" si="38"/>
        <v>2000</v>
      </c>
      <c r="L39" s="125">
        <f t="shared" si="38"/>
        <v>0</v>
      </c>
      <c r="M39" s="125">
        <f t="shared" si="38"/>
        <v>2000</v>
      </c>
      <c r="N39" s="125">
        <f t="shared" si="38"/>
        <v>150</v>
      </c>
      <c r="O39" s="125">
        <f t="shared" si="38"/>
        <v>0</v>
      </c>
      <c r="P39" s="125">
        <f t="shared" si="38"/>
        <v>0</v>
      </c>
      <c r="Q39" s="125">
        <f t="shared" si="38"/>
        <v>0</v>
      </c>
      <c r="R39" s="125">
        <f t="shared" si="38"/>
        <v>0</v>
      </c>
      <c r="S39" s="125">
        <f t="shared" si="38"/>
        <v>35000</v>
      </c>
      <c r="T39" s="125">
        <f t="shared" si="38"/>
        <v>0</v>
      </c>
      <c r="U39" s="125">
        <f t="shared" si="38"/>
        <v>0</v>
      </c>
      <c r="V39" s="125">
        <f t="shared" si="38"/>
        <v>0</v>
      </c>
      <c r="W39" s="125">
        <f t="shared" si="38"/>
        <v>0</v>
      </c>
      <c r="X39" s="125">
        <f t="shared" si="38"/>
        <v>0</v>
      </c>
      <c r="Y39" s="125">
        <f t="shared" si="38"/>
        <v>0</v>
      </c>
      <c r="Z39" s="125">
        <f t="shared" si="38"/>
        <v>0</v>
      </c>
      <c r="AA39" s="125">
        <f t="shared" si="38"/>
        <v>0</v>
      </c>
      <c r="AB39" s="125">
        <f t="shared" si="38"/>
        <v>0</v>
      </c>
      <c r="AC39" s="125">
        <f t="shared" si="38"/>
        <v>0</v>
      </c>
      <c r="AD39" s="125">
        <f t="shared" si="38"/>
        <v>0</v>
      </c>
      <c r="AE39" s="125">
        <f t="shared" si="38"/>
        <v>0</v>
      </c>
      <c r="AF39" s="125">
        <f t="shared" si="38"/>
        <v>10900</v>
      </c>
      <c r="AG39" s="125">
        <f t="shared" si="38"/>
        <v>6000</v>
      </c>
      <c r="AH39" s="125">
        <f t="shared" si="38"/>
        <v>0</v>
      </c>
      <c r="AI39" s="125">
        <f t="shared" si="38"/>
        <v>0</v>
      </c>
      <c r="AJ39" s="125">
        <f t="shared" si="38"/>
        <v>0</v>
      </c>
      <c r="AK39" s="125">
        <f t="shared" ref="AK39:AN39" si="39">SUM(AK28:AK38)</f>
        <v>0</v>
      </c>
      <c r="AL39" s="125">
        <f t="shared" si="39"/>
        <v>0</v>
      </c>
      <c r="AM39" s="125">
        <f t="shared" si="39"/>
        <v>0</v>
      </c>
      <c r="AN39" s="125">
        <f t="shared" si="39"/>
        <v>0</v>
      </c>
      <c r="AO39" s="125">
        <f>SUM(AO28:AO38)</f>
        <v>56190</v>
      </c>
      <c r="AP39" s="11"/>
    </row>
    <row r="40" spans="1:42">
      <c r="A40" s="17"/>
      <c r="B40" s="30"/>
      <c r="C40" s="30"/>
      <c r="D40" s="30"/>
      <c r="E40" s="30"/>
      <c r="F40" s="29"/>
      <c r="G40" s="33"/>
      <c r="H40" s="33"/>
      <c r="I40" s="33"/>
      <c r="AP40" s="11"/>
    </row>
    <row r="41" spans="1:42" ht="13.5" thickBot="1">
      <c r="A41" s="17"/>
      <c r="B41" s="30"/>
      <c r="C41" s="30"/>
      <c r="D41" s="30"/>
      <c r="E41" s="30"/>
      <c r="F41" s="29"/>
      <c r="G41" s="365"/>
      <c r="H41" s="33"/>
      <c r="I41" s="33"/>
      <c r="AP41" s="11"/>
    </row>
    <row r="42" spans="1:42" ht="13.5" thickBot="1">
      <c r="A42" s="17"/>
      <c r="B42" s="405" t="s">
        <v>20</v>
      </c>
      <c r="C42" s="355" t="s">
        <v>53</v>
      </c>
      <c r="D42" s="355" t="s">
        <v>43</v>
      </c>
      <c r="E42" s="355" t="s">
        <v>54</v>
      </c>
      <c r="F42" s="355" t="s">
        <v>2</v>
      </c>
      <c r="G42" s="355" t="s">
        <v>3</v>
      </c>
      <c r="H42" s="406" t="s">
        <v>4</v>
      </c>
      <c r="I42" s="403"/>
      <c r="J42" s="95">
        <f>J27</f>
        <v>41791</v>
      </c>
      <c r="K42" s="95">
        <f t="shared" ref="K42:AO42" si="40">K27</f>
        <v>41821</v>
      </c>
      <c r="L42" s="95">
        <f t="shared" si="40"/>
        <v>41852</v>
      </c>
      <c r="M42" s="95">
        <f t="shared" si="40"/>
        <v>41883</v>
      </c>
      <c r="N42" s="670">
        <f t="shared" si="40"/>
        <v>41913</v>
      </c>
      <c r="O42" s="95">
        <f t="shared" si="40"/>
        <v>41944</v>
      </c>
      <c r="P42" s="95">
        <f t="shared" si="40"/>
        <v>41974</v>
      </c>
      <c r="Q42" s="95">
        <f t="shared" si="40"/>
        <v>42005</v>
      </c>
      <c r="R42" s="95">
        <f t="shared" si="40"/>
        <v>42036</v>
      </c>
      <c r="S42" s="95">
        <f t="shared" si="40"/>
        <v>42064</v>
      </c>
      <c r="T42" s="670">
        <f t="shared" si="40"/>
        <v>42095</v>
      </c>
      <c r="U42" s="95">
        <f t="shared" si="40"/>
        <v>42125</v>
      </c>
      <c r="V42" s="95">
        <f t="shared" si="40"/>
        <v>42156</v>
      </c>
      <c r="W42" s="95">
        <f t="shared" si="40"/>
        <v>42186</v>
      </c>
      <c r="X42" s="95">
        <f t="shared" si="40"/>
        <v>42217</v>
      </c>
      <c r="Y42" s="95">
        <f t="shared" si="40"/>
        <v>42248</v>
      </c>
      <c r="Z42" s="95">
        <f t="shared" si="40"/>
        <v>42278</v>
      </c>
      <c r="AA42" s="95">
        <f t="shared" si="40"/>
        <v>42309</v>
      </c>
      <c r="AB42" s="95">
        <f t="shared" si="40"/>
        <v>42339</v>
      </c>
      <c r="AC42" s="95">
        <f t="shared" si="40"/>
        <v>42370</v>
      </c>
      <c r="AD42" s="95">
        <f t="shared" si="40"/>
        <v>42401</v>
      </c>
      <c r="AE42" s="95">
        <f t="shared" si="40"/>
        <v>42430</v>
      </c>
      <c r="AF42" s="670">
        <f t="shared" si="40"/>
        <v>42461</v>
      </c>
      <c r="AG42" s="95">
        <f t="shared" si="40"/>
        <v>42491</v>
      </c>
      <c r="AH42" s="95">
        <f t="shared" si="40"/>
        <v>42522</v>
      </c>
      <c r="AI42" s="670">
        <f t="shared" si="40"/>
        <v>42552</v>
      </c>
      <c r="AJ42" s="95">
        <f t="shared" si="40"/>
        <v>42583</v>
      </c>
      <c r="AK42" s="670">
        <f t="shared" si="40"/>
        <v>42614</v>
      </c>
      <c r="AL42" s="95">
        <f t="shared" si="40"/>
        <v>42644</v>
      </c>
      <c r="AM42" s="95">
        <f t="shared" si="40"/>
        <v>42675</v>
      </c>
      <c r="AN42" s="95">
        <f t="shared" si="40"/>
        <v>42705</v>
      </c>
      <c r="AO42" s="95" t="str">
        <f t="shared" si="40"/>
        <v>TOTAL</v>
      </c>
      <c r="AP42" s="11"/>
    </row>
    <row r="43" spans="1:42" outlineLevel="1">
      <c r="A43" s="17"/>
      <c r="B43" s="453" t="s">
        <v>480</v>
      </c>
      <c r="C43" s="456" t="s">
        <v>67</v>
      </c>
      <c r="D43" s="404">
        <v>1</v>
      </c>
      <c r="E43" s="457">
        <f>CONSTRUCCION!G21</f>
        <v>542878.06000000006</v>
      </c>
      <c r="F43" s="407">
        <f>E43*D43</f>
        <v>542878.06000000006</v>
      </c>
      <c r="G43" s="880">
        <f>F43*0.18</f>
        <v>97718.050800000012</v>
      </c>
      <c r="H43" s="466">
        <f>SUM(F43:G43)</f>
        <v>640596.11080000002</v>
      </c>
      <c r="I43" s="109">
        <f t="shared" ref="I43:I50" si="41">H43/$H$95</f>
        <v>8.8088400358112426E-2</v>
      </c>
      <c r="J43" s="110"/>
      <c r="K43" s="110"/>
      <c r="L43" s="110"/>
      <c r="M43" s="110"/>
      <c r="N43" s="900">
        <f>'CRONOG VALORIZADO DE OBRA'!G8</f>
        <v>1500</v>
      </c>
      <c r="O43" s="900">
        <f>'CRONOG VALORIZADO DE OBRA'!H8</f>
        <v>1500</v>
      </c>
      <c r="P43" s="367"/>
      <c r="Q43" s="367"/>
      <c r="R43" s="367"/>
      <c r="S43" s="367"/>
      <c r="T43" s="900">
        <f>'CRONOG VALORIZADO DE OBRA'!M8</f>
        <v>35793.053333333337</v>
      </c>
      <c r="U43" s="900">
        <f>'CRONOG VALORIZADO DE OBRA'!N8</f>
        <v>156453.97833333333</v>
      </c>
      <c r="V43" s="900">
        <f>'CRONOG VALORIZADO DE OBRA'!O8</f>
        <v>156453.97833333333</v>
      </c>
      <c r="W43" s="900">
        <f>'CRONOG VALORIZADO DE OBRA'!P8</f>
        <v>120660.92500000002</v>
      </c>
      <c r="X43" s="900">
        <f>'CRONOG VALORIZADO DE OBRA'!Q8</f>
        <v>14103.225</v>
      </c>
      <c r="Y43" s="900">
        <f>'CRONOG VALORIZADO DE OBRA'!R8</f>
        <v>0</v>
      </c>
      <c r="Z43" s="900">
        <f>'CRONOG VALORIZADO DE OBRA'!S8</f>
        <v>28206.45</v>
      </c>
      <c r="AA43" s="900">
        <f>'CRONOG VALORIZADO DE OBRA'!T8</f>
        <v>28206.45</v>
      </c>
      <c r="AB43" s="900">
        <f>'CRONOG VALORIZADO DE OBRA'!U8</f>
        <v>0</v>
      </c>
      <c r="AC43" s="900">
        <f>'CRONOG VALORIZADO DE OBRA'!V8</f>
        <v>0</v>
      </c>
      <c r="AD43" s="900">
        <f>'CRONOG VALORIZADO DE OBRA'!W8</f>
        <v>0</v>
      </c>
      <c r="AE43" s="900">
        <f>'CRONOG VALORIZADO DE OBRA'!X8</f>
        <v>0</v>
      </c>
      <c r="AF43" s="900">
        <f>'CRONOG VALORIZADO DE OBRA'!Y8</f>
        <v>0</v>
      </c>
      <c r="AG43" s="900">
        <f>'CRONOG VALORIZADO DE OBRA'!Z8</f>
        <v>0</v>
      </c>
      <c r="AH43" s="644"/>
      <c r="AI43" s="367"/>
      <c r="AJ43" s="367"/>
      <c r="AK43" s="367"/>
      <c r="AL43" s="367"/>
      <c r="AM43" s="367"/>
      <c r="AN43" s="367"/>
      <c r="AO43" s="106">
        <f t="shared" ref="AO43:AO49" si="42">SUM(J43:AN43)</f>
        <v>542878.06000000006</v>
      </c>
      <c r="AP43" s="516" t="str">
        <f t="shared" ref="AP43:AP49" si="43">IF(ROUND(AO43,1)=ROUND(F43,1),"OK","ERROR")</f>
        <v>OK</v>
      </c>
    </row>
    <row r="44" spans="1:42" outlineLevel="1">
      <c r="A44" s="17"/>
      <c r="B44" s="453" t="s">
        <v>481</v>
      </c>
      <c r="C44" s="408" t="s">
        <v>67</v>
      </c>
      <c r="D44" s="408">
        <v>1</v>
      </c>
      <c r="E44" s="458">
        <f>CONSTRUCCION!G37</f>
        <v>2839770.2</v>
      </c>
      <c r="F44" s="407">
        <f t="shared" ref="F44:F46" si="44">E44*D44</f>
        <v>2839770.2</v>
      </c>
      <c r="G44" s="881">
        <f>F44*0.18</f>
        <v>511158.636</v>
      </c>
      <c r="H44" s="464">
        <f>SUM(F44:G44)</f>
        <v>3350928.8360000001</v>
      </c>
      <c r="I44" s="105">
        <f t="shared" si="41"/>
        <v>0.46078637678346585</v>
      </c>
      <c r="J44" s="106"/>
      <c r="K44" s="106"/>
      <c r="L44" s="106"/>
      <c r="M44" s="106"/>
      <c r="N44" s="897">
        <f>'CRONOG VALORIZADO DE OBRA'!G16</f>
        <v>0</v>
      </c>
      <c r="O44" s="897">
        <f>'CRONOG VALORIZADO DE OBRA'!H16</f>
        <v>0</v>
      </c>
      <c r="P44" s="367"/>
      <c r="Q44" s="367"/>
      <c r="R44" s="367"/>
      <c r="S44" s="367"/>
      <c r="T44" s="897">
        <f>'CRONOG VALORIZADO DE OBRA'!M16</f>
        <v>0</v>
      </c>
      <c r="U44" s="897">
        <f>'CRONOG VALORIZADO DE OBRA'!N16</f>
        <v>0</v>
      </c>
      <c r="V44" s="897">
        <f>'CRONOG VALORIZADO DE OBRA'!O16</f>
        <v>0</v>
      </c>
      <c r="W44" s="897">
        <f>'CRONOG VALORIZADO DE OBRA'!P16</f>
        <v>0</v>
      </c>
      <c r="X44" s="897">
        <f>'CRONOG VALORIZADO DE OBRA'!Q16</f>
        <v>260624.12333333335</v>
      </c>
      <c r="Y44" s="897">
        <f>'CRONOG VALORIZADO DE OBRA'!R16</f>
        <v>260624.12333333335</v>
      </c>
      <c r="Z44" s="897">
        <f>'CRONOG VALORIZADO DE OBRA'!S16</f>
        <v>260624.12333333335</v>
      </c>
      <c r="AA44" s="897">
        <f>'CRONOG VALORIZADO DE OBRA'!T16</f>
        <v>260624.12333333335</v>
      </c>
      <c r="AB44" s="897">
        <f>'CRONOG VALORIZADO DE OBRA'!U16</f>
        <v>435800.12333333341</v>
      </c>
      <c r="AC44" s="897">
        <f>'CRONOG VALORIZADO DE OBRA'!V16</f>
        <v>435800.12333333341</v>
      </c>
      <c r="AD44" s="897">
        <f>'CRONOG VALORIZADO DE OBRA'!W16</f>
        <v>246821.69</v>
      </c>
      <c r="AE44" s="897">
        <f>'CRONOG VALORIZADO DE OBRA'!X16</f>
        <v>246821.69</v>
      </c>
      <c r="AF44" s="897">
        <f>'CRONOG VALORIZADO DE OBRA'!Y16</f>
        <v>216015.04</v>
      </c>
      <c r="AG44" s="897">
        <f>'CRONOG VALORIZADO DE OBRA'!Z16</f>
        <v>216015.04</v>
      </c>
      <c r="AH44" s="645"/>
      <c r="AI44" s="367"/>
      <c r="AJ44" s="367"/>
      <c r="AK44" s="367"/>
      <c r="AL44" s="367"/>
      <c r="AM44" s="367"/>
      <c r="AN44" s="367"/>
      <c r="AO44" s="106">
        <f t="shared" si="42"/>
        <v>2839770.2</v>
      </c>
      <c r="AP44" s="516" t="str">
        <f t="shared" si="43"/>
        <v>OK</v>
      </c>
    </row>
    <row r="45" spans="1:42" outlineLevel="1">
      <c r="A45" s="17"/>
      <c r="B45" s="454" t="s">
        <v>225</v>
      </c>
      <c r="C45" s="134" t="s">
        <v>67</v>
      </c>
      <c r="D45" s="134">
        <v>1</v>
      </c>
      <c r="E45" s="459">
        <f>CONSTRUCCION!G49</f>
        <v>121000</v>
      </c>
      <c r="F45" s="407">
        <f t="shared" si="44"/>
        <v>121000</v>
      </c>
      <c r="G45" s="881">
        <f t="shared" ref="G45:G46" si="45">F45*0.18</f>
        <v>21780</v>
      </c>
      <c r="H45" s="464">
        <f>SUM(F45:G45)</f>
        <v>142780</v>
      </c>
      <c r="I45" s="105">
        <f t="shared" si="41"/>
        <v>1.9633684299806851E-2</v>
      </c>
      <c r="J45" s="106"/>
      <c r="K45" s="106"/>
      <c r="L45" s="106"/>
      <c r="M45" s="106"/>
      <c r="N45" s="897">
        <f>'CRONOG VALORIZADO DE OBRA'!G23</f>
        <v>0</v>
      </c>
      <c r="O45" s="897">
        <f>'CRONOG VALORIZADO DE OBRA'!H23</f>
        <v>0</v>
      </c>
      <c r="P45" s="367"/>
      <c r="Q45" s="367"/>
      <c r="R45" s="367"/>
      <c r="S45" s="367"/>
      <c r="T45" s="897">
        <f>'CRONOG VALORIZADO DE OBRA'!M23</f>
        <v>0</v>
      </c>
      <c r="U45" s="897">
        <f>'CRONOG VALORIZADO DE OBRA'!N23</f>
        <v>19200</v>
      </c>
      <c r="V45" s="897">
        <f>'CRONOG VALORIZADO DE OBRA'!O23</f>
        <v>0</v>
      </c>
      <c r="W45" s="897">
        <f>'CRONOG VALORIZADO DE OBRA'!P23</f>
        <v>0</v>
      </c>
      <c r="X45" s="897">
        <f>'CRONOG VALORIZADO DE OBRA'!Q23</f>
        <v>19200</v>
      </c>
      <c r="Y45" s="897">
        <f>'CRONOG VALORIZADO DE OBRA'!R23</f>
        <v>0</v>
      </c>
      <c r="Z45" s="897">
        <f>'CRONOG VALORIZADO DE OBRA'!S23</f>
        <v>0</v>
      </c>
      <c r="AA45" s="897">
        <f>'CRONOG VALORIZADO DE OBRA'!T23</f>
        <v>0</v>
      </c>
      <c r="AB45" s="897">
        <f>'CRONOG VALORIZADO DE OBRA'!U23</f>
        <v>0</v>
      </c>
      <c r="AC45" s="897">
        <f>'CRONOG VALORIZADO DE OBRA'!V23</f>
        <v>0</v>
      </c>
      <c r="AD45" s="897">
        <f>'CRONOG VALORIZADO DE OBRA'!W23</f>
        <v>60500</v>
      </c>
      <c r="AE45" s="897">
        <f>'CRONOG VALORIZADO DE OBRA'!X23</f>
        <v>0</v>
      </c>
      <c r="AF45" s="897">
        <f>'CRONOG VALORIZADO DE OBRA'!Y23</f>
        <v>0</v>
      </c>
      <c r="AG45" s="897">
        <f>'CRONOG VALORIZADO DE OBRA'!Z23</f>
        <v>22100</v>
      </c>
      <c r="AH45" s="645"/>
      <c r="AI45" s="367"/>
      <c r="AJ45" s="367"/>
      <c r="AK45" s="367"/>
      <c r="AL45" s="367"/>
      <c r="AM45" s="367"/>
      <c r="AN45" s="367"/>
      <c r="AO45" s="106">
        <f t="shared" si="42"/>
        <v>121000</v>
      </c>
      <c r="AP45" s="516" t="str">
        <f t="shared" si="43"/>
        <v>OK</v>
      </c>
    </row>
    <row r="46" spans="1:42" outlineLevel="1">
      <c r="A46" s="17"/>
      <c r="B46" s="381" t="s">
        <v>441</v>
      </c>
      <c r="C46" s="455" t="s">
        <v>67</v>
      </c>
      <c r="D46" s="136">
        <v>1</v>
      </c>
      <c r="E46" s="460">
        <f>CONSTRUCCION!G22+CONSTRUCCION!G23+CONSTRUCCION!G38+CONSTRUCCION!G39+CONSTRUCCION!G50+CONSTRUCCION!G51</f>
        <v>420437.79119999998</v>
      </c>
      <c r="F46" s="407">
        <f t="shared" si="44"/>
        <v>420437.79119999998</v>
      </c>
      <c r="G46" s="881">
        <f t="shared" si="45"/>
        <v>75678.802415999991</v>
      </c>
      <c r="H46" s="464">
        <f t="shared" ref="H46" si="46">SUM(F46:G46)</f>
        <v>496116.59361599997</v>
      </c>
      <c r="I46" s="105">
        <f t="shared" si="41"/>
        <v>6.8221015372966209E-2</v>
      </c>
      <c r="J46" s="120"/>
      <c r="K46" s="120"/>
      <c r="L46" s="120"/>
      <c r="M46" s="120"/>
      <c r="N46" s="904">
        <f>('CRONOG VALORIZADO DE OBRA'!G30+'CRONOG VALORIZADO DE OBRA'!G31)</f>
        <v>180</v>
      </c>
      <c r="O46" s="904">
        <f>('CRONOG VALORIZADO DE OBRA'!H30+'CRONOG VALORIZADO DE OBRA'!H31)</f>
        <v>180</v>
      </c>
      <c r="P46" s="367"/>
      <c r="Q46" s="367"/>
      <c r="R46" s="367"/>
      <c r="S46" s="367"/>
      <c r="T46" s="904">
        <f>('CRONOG VALORIZADO DE OBRA'!M30+'CRONOG VALORIZADO DE OBRA'!M31)</f>
        <v>4295.1664000000001</v>
      </c>
      <c r="U46" s="904">
        <f>('CRONOG VALORIZADO DE OBRA'!N30+'CRONOG VALORIZADO DE OBRA'!N31)</f>
        <v>21078.4774</v>
      </c>
      <c r="V46" s="904">
        <f>('CRONOG VALORIZADO DE OBRA'!O30+'CRONOG VALORIZADO DE OBRA'!O31)</f>
        <v>18774.4774</v>
      </c>
      <c r="W46" s="904">
        <f>('CRONOG VALORIZADO DE OBRA'!P30+'CRONOG VALORIZADO DE OBRA'!P31)</f>
        <v>14479.311000000002</v>
      </c>
      <c r="X46" s="904">
        <f>('CRONOG VALORIZADO DE OBRA'!Q30+'CRONOG VALORIZADO DE OBRA'!Q31)</f>
        <v>35271.281799999997</v>
      </c>
      <c r="Y46" s="904">
        <f>('CRONOG VALORIZADO DE OBRA'!R30+'CRONOG VALORIZADO DE OBRA'!R31)</f>
        <v>31274.894800000002</v>
      </c>
      <c r="Z46" s="904">
        <f>('CRONOG VALORIZADO DE OBRA'!S30+'CRONOG VALORIZADO DE OBRA'!S31)</f>
        <v>34659.668799999999</v>
      </c>
      <c r="AA46" s="904">
        <f>('CRONOG VALORIZADO DE OBRA'!T30+'CRONOG VALORIZADO DE OBRA'!T31)</f>
        <v>34659.668799999999</v>
      </c>
      <c r="AB46" s="904">
        <f>('CRONOG VALORIZADO DE OBRA'!U30+'CRONOG VALORIZADO DE OBRA'!U31)</f>
        <v>52296.014800000004</v>
      </c>
      <c r="AC46" s="904">
        <f>('CRONOG VALORIZADO DE OBRA'!V30+'CRONOG VALORIZADO DE OBRA'!V31)</f>
        <v>52296.014800000004</v>
      </c>
      <c r="AD46" s="904">
        <f>('CRONOG VALORIZADO DE OBRA'!W30+'CRONOG VALORIZADO DE OBRA'!W31)</f>
        <v>36878.602800000001</v>
      </c>
      <c r="AE46" s="904">
        <f>('CRONOG VALORIZADO DE OBRA'!X30+'CRONOG VALORIZADO DE OBRA'!X31)</f>
        <v>29618.602800000001</v>
      </c>
      <c r="AF46" s="904">
        <f>('CRONOG VALORIZADO DE OBRA'!Y30+'CRONOG VALORIZADO DE OBRA'!Y31)</f>
        <v>25921.804800000002</v>
      </c>
      <c r="AG46" s="904">
        <f>('CRONOG VALORIZADO DE OBRA'!Z30+'CRONOG VALORIZADO DE OBRA'!Z31)</f>
        <v>28573.804800000002</v>
      </c>
      <c r="AH46" s="367"/>
      <c r="AI46" s="367"/>
      <c r="AJ46" s="367"/>
      <c r="AK46" s="367"/>
      <c r="AL46" s="367"/>
      <c r="AM46" s="367"/>
      <c r="AN46" s="367"/>
      <c r="AO46" s="106">
        <f t="shared" si="42"/>
        <v>420437.79119999992</v>
      </c>
      <c r="AP46" s="516" t="str">
        <f t="shared" si="43"/>
        <v>OK</v>
      </c>
    </row>
    <row r="47" spans="1:42" s="368" customFormat="1" outlineLevel="1">
      <c r="A47" s="17"/>
      <c r="B47" s="147" t="s">
        <v>391</v>
      </c>
      <c r="C47" s="455" t="s">
        <v>71</v>
      </c>
      <c r="D47" s="366">
        <v>2E-3</v>
      </c>
      <c r="E47" s="878">
        <f>CONSTRUCCION!E60</f>
        <v>3503648.2600000002</v>
      </c>
      <c r="F47" s="137">
        <f>CONSTRUCCION!G60</f>
        <v>7007.2965200000008</v>
      </c>
      <c r="G47" s="882">
        <f>CONSTRUCCION!H60</f>
        <v>1261.3133736000002</v>
      </c>
      <c r="H47" s="137">
        <f>CONSTRUCCION!I60</f>
        <v>8268.6098936000017</v>
      </c>
      <c r="I47" s="105">
        <f t="shared" si="41"/>
        <v>1.1370169228827704E-3</v>
      </c>
      <c r="J47" s="367"/>
      <c r="K47" s="367"/>
      <c r="L47" s="367"/>
      <c r="M47" s="367"/>
      <c r="N47" s="367"/>
      <c r="O47" s="367"/>
      <c r="P47" s="367"/>
      <c r="Q47" s="367"/>
      <c r="R47" s="367"/>
      <c r="S47" s="904">
        <f>F47</f>
        <v>7007.2965200000008</v>
      </c>
      <c r="T47" s="367"/>
      <c r="U47" s="367"/>
      <c r="V47" s="367"/>
      <c r="W47" s="367"/>
      <c r="X47" s="367"/>
      <c r="Y47" s="367"/>
      <c r="Z47" s="367"/>
      <c r="AA47" s="367"/>
      <c r="AB47" s="367"/>
      <c r="AC47" s="367"/>
      <c r="AD47" s="367"/>
      <c r="AE47" s="367"/>
      <c r="AF47" s="367"/>
      <c r="AG47" s="367"/>
      <c r="AH47" s="367"/>
      <c r="AI47" s="367"/>
      <c r="AJ47" s="367"/>
      <c r="AK47" s="367"/>
      <c r="AL47" s="367"/>
      <c r="AM47" s="367"/>
      <c r="AN47" s="367"/>
      <c r="AO47" s="106">
        <f t="shared" si="42"/>
        <v>7007.2965200000008</v>
      </c>
      <c r="AP47" s="516" t="str">
        <f t="shared" si="43"/>
        <v>OK</v>
      </c>
    </row>
    <row r="48" spans="1:42" s="368" customFormat="1" outlineLevel="1">
      <c r="A48" s="17"/>
      <c r="B48" s="381" t="s">
        <v>399</v>
      </c>
      <c r="C48" s="136" t="s">
        <v>67</v>
      </c>
      <c r="D48" s="879">
        <f>CONSTRUCCION!D61</f>
        <v>4</v>
      </c>
      <c r="E48" s="879">
        <f>CONSTRUCCION!E61</f>
        <v>1500</v>
      </c>
      <c r="F48" s="137">
        <f>CONSTRUCCION!G61</f>
        <v>6000</v>
      </c>
      <c r="G48" s="882">
        <f>CONSTRUCCION!H61</f>
        <v>1080</v>
      </c>
      <c r="H48" s="137">
        <f>CONSTRUCCION!I61</f>
        <v>7080</v>
      </c>
      <c r="I48" s="105">
        <f t="shared" si="41"/>
        <v>9.73571122304472E-4</v>
      </c>
      <c r="J48" s="367"/>
      <c r="K48" s="367"/>
      <c r="L48" s="367"/>
      <c r="M48" s="367"/>
      <c r="N48" s="367"/>
      <c r="O48" s="367"/>
      <c r="P48" s="367"/>
      <c r="Q48" s="367"/>
      <c r="R48" s="367"/>
      <c r="S48" s="367"/>
      <c r="T48" s="367"/>
      <c r="U48" s="367"/>
      <c r="V48" s="367"/>
      <c r="W48" s="367"/>
      <c r="X48" s="367"/>
      <c r="Y48" s="367"/>
      <c r="Z48" s="367"/>
      <c r="AA48" s="367"/>
      <c r="AB48" s="367"/>
      <c r="AC48" s="367"/>
      <c r="AD48" s="367"/>
      <c r="AE48" s="367"/>
      <c r="AF48" s="367"/>
      <c r="AG48" s="367"/>
      <c r="AH48" s="904">
        <f>$F$48/2</f>
        <v>3000</v>
      </c>
      <c r="AI48" s="904">
        <f>$F$48/2</f>
        <v>3000</v>
      </c>
      <c r="AJ48" s="367"/>
      <c r="AK48" s="367"/>
      <c r="AL48" s="367"/>
      <c r="AM48" s="367"/>
      <c r="AN48" s="367"/>
      <c r="AO48" s="106">
        <f t="shared" si="42"/>
        <v>6000</v>
      </c>
      <c r="AP48" s="516" t="str">
        <f t="shared" si="43"/>
        <v>OK</v>
      </c>
    </row>
    <row r="49" spans="1:42" ht="13.5" outlineLevel="1" thickBot="1">
      <c r="A49" s="17"/>
      <c r="B49" s="392" t="s">
        <v>402</v>
      </c>
      <c r="C49" s="455" t="s">
        <v>442</v>
      </c>
      <c r="D49" s="879">
        <f>CONSTRUCCION!D62</f>
        <v>89</v>
      </c>
      <c r="E49" s="879">
        <f>CONSTRUCCION!E62</f>
        <v>290</v>
      </c>
      <c r="F49" s="137">
        <f>CONSTRUCCION!G62</f>
        <v>25810</v>
      </c>
      <c r="G49" s="882">
        <f>CONSTRUCCION!H62</f>
        <v>4645.8</v>
      </c>
      <c r="H49" s="137">
        <f>CONSTRUCCION!I62</f>
        <v>30455.8</v>
      </c>
      <c r="I49" s="119">
        <f t="shared" si="41"/>
        <v>4.1879784444464035E-3</v>
      </c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  <c r="Y49" s="120"/>
      <c r="Z49" s="120"/>
      <c r="AA49" s="120"/>
      <c r="AB49" s="120"/>
      <c r="AC49" s="120"/>
      <c r="AD49" s="120"/>
      <c r="AE49" s="120"/>
      <c r="AF49" s="120"/>
      <c r="AG49" s="120"/>
      <c r="AH49" s="904">
        <f>$F$49/2</f>
        <v>12905</v>
      </c>
      <c r="AI49" s="904">
        <f>$F$49/2</f>
        <v>12905</v>
      </c>
      <c r="AJ49" s="367"/>
      <c r="AK49" s="367"/>
      <c r="AL49" s="367"/>
      <c r="AM49" s="367"/>
      <c r="AN49" s="367"/>
      <c r="AO49" s="106">
        <f t="shared" si="42"/>
        <v>25810</v>
      </c>
      <c r="AP49" s="516" t="str">
        <f t="shared" si="43"/>
        <v>OK</v>
      </c>
    </row>
    <row r="50" spans="1:42" ht="13.5" outlineLevel="1" thickBot="1">
      <c r="A50" s="17"/>
      <c r="B50" s="138" t="s">
        <v>21</v>
      </c>
      <c r="C50" s="139"/>
      <c r="D50" s="139"/>
      <c r="E50" s="139"/>
      <c r="F50" s="140">
        <f>SUM(F43:F49)</f>
        <v>3962903.34772</v>
      </c>
      <c r="G50" s="140">
        <f>SUM(G43:G49)</f>
        <v>713322.60258960014</v>
      </c>
      <c r="H50" s="467">
        <f>SUM(H43:H49)</f>
        <v>4676225.9503096007</v>
      </c>
      <c r="I50" s="164">
        <f t="shared" si="41"/>
        <v>0.64302804330398511</v>
      </c>
      <c r="J50" s="125">
        <f>SUM(J43:J49)</f>
        <v>0</v>
      </c>
      <c r="K50" s="125">
        <f t="shared" ref="K50:AO50" si="47">SUM(K43:K49)</f>
        <v>0</v>
      </c>
      <c r="L50" s="125">
        <f>SUM(L43:L49)</f>
        <v>0</v>
      </c>
      <c r="M50" s="125">
        <f t="shared" ref="M50:AH50" si="48">SUM(M43:M49)</f>
        <v>0</v>
      </c>
      <c r="N50" s="125">
        <f t="shared" si="48"/>
        <v>1680</v>
      </c>
      <c r="O50" s="125">
        <f t="shared" si="48"/>
        <v>1680</v>
      </c>
      <c r="P50" s="125">
        <f t="shared" si="48"/>
        <v>0</v>
      </c>
      <c r="Q50" s="125">
        <f t="shared" si="48"/>
        <v>0</v>
      </c>
      <c r="R50" s="125">
        <f t="shared" si="48"/>
        <v>0</v>
      </c>
      <c r="S50" s="125">
        <f t="shared" si="48"/>
        <v>7007.2965200000008</v>
      </c>
      <c r="T50" s="125">
        <f t="shared" si="48"/>
        <v>40088.219733333339</v>
      </c>
      <c r="U50" s="125">
        <f t="shared" si="48"/>
        <v>196732.45573333334</v>
      </c>
      <c r="V50" s="125">
        <f t="shared" si="48"/>
        <v>175228.45573333334</v>
      </c>
      <c r="W50" s="125">
        <f t="shared" si="48"/>
        <v>135140.23600000003</v>
      </c>
      <c r="X50" s="125">
        <f t="shared" si="48"/>
        <v>329198.63013333332</v>
      </c>
      <c r="Y50" s="125">
        <f t="shared" si="48"/>
        <v>291899.01813333336</v>
      </c>
      <c r="Z50" s="125">
        <f t="shared" si="48"/>
        <v>323490.24213333335</v>
      </c>
      <c r="AA50" s="125">
        <f t="shared" si="48"/>
        <v>323490.24213333335</v>
      </c>
      <c r="AB50" s="125">
        <f t="shared" si="48"/>
        <v>488096.13813333341</v>
      </c>
      <c r="AC50" s="125">
        <f t="shared" si="48"/>
        <v>488096.13813333341</v>
      </c>
      <c r="AD50" s="125">
        <f t="shared" si="48"/>
        <v>344200.2928</v>
      </c>
      <c r="AE50" s="125">
        <f t="shared" si="48"/>
        <v>276440.2928</v>
      </c>
      <c r="AF50" s="125">
        <f t="shared" si="48"/>
        <v>241936.84480000002</v>
      </c>
      <c r="AG50" s="125">
        <f t="shared" si="48"/>
        <v>266688.84480000002</v>
      </c>
      <c r="AH50" s="125">
        <f t="shared" si="48"/>
        <v>15905</v>
      </c>
      <c r="AI50" s="125">
        <f>SUM(AI43:AI49)</f>
        <v>15905</v>
      </c>
      <c r="AJ50" s="125">
        <f t="shared" ref="AJ50:AN50" si="49">SUM(AJ43:AJ49)</f>
        <v>0</v>
      </c>
      <c r="AK50" s="125">
        <f t="shared" si="49"/>
        <v>0</v>
      </c>
      <c r="AL50" s="125">
        <f t="shared" si="49"/>
        <v>0</v>
      </c>
      <c r="AM50" s="125">
        <f t="shared" si="49"/>
        <v>0</v>
      </c>
      <c r="AN50" s="125">
        <f t="shared" si="49"/>
        <v>0</v>
      </c>
      <c r="AO50" s="125">
        <f t="shared" si="47"/>
        <v>3962903.34772</v>
      </c>
      <c r="AP50" s="11"/>
    </row>
    <row r="51" spans="1:42">
      <c r="A51" s="17"/>
      <c r="B51" s="30"/>
      <c r="C51" s="30"/>
      <c r="D51" s="30"/>
      <c r="E51" s="382"/>
      <c r="F51" s="29"/>
      <c r="G51" s="33"/>
      <c r="H51" s="33"/>
      <c r="I51" s="33"/>
      <c r="N51" s="902">
        <f>'CRONOG VALORIZADO DE OBRA'!G32</f>
        <v>302.39999999999998</v>
      </c>
      <c r="O51" s="902">
        <f>'CRONOG VALORIZADO DE OBRA'!H32</f>
        <v>302.39999999999998</v>
      </c>
      <c r="P51" s="902">
        <f>'CRONOG VALORIZADO DE OBRA'!I32</f>
        <v>0</v>
      </c>
      <c r="Q51" s="902">
        <f>'CRONOG VALORIZADO DE OBRA'!J32</f>
        <v>0</v>
      </c>
      <c r="R51" s="902">
        <f>'CRONOG VALORIZADO DE OBRA'!K32</f>
        <v>0</v>
      </c>
      <c r="S51" s="899">
        <f>G47+'CRONOG VALORIZADO DE OBRA'!E32</f>
        <v>1261.3133736000002</v>
      </c>
      <c r="T51" s="902">
        <f>'CRONOG VALORIZADO DE OBRA'!M32</f>
        <v>7215.8795520000003</v>
      </c>
      <c r="U51" s="902">
        <f>'CRONOG VALORIZADO DE OBRA'!N32</f>
        <v>35411.842031999993</v>
      </c>
      <c r="V51" s="902">
        <f>'CRONOG VALORIZADO DE OBRA'!O32</f>
        <v>31541.122031999996</v>
      </c>
      <c r="W51" s="902">
        <f>'CRONOG VALORIZADO DE OBRA'!P32</f>
        <v>24325.242480000001</v>
      </c>
      <c r="X51" s="902">
        <f>'CRONOG VALORIZADO DE OBRA'!Q32</f>
        <v>59255.753423999995</v>
      </c>
      <c r="Y51" s="902">
        <f>'CRONOG VALORIZADO DE OBRA'!R32</f>
        <v>52541.823264000006</v>
      </c>
      <c r="Z51" s="902">
        <f>'CRONOG VALORIZADO DE OBRA'!S32</f>
        <v>58228.243584000003</v>
      </c>
      <c r="AA51" s="902">
        <f>'CRONOG VALORIZADO DE OBRA'!T32</f>
        <v>58228.243584000003</v>
      </c>
      <c r="AB51" s="902">
        <f>'CRONOG VALORIZADO DE OBRA'!U32</f>
        <v>87857.304864000005</v>
      </c>
      <c r="AC51" s="902">
        <f>'CRONOG VALORIZADO DE OBRA'!V32</f>
        <v>87857.304864000005</v>
      </c>
      <c r="AD51" s="902">
        <f>'CRONOG VALORIZADO DE OBRA'!W32</f>
        <v>61956.052703999994</v>
      </c>
      <c r="AE51" s="902">
        <f>'CRONOG VALORIZADO DE OBRA'!X32</f>
        <v>49759.252703999999</v>
      </c>
      <c r="AF51" s="902">
        <f>'CRONOG VALORIZADO DE OBRA'!Y32</f>
        <v>43548.632063999998</v>
      </c>
      <c r="AG51" s="902">
        <f>'CRONOG VALORIZADO DE OBRA'!Z32</f>
        <v>48003.992064000005</v>
      </c>
      <c r="AH51" s="902">
        <f>($G$48/2)+($G$49/2)</f>
        <v>2862.9</v>
      </c>
      <c r="AI51" s="902">
        <f>($G$48/2)+($G$49/2)</f>
        <v>2862.9</v>
      </c>
      <c r="AO51" s="106">
        <f>SUM(J51:AN51)</f>
        <v>713322.60258960002</v>
      </c>
      <c r="AP51" s="11"/>
    </row>
    <row r="52" spans="1:42" ht="13.5" thickBot="1">
      <c r="A52" s="17"/>
      <c r="B52" s="30"/>
      <c r="C52" s="30"/>
      <c r="D52" s="30"/>
      <c r="E52" s="30"/>
      <c r="F52" s="29"/>
      <c r="G52" s="33"/>
      <c r="H52" s="33"/>
      <c r="I52" s="33"/>
      <c r="AP52" s="11"/>
    </row>
    <row r="53" spans="1:42" ht="13.5" thickBot="1">
      <c r="A53" s="17"/>
      <c r="B53" s="97" t="s">
        <v>22</v>
      </c>
      <c r="C53" s="98" t="s">
        <v>53</v>
      </c>
      <c r="D53" s="98" t="s">
        <v>43</v>
      </c>
      <c r="E53" s="98" t="s">
        <v>54</v>
      </c>
      <c r="F53" s="98" t="s">
        <v>2</v>
      </c>
      <c r="G53" s="98" t="s">
        <v>3</v>
      </c>
      <c r="H53" s="98" t="s">
        <v>4</v>
      </c>
      <c r="I53" s="126"/>
      <c r="J53" s="95">
        <f>J42</f>
        <v>41791</v>
      </c>
      <c r="K53" s="95">
        <f t="shared" ref="K53:AN53" si="50">K42</f>
        <v>41821</v>
      </c>
      <c r="L53" s="95">
        <f t="shared" si="50"/>
        <v>41852</v>
      </c>
      <c r="M53" s="95">
        <f t="shared" si="50"/>
        <v>41883</v>
      </c>
      <c r="N53" s="670">
        <f t="shared" si="50"/>
        <v>41913</v>
      </c>
      <c r="O53" s="95">
        <f t="shared" si="50"/>
        <v>41944</v>
      </c>
      <c r="P53" s="95">
        <f t="shared" si="50"/>
        <v>41974</v>
      </c>
      <c r="Q53" s="95">
        <f t="shared" si="50"/>
        <v>42005</v>
      </c>
      <c r="R53" s="95">
        <f t="shared" si="50"/>
        <v>42036</v>
      </c>
      <c r="S53" s="95">
        <f t="shared" si="50"/>
        <v>42064</v>
      </c>
      <c r="T53" s="670">
        <f t="shared" si="50"/>
        <v>42095</v>
      </c>
      <c r="U53" s="95">
        <f t="shared" si="50"/>
        <v>42125</v>
      </c>
      <c r="V53" s="95">
        <f t="shared" si="50"/>
        <v>42156</v>
      </c>
      <c r="W53" s="95">
        <f t="shared" si="50"/>
        <v>42186</v>
      </c>
      <c r="X53" s="95">
        <f t="shared" si="50"/>
        <v>42217</v>
      </c>
      <c r="Y53" s="95">
        <f t="shared" si="50"/>
        <v>42248</v>
      </c>
      <c r="Z53" s="95">
        <f t="shared" si="50"/>
        <v>42278</v>
      </c>
      <c r="AA53" s="95">
        <f t="shared" si="50"/>
        <v>42309</v>
      </c>
      <c r="AB53" s="95">
        <f t="shared" si="50"/>
        <v>42339</v>
      </c>
      <c r="AC53" s="95">
        <f t="shared" si="50"/>
        <v>42370</v>
      </c>
      <c r="AD53" s="95">
        <f t="shared" si="50"/>
        <v>42401</v>
      </c>
      <c r="AE53" s="95">
        <f t="shared" si="50"/>
        <v>42430</v>
      </c>
      <c r="AF53" s="670">
        <f t="shared" si="50"/>
        <v>42461</v>
      </c>
      <c r="AG53" s="95">
        <f t="shared" si="50"/>
        <v>42491</v>
      </c>
      <c r="AH53" s="95">
        <f t="shared" si="50"/>
        <v>42522</v>
      </c>
      <c r="AI53" s="670">
        <f t="shared" si="50"/>
        <v>42552</v>
      </c>
      <c r="AJ53" s="95">
        <f t="shared" si="50"/>
        <v>42583</v>
      </c>
      <c r="AK53" s="670">
        <f t="shared" si="50"/>
        <v>42614</v>
      </c>
      <c r="AL53" s="95">
        <f t="shared" si="50"/>
        <v>42644</v>
      </c>
      <c r="AM53" s="95">
        <f t="shared" si="50"/>
        <v>42675</v>
      </c>
      <c r="AN53" s="95">
        <f t="shared" si="50"/>
        <v>42705</v>
      </c>
      <c r="AO53" s="95" t="str">
        <f t="shared" ref="AO53" si="51">AO42</f>
        <v>TOTAL</v>
      </c>
      <c r="AP53" s="11"/>
    </row>
    <row r="54" spans="1:42" outlineLevel="1">
      <c r="A54" s="17"/>
      <c r="B54" s="383" t="s">
        <v>23</v>
      </c>
      <c r="C54" s="384" t="s">
        <v>67</v>
      </c>
      <c r="D54" s="384">
        <v>1</v>
      </c>
      <c r="E54" s="461">
        <v>5000</v>
      </c>
      <c r="F54" s="388">
        <f>D54*E54</f>
        <v>5000</v>
      </c>
      <c r="G54" s="130"/>
      <c r="H54" s="464">
        <f>F54+G54</f>
        <v>5000</v>
      </c>
      <c r="I54" s="105">
        <f>H54/$H$95</f>
        <v>6.8755022761615259E-4</v>
      </c>
      <c r="J54" s="106"/>
      <c r="K54" s="106"/>
      <c r="L54" s="106"/>
      <c r="M54" s="106"/>
      <c r="N54" s="106"/>
      <c r="O54" s="106"/>
      <c r="P54" s="106"/>
      <c r="Q54" s="106"/>
      <c r="R54" s="106"/>
      <c r="S54" s="106"/>
      <c r="T54" s="106"/>
      <c r="U54" s="106"/>
      <c r="V54" s="106"/>
      <c r="W54" s="106"/>
      <c r="X54" s="106"/>
      <c r="Y54" s="106"/>
      <c r="Z54" s="106"/>
      <c r="AA54" s="106"/>
      <c r="AB54" s="106"/>
      <c r="AC54" s="106"/>
      <c r="AD54" s="106"/>
      <c r="AE54" s="106"/>
      <c r="AF54" s="106"/>
      <c r="AG54" s="106"/>
      <c r="AH54" s="963">
        <f>H54/2</f>
        <v>2500</v>
      </c>
      <c r="AI54" s="963">
        <f>+AH54</f>
        <v>2500</v>
      </c>
      <c r="AJ54" s="963"/>
      <c r="AK54" s="106"/>
      <c r="AL54" s="106"/>
      <c r="AM54" s="106"/>
      <c r="AN54" s="106"/>
      <c r="AO54" s="106">
        <f>SUM(J54:AN54)</f>
        <v>5000</v>
      </c>
      <c r="AP54" s="516" t="str">
        <f>IF(ROUND(AO54,1)=ROUND(F54,1),"OK","ERROR")</f>
        <v>OK</v>
      </c>
    </row>
    <row r="55" spans="1:42" outlineLevel="1">
      <c r="A55" s="17"/>
      <c r="B55" s="383" t="s">
        <v>48</v>
      </c>
      <c r="C55" s="384" t="s">
        <v>67</v>
      </c>
      <c r="D55" s="384">
        <v>1</v>
      </c>
      <c r="E55" s="461">
        <v>3000</v>
      </c>
      <c r="F55" s="388">
        <f>D55*E55</f>
        <v>3000</v>
      </c>
      <c r="G55" s="130"/>
      <c r="H55" s="464">
        <f>F55+G55</f>
        <v>3000</v>
      </c>
      <c r="I55" s="105">
        <f>H55/$H$95</f>
        <v>4.1253013656969152E-4</v>
      </c>
      <c r="J55" s="106"/>
      <c r="K55" s="106"/>
      <c r="L55" s="106"/>
      <c r="M55" s="106"/>
      <c r="N55" s="106"/>
      <c r="O55" s="106"/>
      <c r="P55" s="106"/>
      <c r="Q55" s="106"/>
      <c r="R55" s="106"/>
      <c r="S55" s="106"/>
      <c r="T55" s="106"/>
      <c r="U55" s="106"/>
      <c r="V55" s="106"/>
      <c r="W55" s="106"/>
      <c r="X55" s="106"/>
      <c r="Y55" s="106"/>
      <c r="Z55" s="106"/>
      <c r="AA55" s="106"/>
      <c r="AB55" s="106"/>
      <c r="AC55" s="106"/>
      <c r="AD55" s="106"/>
      <c r="AE55" s="106"/>
      <c r="AF55" s="106"/>
      <c r="AG55" s="106"/>
      <c r="AH55" s="963">
        <f>H55/3</f>
        <v>1000</v>
      </c>
      <c r="AI55" s="963">
        <f>+AH55</f>
        <v>1000</v>
      </c>
      <c r="AJ55" s="963">
        <f>+AI55</f>
        <v>1000</v>
      </c>
      <c r="AK55" s="106"/>
      <c r="AL55" s="106"/>
      <c r="AM55" s="106"/>
      <c r="AN55" s="106"/>
      <c r="AO55" s="106">
        <f>SUM(J55:AN55)</f>
        <v>3000</v>
      </c>
      <c r="AP55" s="516" t="str">
        <f>IF(ROUND(AO55,1)=ROUND(F55,1),"OK","ERROR")</f>
        <v>OK</v>
      </c>
    </row>
    <row r="56" spans="1:42" ht="13.5" outlineLevel="1" thickBot="1">
      <c r="A56" s="17"/>
      <c r="B56" s="385" t="s">
        <v>25</v>
      </c>
      <c r="C56" s="386" t="s">
        <v>67</v>
      </c>
      <c r="D56" s="386">
        <v>1</v>
      </c>
      <c r="E56" s="462">
        <v>500</v>
      </c>
      <c r="F56" s="463">
        <f>D56*E56</f>
        <v>500</v>
      </c>
      <c r="G56" s="133"/>
      <c r="H56" s="465">
        <f>F56+G56</f>
        <v>500</v>
      </c>
      <c r="I56" s="119">
        <f>H56/$H$95</f>
        <v>6.8755022761615253E-5</v>
      </c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  <c r="Y56" s="120"/>
      <c r="Z56" s="120"/>
      <c r="AA56" s="120"/>
      <c r="AB56" s="120"/>
      <c r="AC56" s="120"/>
      <c r="AD56" s="120"/>
      <c r="AE56" s="120"/>
      <c r="AF56" s="120"/>
      <c r="AG56" s="120"/>
      <c r="AH56" s="964">
        <f>H56</f>
        <v>500</v>
      </c>
      <c r="AI56" s="964"/>
      <c r="AJ56" s="964"/>
      <c r="AK56" s="120"/>
      <c r="AL56" s="120"/>
      <c r="AM56" s="120"/>
      <c r="AN56" s="120"/>
      <c r="AO56" s="106">
        <f>SUM(J56:AN56)</f>
        <v>500</v>
      </c>
      <c r="AP56" s="516" t="str">
        <f>IF(ROUND(AO56,1)=ROUND(F56,1),"OK","ERROR")</f>
        <v>OK</v>
      </c>
    </row>
    <row r="57" spans="1:42" ht="13.5" outlineLevel="1" thickBot="1">
      <c r="A57" s="17"/>
      <c r="B57" s="121" t="s">
        <v>26</v>
      </c>
      <c r="C57" s="122"/>
      <c r="D57" s="122"/>
      <c r="E57" s="122"/>
      <c r="F57" s="450">
        <f>SUM(F54:F56)</f>
        <v>8500</v>
      </c>
      <c r="G57" s="129">
        <f>SUM(G54:G56)</f>
        <v>0</v>
      </c>
      <c r="H57" s="450">
        <f>SUM(H54:H56)</f>
        <v>8500</v>
      </c>
      <c r="I57" s="124">
        <f>H57/$H$95</f>
        <v>1.1688353869474593E-3</v>
      </c>
      <c r="J57" s="141">
        <f t="shared" ref="J57:AO57" si="52">SUM(J54:J56)</f>
        <v>0</v>
      </c>
      <c r="K57" s="141">
        <f t="shared" si="52"/>
        <v>0</v>
      </c>
      <c r="L57" s="141">
        <f t="shared" si="52"/>
        <v>0</v>
      </c>
      <c r="M57" s="141">
        <f t="shared" si="52"/>
        <v>0</v>
      </c>
      <c r="N57" s="141">
        <f t="shared" si="52"/>
        <v>0</v>
      </c>
      <c r="O57" s="141">
        <f t="shared" si="52"/>
        <v>0</v>
      </c>
      <c r="P57" s="141">
        <f t="shared" si="52"/>
        <v>0</v>
      </c>
      <c r="Q57" s="141">
        <f t="shared" si="52"/>
        <v>0</v>
      </c>
      <c r="R57" s="141">
        <f t="shared" si="52"/>
        <v>0</v>
      </c>
      <c r="S57" s="141">
        <f t="shared" si="52"/>
        <v>0</v>
      </c>
      <c r="T57" s="141">
        <f t="shared" si="52"/>
        <v>0</v>
      </c>
      <c r="U57" s="141">
        <f t="shared" si="52"/>
        <v>0</v>
      </c>
      <c r="V57" s="141">
        <f t="shared" si="52"/>
        <v>0</v>
      </c>
      <c r="W57" s="141">
        <f t="shared" si="52"/>
        <v>0</v>
      </c>
      <c r="X57" s="141">
        <f t="shared" si="52"/>
        <v>0</v>
      </c>
      <c r="Y57" s="141">
        <f t="shared" si="52"/>
        <v>0</v>
      </c>
      <c r="Z57" s="141">
        <f t="shared" si="52"/>
        <v>0</v>
      </c>
      <c r="AA57" s="141">
        <f t="shared" si="52"/>
        <v>0</v>
      </c>
      <c r="AB57" s="141">
        <f t="shared" si="52"/>
        <v>0</v>
      </c>
      <c r="AC57" s="141">
        <f t="shared" si="52"/>
        <v>0</v>
      </c>
      <c r="AD57" s="141">
        <f t="shared" si="52"/>
        <v>0</v>
      </c>
      <c r="AE57" s="141">
        <f t="shared" si="52"/>
        <v>0</v>
      </c>
      <c r="AF57" s="141">
        <f t="shared" si="52"/>
        <v>0</v>
      </c>
      <c r="AG57" s="141">
        <f t="shared" si="52"/>
        <v>0</v>
      </c>
      <c r="AH57" s="141">
        <f t="shared" si="52"/>
        <v>4000</v>
      </c>
      <c r="AI57" s="141">
        <f t="shared" si="52"/>
        <v>3500</v>
      </c>
      <c r="AJ57" s="141">
        <f t="shared" si="52"/>
        <v>1000</v>
      </c>
      <c r="AK57" s="141">
        <f t="shared" ref="AK57:AN57" si="53">SUM(AK54:AK56)</f>
        <v>0</v>
      </c>
      <c r="AL57" s="141">
        <f t="shared" si="53"/>
        <v>0</v>
      </c>
      <c r="AM57" s="141">
        <f t="shared" si="53"/>
        <v>0</v>
      </c>
      <c r="AN57" s="141">
        <f t="shared" si="53"/>
        <v>0</v>
      </c>
      <c r="AO57" s="141">
        <f t="shared" si="52"/>
        <v>8500</v>
      </c>
      <c r="AP57" s="11"/>
    </row>
    <row r="58" spans="1:42">
      <c r="A58" s="17"/>
      <c r="B58" s="27"/>
      <c r="C58" s="27"/>
      <c r="D58" s="27"/>
      <c r="E58" s="27"/>
      <c r="F58" s="32"/>
      <c r="G58" s="32"/>
      <c r="H58" s="32"/>
      <c r="I58" s="32"/>
      <c r="AP58" s="11"/>
    </row>
    <row r="59" spans="1:42" ht="13.5" thickBot="1">
      <c r="A59" s="17"/>
      <c r="B59" s="27"/>
      <c r="C59" s="27"/>
      <c r="D59" s="27"/>
      <c r="E59" s="27"/>
      <c r="F59" s="32"/>
      <c r="G59" s="32"/>
      <c r="H59" s="32"/>
      <c r="I59" s="32"/>
      <c r="AP59" s="11"/>
    </row>
    <row r="60" spans="1:42" ht="13.5" thickBot="1">
      <c r="A60" s="17"/>
      <c r="B60" s="97" t="s">
        <v>27</v>
      </c>
      <c r="C60" s="98" t="s">
        <v>53</v>
      </c>
      <c r="D60" s="98" t="s">
        <v>43</v>
      </c>
      <c r="E60" s="98" t="s">
        <v>54</v>
      </c>
      <c r="F60" s="98" t="s">
        <v>2</v>
      </c>
      <c r="G60" s="98" t="s">
        <v>3</v>
      </c>
      <c r="H60" s="98" t="s">
        <v>4</v>
      </c>
      <c r="I60" s="126"/>
      <c r="J60" s="95">
        <f>J53</f>
        <v>41791</v>
      </c>
      <c r="K60" s="95">
        <f t="shared" ref="K60:AN60" si="54">K53</f>
        <v>41821</v>
      </c>
      <c r="L60" s="95">
        <f t="shared" si="54"/>
        <v>41852</v>
      </c>
      <c r="M60" s="95">
        <f t="shared" si="54"/>
        <v>41883</v>
      </c>
      <c r="N60" s="670">
        <f t="shared" si="54"/>
        <v>41913</v>
      </c>
      <c r="O60" s="95">
        <f t="shared" si="54"/>
        <v>41944</v>
      </c>
      <c r="P60" s="95">
        <f t="shared" si="54"/>
        <v>41974</v>
      </c>
      <c r="Q60" s="95">
        <f t="shared" si="54"/>
        <v>42005</v>
      </c>
      <c r="R60" s="95">
        <f t="shared" si="54"/>
        <v>42036</v>
      </c>
      <c r="S60" s="95">
        <f t="shared" si="54"/>
        <v>42064</v>
      </c>
      <c r="T60" s="670">
        <f t="shared" si="54"/>
        <v>42095</v>
      </c>
      <c r="U60" s="95">
        <f t="shared" si="54"/>
        <v>42125</v>
      </c>
      <c r="V60" s="95">
        <f t="shared" si="54"/>
        <v>42156</v>
      </c>
      <c r="W60" s="95">
        <f t="shared" si="54"/>
        <v>42186</v>
      </c>
      <c r="X60" s="95">
        <f t="shared" si="54"/>
        <v>42217</v>
      </c>
      <c r="Y60" s="95">
        <f t="shared" si="54"/>
        <v>42248</v>
      </c>
      <c r="Z60" s="95">
        <f t="shared" si="54"/>
        <v>42278</v>
      </c>
      <c r="AA60" s="95">
        <f t="shared" si="54"/>
        <v>42309</v>
      </c>
      <c r="AB60" s="95">
        <f t="shared" si="54"/>
        <v>42339</v>
      </c>
      <c r="AC60" s="95">
        <f t="shared" si="54"/>
        <v>42370</v>
      </c>
      <c r="AD60" s="95">
        <f t="shared" si="54"/>
        <v>42401</v>
      </c>
      <c r="AE60" s="95">
        <f t="shared" si="54"/>
        <v>42430</v>
      </c>
      <c r="AF60" s="670">
        <f t="shared" si="54"/>
        <v>42461</v>
      </c>
      <c r="AG60" s="95">
        <f t="shared" si="54"/>
        <v>42491</v>
      </c>
      <c r="AH60" s="95">
        <f t="shared" si="54"/>
        <v>42522</v>
      </c>
      <c r="AI60" s="670">
        <f t="shared" si="54"/>
        <v>42552</v>
      </c>
      <c r="AJ60" s="95">
        <f t="shared" si="54"/>
        <v>42583</v>
      </c>
      <c r="AK60" s="670">
        <f t="shared" si="54"/>
        <v>42614</v>
      </c>
      <c r="AL60" s="95">
        <f t="shared" si="54"/>
        <v>42644</v>
      </c>
      <c r="AM60" s="95">
        <f t="shared" si="54"/>
        <v>42675</v>
      </c>
      <c r="AN60" s="95">
        <f t="shared" si="54"/>
        <v>42705</v>
      </c>
      <c r="AO60" s="95" t="str">
        <f t="shared" ref="AO60" si="55">AO53</f>
        <v>TOTAL</v>
      </c>
      <c r="AP60" s="11"/>
    </row>
    <row r="61" spans="1:42" outlineLevel="1">
      <c r="A61" s="17"/>
      <c r="B61" s="111" t="s">
        <v>5</v>
      </c>
      <c r="C61" s="102" t="s">
        <v>393</v>
      </c>
      <c r="D61" s="102">
        <v>25</v>
      </c>
      <c r="E61" s="102">
        <v>6500</v>
      </c>
      <c r="F61" s="130">
        <f t="shared" ref="F61" si="56">D61*E61</f>
        <v>162500</v>
      </c>
      <c r="G61" s="130"/>
      <c r="H61" s="135">
        <f t="shared" ref="H61" si="57">F61+G61</f>
        <v>162500</v>
      </c>
      <c r="I61" s="105">
        <f>H61/$H$95</f>
        <v>2.2345382397524958E-2</v>
      </c>
      <c r="J61" s="106"/>
      <c r="K61" s="106">
        <f>$H$61/$D$61</f>
        <v>6500</v>
      </c>
      <c r="L61" s="106">
        <f t="shared" ref="L61:AI61" si="58">$H$61/$D$61</f>
        <v>6500</v>
      </c>
      <c r="M61" s="106">
        <f t="shared" si="58"/>
        <v>6500</v>
      </c>
      <c r="N61" s="106">
        <f t="shared" si="58"/>
        <v>6500</v>
      </c>
      <c r="O61" s="106">
        <f t="shared" si="58"/>
        <v>6500</v>
      </c>
      <c r="P61" s="106">
        <f t="shared" si="58"/>
        <v>6500</v>
      </c>
      <c r="Q61" s="106">
        <f t="shared" si="58"/>
        <v>6500</v>
      </c>
      <c r="R61" s="106">
        <f t="shared" si="58"/>
        <v>6500</v>
      </c>
      <c r="S61" s="106">
        <f t="shared" si="58"/>
        <v>6500</v>
      </c>
      <c r="T61" s="106">
        <f t="shared" si="58"/>
        <v>6500</v>
      </c>
      <c r="U61" s="106">
        <f t="shared" si="58"/>
        <v>6500</v>
      </c>
      <c r="V61" s="106">
        <f t="shared" si="58"/>
        <v>6500</v>
      </c>
      <c r="W61" s="106">
        <f t="shared" si="58"/>
        <v>6500</v>
      </c>
      <c r="X61" s="106">
        <f t="shared" si="58"/>
        <v>6500</v>
      </c>
      <c r="Y61" s="106">
        <f t="shared" si="58"/>
        <v>6500</v>
      </c>
      <c r="Z61" s="106">
        <f t="shared" si="58"/>
        <v>6500</v>
      </c>
      <c r="AA61" s="106">
        <f t="shared" si="58"/>
        <v>6500</v>
      </c>
      <c r="AB61" s="106">
        <f t="shared" si="58"/>
        <v>6500</v>
      </c>
      <c r="AC61" s="106">
        <f t="shared" si="58"/>
        <v>6500</v>
      </c>
      <c r="AD61" s="106">
        <f t="shared" si="58"/>
        <v>6500</v>
      </c>
      <c r="AE61" s="106">
        <f t="shared" si="58"/>
        <v>6500</v>
      </c>
      <c r="AF61" s="106">
        <f t="shared" si="58"/>
        <v>6500</v>
      </c>
      <c r="AG61" s="106">
        <f t="shared" si="58"/>
        <v>6500</v>
      </c>
      <c r="AH61" s="106">
        <f t="shared" si="58"/>
        <v>6500</v>
      </c>
      <c r="AI61" s="106">
        <f t="shared" si="58"/>
        <v>6500</v>
      </c>
      <c r="AJ61" s="106"/>
      <c r="AK61" s="106"/>
      <c r="AL61" s="106"/>
      <c r="AM61" s="106"/>
      <c r="AN61" s="106"/>
      <c r="AO61" s="106">
        <f>SUM(J61:AN61)</f>
        <v>162500</v>
      </c>
      <c r="AP61" s="516" t="str">
        <f>IF(ROUND(AO61,1)=ROUND(F61,1),"OK","ERROR")</f>
        <v>OK</v>
      </c>
    </row>
    <row r="62" spans="1:42" ht="13.5" outlineLevel="1" thickBot="1">
      <c r="A62" s="17"/>
      <c r="B62" s="116"/>
      <c r="C62" s="117"/>
      <c r="D62" s="117"/>
      <c r="E62" s="117"/>
      <c r="F62" s="133"/>
      <c r="G62" s="133"/>
      <c r="H62" s="137"/>
      <c r="I62" s="105">
        <f>H62/$H$95</f>
        <v>0</v>
      </c>
      <c r="J62" s="106"/>
      <c r="K62" s="106"/>
      <c r="L62" s="106"/>
      <c r="M62" s="106"/>
      <c r="N62" s="106"/>
      <c r="O62" s="106"/>
      <c r="P62" s="106"/>
      <c r="Q62" s="106"/>
      <c r="R62" s="106"/>
      <c r="S62" s="106"/>
      <c r="T62" s="106"/>
      <c r="U62" s="106"/>
      <c r="V62" s="106"/>
      <c r="W62" s="106"/>
      <c r="X62" s="106"/>
      <c r="Y62" s="106"/>
      <c r="Z62" s="106"/>
      <c r="AA62" s="106"/>
      <c r="AB62" s="106"/>
      <c r="AC62" s="106"/>
      <c r="AD62" s="106"/>
      <c r="AE62" s="106"/>
      <c r="AF62" s="106"/>
      <c r="AG62" s="106"/>
      <c r="AH62" s="106"/>
      <c r="AI62" s="106"/>
      <c r="AJ62" s="106"/>
      <c r="AK62" s="106"/>
      <c r="AL62" s="106"/>
      <c r="AM62" s="106"/>
      <c r="AN62" s="106"/>
      <c r="AO62" s="106">
        <f>SUM(J62:AN62)</f>
        <v>0</v>
      </c>
      <c r="AP62" s="516" t="str">
        <f>IF(ROUND(AO62,1)=ROUND(F62,1),"OK","ERROR")</f>
        <v>OK</v>
      </c>
    </row>
    <row r="63" spans="1:42" ht="13.5" outlineLevel="1" thickBot="1">
      <c r="A63" s="17"/>
      <c r="B63" s="121" t="s">
        <v>28</v>
      </c>
      <c r="C63" s="122"/>
      <c r="D63" s="122"/>
      <c r="E63" s="122"/>
      <c r="F63" s="129">
        <f>SUM(F61:F62)</f>
        <v>162500</v>
      </c>
      <c r="G63" s="129">
        <f>SUM(G61:G62)</f>
        <v>0</v>
      </c>
      <c r="H63" s="409">
        <f>SUM(H61:H62)</f>
        <v>162500</v>
      </c>
      <c r="I63" s="164">
        <f>H63/$H$95</f>
        <v>2.2345382397524958E-2</v>
      </c>
      <c r="J63" s="141">
        <f t="shared" ref="J63:AO63" si="59">SUM(J61:J62)</f>
        <v>0</v>
      </c>
      <c r="K63" s="141">
        <f t="shared" si="59"/>
        <v>6500</v>
      </c>
      <c r="L63" s="141">
        <f t="shared" si="59"/>
        <v>6500</v>
      </c>
      <c r="M63" s="141">
        <f t="shared" si="59"/>
        <v>6500</v>
      </c>
      <c r="N63" s="141">
        <f t="shared" si="59"/>
        <v>6500</v>
      </c>
      <c r="O63" s="141">
        <f t="shared" si="59"/>
        <v>6500</v>
      </c>
      <c r="P63" s="141">
        <f t="shared" si="59"/>
        <v>6500</v>
      </c>
      <c r="Q63" s="141">
        <f t="shared" si="59"/>
        <v>6500</v>
      </c>
      <c r="R63" s="141">
        <f t="shared" si="59"/>
        <v>6500</v>
      </c>
      <c r="S63" s="141">
        <f t="shared" si="59"/>
        <v>6500</v>
      </c>
      <c r="T63" s="141">
        <f t="shared" si="59"/>
        <v>6500</v>
      </c>
      <c r="U63" s="141">
        <f t="shared" si="59"/>
        <v>6500</v>
      </c>
      <c r="V63" s="141">
        <f t="shared" si="59"/>
        <v>6500</v>
      </c>
      <c r="W63" s="141">
        <f t="shared" si="59"/>
        <v>6500</v>
      </c>
      <c r="X63" s="141">
        <f t="shared" si="59"/>
        <v>6500</v>
      </c>
      <c r="Y63" s="141">
        <f t="shared" si="59"/>
        <v>6500</v>
      </c>
      <c r="Z63" s="141">
        <f t="shared" si="59"/>
        <v>6500</v>
      </c>
      <c r="AA63" s="141">
        <f t="shared" si="59"/>
        <v>6500</v>
      </c>
      <c r="AB63" s="141">
        <f t="shared" si="59"/>
        <v>6500</v>
      </c>
      <c r="AC63" s="141">
        <f t="shared" si="59"/>
        <v>6500</v>
      </c>
      <c r="AD63" s="141">
        <f t="shared" si="59"/>
        <v>6500</v>
      </c>
      <c r="AE63" s="141">
        <f t="shared" si="59"/>
        <v>6500</v>
      </c>
      <c r="AF63" s="141">
        <f t="shared" si="59"/>
        <v>6500</v>
      </c>
      <c r="AG63" s="141">
        <f t="shared" si="59"/>
        <v>6500</v>
      </c>
      <c r="AH63" s="141">
        <f t="shared" si="59"/>
        <v>6500</v>
      </c>
      <c r="AI63" s="141">
        <f t="shared" ref="AI63:AN63" si="60">SUM(AI61:AI62)</f>
        <v>6500</v>
      </c>
      <c r="AJ63" s="141">
        <f t="shared" si="60"/>
        <v>0</v>
      </c>
      <c r="AK63" s="141">
        <f t="shared" si="60"/>
        <v>0</v>
      </c>
      <c r="AL63" s="141">
        <f t="shared" si="60"/>
        <v>0</v>
      </c>
      <c r="AM63" s="141">
        <f t="shared" si="60"/>
        <v>0</v>
      </c>
      <c r="AN63" s="141">
        <f t="shared" si="60"/>
        <v>0</v>
      </c>
      <c r="AO63" s="141">
        <f t="shared" si="59"/>
        <v>162500</v>
      </c>
      <c r="AP63" s="11"/>
    </row>
    <row r="64" spans="1:42">
      <c r="A64" s="17"/>
      <c r="B64" s="27"/>
      <c r="C64" s="27"/>
      <c r="D64" s="27"/>
      <c r="E64" s="27"/>
      <c r="F64" s="32"/>
      <c r="G64" s="32"/>
      <c r="H64" s="32"/>
      <c r="I64" s="32"/>
      <c r="AP64" s="11"/>
    </row>
    <row r="65" spans="1:42" ht="13.5" thickBot="1">
      <c r="A65" s="17"/>
      <c r="B65" s="27"/>
      <c r="C65" s="27"/>
      <c r="D65" s="27"/>
      <c r="E65" s="27"/>
      <c r="F65" s="32"/>
      <c r="G65" s="32"/>
      <c r="H65" s="32"/>
      <c r="I65" s="32"/>
      <c r="AP65" s="11"/>
    </row>
    <row r="66" spans="1:42" ht="13.5" thickBot="1">
      <c r="A66" s="17"/>
      <c r="B66" s="886" t="s">
        <v>396</v>
      </c>
      <c r="C66" s="98" t="s">
        <v>53</v>
      </c>
      <c r="D66" s="98" t="s">
        <v>43</v>
      </c>
      <c r="E66" s="98" t="s">
        <v>54</v>
      </c>
      <c r="F66" s="98" t="s">
        <v>2</v>
      </c>
      <c r="G66" s="98" t="s">
        <v>3</v>
      </c>
      <c r="H66" s="98" t="s">
        <v>4</v>
      </c>
      <c r="I66" s="126"/>
      <c r="J66" s="95">
        <f>J60</f>
        <v>41791</v>
      </c>
      <c r="K66" s="95">
        <f t="shared" ref="K66:AN66" si="61">K60</f>
        <v>41821</v>
      </c>
      <c r="L66" s="95">
        <f t="shared" si="61"/>
        <v>41852</v>
      </c>
      <c r="M66" s="95">
        <f t="shared" si="61"/>
        <v>41883</v>
      </c>
      <c r="N66" s="670">
        <f t="shared" si="61"/>
        <v>41913</v>
      </c>
      <c r="O66" s="95">
        <f t="shared" si="61"/>
        <v>41944</v>
      </c>
      <c r="P66" s="95">
        <f t="shared" si="61"/>
        <v>41974</v>
      </c>
      <c r="Q66" s="95">
        <f t="shared" si="61"/>
        <v>42005</v>
      </c>
      <c r="R66" s="95">
        <f t="shared" si="61"/>
        <v>42036</v>
      </c>
      <c r="S66" s="95">
        <f t="shared" si="61"/>
        <v>42064</v>
      </c>
      <c r="T66" s="670">
        <f t="shared" si="61"/>
        <v>42095</v>
      </c>
      <c r="U66" s="95">
        <f t="shared" si="61"/>
        <v>42125</v>
      </c>
      <c r="V66" s="95">
        <f t="shared" si="61"/>
        <v>42156</v>
      </c>
      <c r="W66" s="95">
        <f t="shared" si="61"/>
        <v>42186</v>
      </c>
      <c r="X66" s="95">
        <f t="shared" si="61"/>
        <v>42217</v>
      </c>
      <c r="Y66" s="95">
        <f t="shared" si="61"/>
        <v>42248</v>
      </c>
      <c r="Z66" s="95">
        <f t="shared" si="61"/>
        <v>42278</v>
      </c>
      <c r="AA66" s="95">
        <f t="shared" si="61"/>
        <v>42309</v>
      </c>
      <c r="AB66" s="95">
        <f t="shared" si="61"/>
        <v>42339</v>
      </c>
      <c r="AC66" s="95">
        <f t="shared" si="61"/>
        <v>42370</v>
      </c>
      <c r="AD66" s="95">
        <f t="shared" si="61"/>
        <v>42401</v>
      </c>
      <c r="AE66" s="95">
        <f t="shared" si="61"/>
        <v>42430</v>
      </c>
      <c r="AF66" s="670">
        <f t="shared" si="61"/>
        <v>42461</v>
      </c>
      <c r="AG66" s="95">
        <f t="shared" si="61"/>
        <v>42491</v>
      </c>
      <c r="AH66" s="95">
        <f t="shared" si="61"/>
        <v>42522</v>
      </c>
      <c r="AI66" s="670">
        <f t="shared" si="61"/>
        <v>42552</v>
      </c>
      <c r="AJ66" s="95">
        <f t="shared" si="61"/>
        <v>42583</v>
      </c>
      <c r="AK66" s="670">
        <f t="shared" si="61"/>
        <v>42614</v>
      </c>
      <c r="AL66" s="95">
        <f t="shared" si="61"/>
        <v>42644</v>
      </c>
      <c r="AM66" s="95">
        <f t="shared" si="61"/>
        <v>42675</v>
      </c>
      <c r="AN66" s="95">
        <f t="shared" si="61"/>
        <v>42705</v>
      </c>
      <c r="AO66" s="95" t="str">
        <f t="shared" ref="AO66" si="62">AO60</f>
        <v>TOTAL</v>
      </c>
      <c r="AP66" s="11"/>
    </row>
    <row r="67" spans="1:42" outlineLevel="1">
      <c r="A67" s="17"/>
      <c r="B67" s="883" t="s">
        <v>467</v>
      </c>
      <c r="C67" s="108" t="s">
        <v>392</v>
      </c>
      <c r="D67" s="108">
        <v>1</v>
      </c>
      <c r="E67" s="108">
        <v>2500</v>
      </c>
      <c r="F67" s="131">
        <f>D67*E67</f>
        <v>2500</v>
      </c>
      <c r="G67" s="959">
        <f>F67*0.18</f>
        <v>450</v>
      </c>
      <c r="H67" s="131">
        <f t="shared" ref="H67:H73" si="63">F67+G67</f>
        <v>2950</v>
      </c>
      <c r="I67" s="126">
        <f t="shared" ref="I67:I75" si="64">H67/$H$95</f>
        <v>4.0565463429353E-4</v>
      </c>
      <c r="J67" s="110"/>
      <c r="K67" s="900">
        <f>F67/2</f>
        <v>1250</v>
      </c>
      <c r="L67" s="900">
        <f>F67/2</f>
        <v>1250</v>
      </c>
      <c r="M67" s="110"/>
      <c r="N67" s="110"/>
      <c r="O67" s="110"/>
      <c r="P67" s="110"/>
      <c r="Q67" s="110"/>
      <c r="R67" s="110"/>
      <c r="S67" s="110"/>
      <c r="T67" s="110"/>
      <c r="U67" s="110"/>
      <c r="V67" s="110"/>
      <c r="W67" s="110"/>
      <c r="X67" s="110"/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  <c r="AI67" s="110"/>
      <c r="AJ67" s="110"/>
      <c r="AK67" s="110"/>
      <c r="AL67" s="110"/>
      <c r="AM67" s="110"/>
      <c r="AN67" s="110"/>
      <c r="AO67" s="106">
        <f t="shared" ref="AO67:AO74" si="65">SUM(J67:AN67)</f>
        <v>2500</v>
      </c>
      <c r="AP67" s="516" t="str">
        <f t="shared" ref="AP67:AP74" si="66">IF(ROUND(AO67,1)=ROUND(F67,1),"OK","ERROR")</f>
        <v>OK</v>
      </c>
    </row>
    <row r="68" spans="1:42" outlineLevel="1">
      <c r="A68" s="17"/>
      <c r="B68" s="453" t="s">
        <v>507</v>
      </c>
      <c r="C68" s="353" t="s">
        <v>392</v>
      </c>
      <c r="D68" s="353">
        <v>1</v>
      </c>
      <c r="E68" s="353">
        <v>5000</v>
      </c>
      <c r="F68" s="130">
        <f t="shared" ref="F68:F73" si="67">D68*E68</f>
        <v>5000</v>
      </c>
      <c r="G68" s="960">
        <f>F68*0.18</f>
        <v>900</v>
      </c>
      <c r="H68" s="130">
        <f t="shared" si="63"/>
        <v>5900</v>
      </c>
      <c r="I68" s="105">
        <f t="shared" si="64"/>
        <v>8.1130926858706E-4</v>
      </c>
      <c r="J68" s="165"/>
      <c r="K68" s="165"/>
      <c r="L68" s="165"/>
      <c r="M68" s="901">
        <f>F68*0.5</f>
        <v>2500</v>
      </c>
      <c r="N68" s="165"/>
      <c r="O68" s="165"/>
      <c r="P68" s="165"/>
      <c r="Q68" s="165"/>
      <c r="R68" s="165"/>
      <c r="S68" s="165"/>
      <c r="T68" s="165"/>
      <c r="U68" s="165"/>
      <c r="V68" s="904">
        <f>$F$68*0.4</f>
        <v>2000</v>
      </c>
      <c r="W68" s="165"/>
      <c r="X68" s="165"/>
      <c r="Y68" s="165"/>
      <c r="Z68" s="165"/>
      <c r="AA68" s="165"/>
      <c r="AB68" s="165"/>
      <c r="AC68" s="904">
        <f>F68*0.1</f>
        <v>500</v>
      </c>
      <c r="AD68" s="165"/>
      <c r="AE68" s="165"/>
      <c r="AF68" s="165"/>
      <c r="AG68" s="165"/>
      <c r="AH68" s="165"/>
      <c r="AI68" s="165"/>
      <c r="AJ68" s="165"/>
      <c r="AK68" s="165"/>
      <c r="AL68" s="165"/>
      <c r="AM68" s="165"/>
      <c r="AN68" s="165"/>
      <c r="AO68" s="106">
        <f t="shared" si="65"/>
        <v>5000</v>
      </c>
      <c r="AP68" s="516" t="str">
        <f t="shared" si="66"/>
        <v>OK</v>
      </c>
    </row>
    <row r="69" spans="1:42" outlineLevel="1">
      <c r="A69" s="17"/>
      <c r="B69" s="454" t="s">
        <v>444</v>
      </c>
      <c r="C69" s="102" t="s">
        <v>392</v>
      </c>
      <c r="D69" s="102">
        <v>1</v>
      </c>
      <c r="E69" s="102">
        <v>3000</v>
      </c>
      <c r="F69" s="130">
        <f t="shared" si="67"/>
        <v>3000</v>
      </c>
      <c r="G69" s="960">
        <f>F69*0.18</f>
        <v>540</v>
      </c>
      <c r="H69" s="130">
        <f t="shared" si="63"/>
        <v>3540</v>
      </c>
      <c r="I69" s="105">
        <f t="shared" si="64"/>
        <v>4.86785561152236E-4</v>
      </c>
      <c r="J69" s="106"/>
      <c r="K69" s="106"/>
      <c r="L69" s="106"/>
      <c r="M69" s="897">
        <f>$F$69/6</f>
        <v>500</v>
      </c>
      <c r="N69" s="106"/>
      <c r="O69" s="106"/>
      <c r="P69" s="897">
        <f>$F$69/6</f>
        <v>500</v>
      </c>
      <c r="Q69" s="106"/>
      <c r="R69" s="106"/>
      <c r="S69" s="106"/>
      <c r="T69" s="106"/>
      <c r="U69" s="106"/>
      <c r="V69" s="897">
        <f>$F$69/6</f>
        <v>500</v>
      </c>
      <c r="W69" s="106"/>
      <c r="X69" s="106"/>
      <c r="Y69" s="106"/>
      <c r="Z69" s="106"/>
      <c r="AA69" s="106"/>
      <c r="AB69" s="897">
        <f>$F$69/6</f>
        <v>500</v>
      </c>
      <c r="AC69" s="106"/>
      <c r="AD69" s="106"/>
      <c r="AE69" s="897">
        <f>$F$69/6</f>
        <v>500</v>
      </c>
      <c r="AF69" s="106"/>
      <c r="AG69" s="897">
        <f>$F$69/6</f>
        <v>500</v>
      </c>
      <c r="AH69" s="106"/>
      <c r="AI69" s="106"/>
      <c r="AJ69" s="106"/>
      <c r="AK69" s="106"/>
      <c r="AL69" s="106"/>
      <c r="AM69" s="106"/>
      <c r="AN69" s="106"/>
      <c r="AO69" s="106">
        <f t="shared" si="65"/>
        <v>3000</v>
      </c>
      <c r="AP69" s="516" t="str">
        <f t="shared" si="66"/>
        <v>OK</v>
      </c>
    </row>
    <row r="70" spans="1:42" outlineLevel="1">
      <c r="A70" s="17"/>
      <c r="B70" s="454" t="s">
        <v>508</v>
      </c>
      <c r="C70" s="102" t="s">
        <v>392</v>
      </c>
      <c r="D70" s="102">
        <v>1</v>
      </c>
      <c r="E70" s="102">
        <v>8000</v>
      </c>
      <c r="F70" s="130">
        <f>D70*E70</f>
        <v>8000</v>
      </c>
      <c r="G70" s="960">
        <f t="shared" ref="G70:G71" si="68">F70*0.18</f>
        <v>1440</v>
      </c>
      <c r="H70" s="130">
        <f t="shared" si="63"/>
        <v>9440</v>
      </c>
      <c r="I70" s="105">
        <f t="shared" si="64"/>
        <v>1.298094829739296E-3</v>
      </c>
      <c r="J70" s="106"/>
      <c r="K70" s="106"/>
      <c r="L70" s="106"/>
      <c r="M70" s="897">
        <f>$F$70/6</f>
        <v>1333.3333333333333</v>
      </c>
      <c r="N70" s="106"/>
      <c r="O70" s="106"/>
      <c r="P70" s="897">
        <f>$F$70/6</f>
        <v>1333.3333333333333</v>
      </c>
      <c r="Q70" s="106"/>
      <c r="R70" s="106"/>
      <c r="S70" s="106"/>
      <c r="T70" s="106"/>
      <c r="U70" s="106"/>
      <c r="V70" s="897">
        <f>$F$70/6</f>
        <v>1333.3333333333333</v>
      </c>
      <c r="W70" s="106"/>
      <c r="X70" s="106"/>
      <c r="Y70" s="106"/>
      <c r="Z70" s="106"/>
      <c r="AA70" s="106"/>
      <c r="AB70" s="897">
        <f>$F$70/6</f>
        <v>1333.3333333333333</v>
      </c>
      <c r="AC70" s="106"/>
      <c r="AD70" s="106"/>
      <c r="AE70" s="897">
        <f>$F$70/6</f>
        <v>1333.3333333333333</v>
      </c>
      <c r="AF70" s="106"/>
      <c r="AG70" s="897">
        <f>$F$70/6</f>
        <v>1333.3333333333333</v>
      </c>
      <c r="AH70" s="106"/>
      <c r="AI70" s="106"/>
      <c r="AJ70" s="106"/>
      <c r="AK70" s="106"/>
      <c r="AL70" s="106"/>
      <c r="AM70" s="106"/>
      <c r="AN70" s="106"/>
      <c r="AO70" s="106">
        <f t="shared" si="65"/>
        <v>7999.9999999999991</v>
      </c>
      <c r="AP70" s="516" t="str">
        <f t="shared" si="66"/>
        <v>OK</v>
      </c>
    </row>
    <row r="71" spans="1:42" outlineLevel="1">
      <c r="A71" s="17"/>
      <c r="B71" s="454" t="s">
        <v>509</v>
      </c>
      <c r="C71" s="102" t="s">
        <v>394</v>
      </c>
      <c r="D71" s="102">
        <v>3</v>
      </c>
      <c r="E71" s="102">
        <v>3500</v>
      </c>
      <c r="F71" s="130">
        <f t="shared" si="67"/>
        <v>10500</v>
      </c>
      <c r="G71" s="960">
        <f t="shared" si="68"/>
        <v>1890</v>
      </c>
      <c r="H71" s="130">
        <f t="shared" si="63"/>
        <v>12390</v>
      </c>
      <c r="I71" s="105">
        <f t="shared" si="64"/>
        <v>1.7037494640328261E-3</v>
      </c>
      <c r="J71" s="106"/>
      <c r="K71" s="106"/>
      <c r="L71" s="106"/>
      <c r="M71" s="106"/>
      <c r="N71" s="106"/>
      <c r="O71" s="106"/>
      <c r="P71" s="897">
        <f>$F$71/$D$71</f>
        <v>3500</v>
      </c>
      <c r="Q71" s="106"/>
      <c r="R71" s="106"/>
      <c r="S71" s="897">
        <f>P71</f>
        <v>3500</v>
      </c>
      <c r="T71" s="106"/>
      <c r="U71" s="106"/>
      <c r="V71" s="106"/>
      <c r="X71" s="106"/>
      <c r="Y71" s="106"/>
      <c r="Z71" s="106"/>
      <c r="AA71" s="897">
        <f>P71</f>
        <v>3500</v>
      </c>
      <c r="AB71" s="106"/>
      <c r="AC71" s="106"/>
      <c r="AD71" s="106"/>
      <c r="AE71" s="106"/>
      <c r="AF71" s="106"/>
      <c r="AG71" s="106"/>
      <c r="AH71" s="106"/>
      <c r="AI71" s="106"/>
      <c r="AJ71" s="106"/>
      <c r="AK71" s="106"/>
      <c r="AL71" s="106"/>
      <c r="AM71" s="106"/>
      <c r="AN71" s="106"/>
      <c r="AO71" s="106">
        <f t="shared" si="65"/>
        <v>10500</v>
      </c>
      <c r="AP71" s="516" t="str">
        <f t="shared" si="66"/>
        <v>OK</v>
      </c>
    </row>
    <row r="72" spans="1:42" outlineLevel="1">
      <c r="A72" s="17"/>
      <c r="B72" s="381" t="s">
        <v>445</v>
      </c>
      <c r="C72" s="117" t="s">
        <v>393</v>
      </c>
      <c r="D72" s="102">
        <v>23</v>
      </c>
      <c r="E72" s="117">
        <v>2000</v>
      </c>
      <c r="F72" s="130">
        <f t="shared" si="67"/>
        <v>46000</v>
      </c>
      <c r="G72" s="130"/>
      <c r="H72" s="130">
        <f t="shared" si="63"/>
        <v>46000</v>
      </c>
      <c r="I72" s="105">
        <f t="shared" si="64"/>
        <v>6.325462094068604E-3</v>
      </c>
      <c r="J72" s="120"/>
      <c r="K72" s="120"/>
      <c r="L72" s="120"/>
      <c r="M72" s="120">
        <f>$H$72/$D$72</f>
        <v>2000</v>
      </c>
      <c r="N72" s="120">
        <f t="shared" ref="N72:AI72" si="69">$H$72/$D$72</f>
        <v>2000</v>
      </c>
      <c r="O72" s="120">
        <f t="shared" si="69"/>
        <v>2000</v>
      </c>
      <c r="P72" s="120">
        <f t="shared" si="69"/>
        <v>2000</v>
      </c>
      <c r="Q72" s="120">
        <f t="shared" si="69"/>
        <v>2000</v>
      </c>
      <c r="R72" s="120">
        <f t="shared" si="69"/>
        <v>2000</v>
      </c>
      <c r="S72" s="120">
        <f t="shared" si="69"/>
        <v>2000</v>
      </c>
      <c r="T72" s="120">
        <f t="shared" si="69"/>
        <v>2000</v>
      </c>
      <c r="U72" s="120">
        <f t="shared" si="69"/>
        <v>2000</v>
      </c>
      <c r="V72" s="120">
        <f t="shared" si="69"/>
        <v>2000</v>
      </c>
      <c r="W72" s="120">
        <f t="shared" si="69"/>
        <v>2000</v>
      </c>
      <c r="X72" s="120">
        <f t="shared" si="69"/>
        <v>2000</v>
      </c>
      <c r="Y72" s="120">
        <f t="shared" si="69"/>
        <v>2000</v>
      </c>
      <c r="Z72" s="120">
        <f t="shared" si="69"/>
        <v>2000</v>
      </c>
      <c r="AA72" s="120">
        <f t="shared" si="69"/>
        <v>2000</v>
      </c>
      <c r="AB72" s="120">
        <f t="shared" si="69"/>
        <v>2000</v>
      </c>
      <c r="AC72" s="120">
        <f t="shared" si="69"/>
        <v>2000</v>
      </c>
      <c r="AD72" s="120">
        <f t="shared" si="69"/>
        <v>2000</v>
      </c>
      <c r="AE72" s="120">
        <f t="shared" si="69"/>
        <v>2000</v>
      </c>
      <c r="AF72" s="120">
        <f t="shared" si="69"/>
        <v>2000</v>
      </c>
      <c r="AG72" s="120">
        <f t="shared" si="69"/>
        <v>2000</v>
      </c>
      <c r="AH72" s="120">
        <f t="shared" si="69"/>
        <v>2000</v>
      </c>
      <c r="AI72" s="120">
        <f t="shared" si="69"/>
        <v>2000</v>
      </c>
      <c r="AJ72" s="120"/>
      <c r="AK72" s="120"/>
      <c r="AL72" s="120"/>
      <c r="AM72" s="120"/>
      <c r="AN72" s="120"/>
      <c r="AO72" s="106">
        <f t="shared" si="65"/>
        <v>46000</v>
      </c>
      <c r="AP72" s="516" t="str">
        <f t="shared" si="66"/>
        <v>OK</v>
      </c>
    </row>
    <row r="73" spans="1:42" outlineLevel="1">
      <c r="A73" s="17"/>
      <c r="B73" s="884" t="s">
        <v>395</v>
      </c>
      <c r="C73" s="145" t="s">
        <v>401</v>
      </c>
      <c r="D73" s="102">
        <v>84</v>
      </c>
      <c r="E73" s="145">
        <v>200</v>
      </c>
      <c r="F73" s="133">
        <f t="shared" si="67"/>
        <v>16800</v>
      </c>
      <c r="G73" s="133"/>
      <c r="H73" s="133">
        <f t="shared" si="63"/>
        <v>16800</v>
      </c>
      <c r="I73" s="105">
        <f t="shared" si="64"/>
        <v>2.3101687647902728E-3</v>
      </c>
      <c r="J73" s="120">
        <f>'Flujo Ingresos'!C25*'EGRESOS DETALLADO'!$E$73</f>
        <v>0</v>
      </c>
      <c r="K73" s="120">
        <f>'Flujo Ingresos'!D25*'EGRESOS DETALLADO'!$E$73</f>
        <v>0</v>
      </c>
      <c r="L73" s="120">
        <f>'Flujo Ingresos'!E25*'EGRESOS DETALLADO'!$E$73</f>
        <v>0</v>
      </c>
      <c r="M73" s="120">
        <f>'Flujo Ingresos'!F25*'EGRESOS DETALLADO'!$E$73</f>
        <v>0</v>
      </c>
      <c r="N73" s="120">
        <f>'Flujo Ingresos'!G25*'EGRESOS DETALLADO'!$E$73</f>
        <v>0</v>
      </c>
      <c r="O73" s="120">
        <f>'Flujo Ingresos'!H25*'EGRESOS DETALLADO'!$E$73</f>
        <v>800</v>
      </c>
      <c r="P73" s="120">
        <f>'Flujo Ingresos'!I25*'EGRESOS DETALLADO'!$E$73</f>
        <v>800</v>
      </c>
      <c r="Q73" s="120">
        <f>'Flujo Ingresos'!J25*'EGRESOS DETALLADO'!$E$73</f>
        <v>800</v>
      </c>
      <c r="R73" s="120">
        <f>'Flujo Ingresos'!K25*'EGRESOS DETALLADO'!$E$73</f>
        <v>800</v>
      </c>
      <c r="S73" s="120">
        <f>'Flujo Ingresos'!L25*'EGRESOS DETALLADO'!$E$73</f>
        <v>800</v>
      </c>
      <c r="T73" s="120">
        <f>'Flujo Ingresos'!M25*'EGRESOS DETALLADO'!$E$73</f>
        <v>800</v>
      </c>
      <c r="U73" s="120">
        <f>'Flujo Ingresos'!N25*'EGRESOS DETALLADO'!$E$73</f>
        <v>800</v>
      </c>
      <c r="V73" s="120">
        <f>'Flujo Ingresos'!O25*'EGRESOS DETALLADO'!$E$73</f>
        <v>800</v>
      </c>
      <c r="W73" s="120">
        <f>'Flujo Ingresos'!P25*'EGRESOS DETALLADO'!$E$73</f>
        <v>800</v>
      </c>
      <c r="X73" s="120">
        <f>'Flujo Ingresos'!Q25*'EGRESOS DETALLADO'!$E$73</f>
        <v>800</v>
      </c>
      <c r="Y73" s="120">
        <f>'Flujo Ingresos'!R25*'EGRESOS DETALLADO'!$E$73</f>
        <v>800</v>
      </c>
      <c r="Z73" s="120">
        <f>'Flujo Ingresos'!S25*'EGRESOS DETALLADO'!$E$73</f>
        <v>800</v>
      </c>
      <c r="AA73" s="120">
        <f>'Flujo Ingresos'!T25*'EGRESOS DETALLADO'!$E$73</f>
        <v>800</v>
      </c>
      <c r="AB73" s="120">
        <f>'Flujo Ingresos'!U25*'EGRESOS DETALLADO'!$E$73</f>
        <v>800</v>
      </c>
      <c r="AC73" s="120">
        <f>'Flujo Ingresos'!V25*'EGRESOS DETALLADO'!$E$73</f>
        <v>800</v>
      </c>
      <c r="AD73" s="120">
        <f>'Flujo Ingresos'!W25*'EGRESOS DETALLADO'!$E$73</f>
        <v>800</v>
      </c>
      <c r="AE73" s="120">
        <f>'Flujo Ingresos'!X25*'EGRESOS DETALLADO'!$E$73</f>
        <v>800</v>
      </c>
      <c r="AF73" s="120">
        <f>'Flujo Ingresos'!Y25*'EGRESOS DETALLADO'!$E$73</f>
        <v>800</v>
      </c>
      <c r="AG73" s="120">
        <f>'Flujo Ingresos'!Z25*'EGRESOS DETALLADO'!$E$73</f>
        <v>800</v>
      </c>
      <c r="AH73" s="120">
        <f>'Flujo Ingresos'!AA25*'EGRESOS DETALLADO'!$E$73</f>
        <v>800</v>
      </c>
      <c r="AI73" s="120">
        <f>'Flujo Ingresos'!AB25*'EGRESOS DETALLADO'!$E$73</f>
        <v>800</v>
      </c>
      <c r="AJ73" s="120">
        <f>'Flujo Ingresos'!AC25*'EGRESOS DETALLADO'!$E$73</f>
        <v>0</v>
      </c>
      <c r="AK73" s="120">
        <f>'Flujo Ingresos'!AD25*'EGRESOS DETALLADO'!$E$73</f>
        <v>0</v>
      </c>
      <c r="AL73" s="120">
        <f>'Flujo Ingresos'!AE25*'EGRESOS DETALLADO'!$E$73</f>
        <v>0</v>
      </c>
      <c r="AM73" s="120">
        <f>'Flujo Ingresos'!AF25*'EGRESOS DETALLADO'!$E$73</f>
        <v>0</v>
      </c>
      <c r="AN73" s="120">
        <f>'Flujo Ingresos'!AG25*'EGRESOS DETALLADO'!$E$73</f>
        <v>0</v>
      </c>
      <c r="AO73" s="106">
        <f t="shared" si="65"/>
        <v>16800</v>
      </c>
      <c r="AP73" s="516" t="str">
        <f t="shared" si="66"/>
        <v>OK</v>
      </c>
    </row>
    <row r="74" spans="1:42" ht="13.5" outlineLevel="1" thickBot="1">
      <c r="A74" s="17"/>
      <c r="B74" s="381"/>
      <c r="C74" s="117"/>
      <c r="D74" s="117"/>
      <c r="E74" s="117"/>
      <c r="F74" s="133"/>
      <c r="G74" s="133"/>
      <c r="H74" s="133"/>
      <c r="I74" s="119">
        <f t="shared" si="64"/>
        <v>0</v>
      </c>
      <c r="J74" s="120"/>
      <c r="K74" s="120"/>
      <c r="L74" s="120"/>
      <c r="M74" s="120"/>
      <c r="N74" s="120"/>
      <c r="O74" s="120"/>
      <c r="P74" s="120"/>
      <c r="Q74" s="120"/>
      <c r="R74" s="120"/>
      <c r="S74" s="120"/>
      <c r="T74" s="120"/>
      <c r="U74" s="120"/>
      <c r="V74" s="120"/>
      <c r="W74" s="120"/>
      <c r="X74" s="120"/>
      <c r="Y74" s="120"/>
      <c r="Z74" s="120"/>
      <c r="AA74" s="120"/>
      <c r="AB74" s="120"/>
      <c r="AC74" s="120"/>
      <c r="AD74" s="120"/>
      <c r="AE74" s="120"/>
      <c r="AF74" s="120"/>
      <c r="AG74" s="120"/>
      <c r="AH74" s="120"/>
      <c r="AI74" s="120"/>
      <c r="AJ74" s="120"/>
      <c r="AK74" s="120"/>
      <c r="AL74" s="120"/>
      <c r="AM74" s="120"/>
      <c r="AN74" s="120"/>
      <c r="AO74" s="106">
        <f t="shared" si="65"/>
        <v>0</v>
      </c>
      <c r="AP74" s="516" t="str">
        <f t="shared" si="66"/>
        <v>OK</v>
      </c>
    </row>
    <row r="75" spans="1:42" ht="13.5" outlineLevel="1" thickBot="1">
      <c r="A75" s="17"/>
      <c r="B75" s="138" t="s">
        <v>29</v>
      </c>
      <c r="C75" s="122"/>
      <c r="D75" s="122"/>
      <c r="E75" s="122"/>
      <c r="F75" s="129">
        <f>SUM(F67:F74)</f>
        <v>91800</v>
      </c>
      <c r="G75" s="129">
        <f>SUM(G67:G74)</f>
        <v>5220</v>
      </c>
      <c r="H75" s="129">
        <f>SUM(H67:H74)</f>
        <v>97020</v>
      </c>
      <c r="I75" s="124">
        <f t="shared" si="64"/>
        <v>1.3341224616663825E-2</v>
      </c>
      <c r="J75" s="125">
        <f t="shared" ref="J75:AO75" si="70">SUM(J67:J74)</f>
        <v>0</v>
      </c>
      <c r="K75" s="125">
        <f t="shared" si="70"/>
        <v>1250</v>
      </c>
      <c r="L75" s="125">
        <f>SUM(L67:L74)</f>
        <v>1250</v>
      </c>
      <c r="M75" s="125">
        <f>SUM(M67:M74)</f>
        <v>6333.333333333333</v>
      </c>
      <c r="N75" s="125">
        <f>SUM(N67:N74)</f>
        <v>2000</v>
      </c>
      <c r="O75" s="125">
        <f t="shared" si="70"/>
        <v>2800</v>
      </c>
      <c r="P75" s="125">
        <f t="shared" si="70"/>
        <v>8133.333333333333</v>
      </c>
      <c r="Q75" s="125">
        <f t="shared" si="70"/>
        <v>2800</v>
      </c>
      <c r="R75" s="125">
        <f t="shared" si="70"/>
        <v>2800</v>
      </c>
      <c r="S75" s="125">
        <f t="shared" si="70"/>
        <v>6300</v>
      </c>
      <c r="T75" s="125">
        <f t="shared" si="70"/>
        <v>2800</v>
      </c>
      <c r="U75" s="125">
        <f t="shared" si="70"/>
        <v>2800</v>
      </c>
      <c r="V75" s="125">
        <f t="shared" si="70"/>
        <v>6633.333333333333</v>
      </c>
      <c r="W75" s="125">
        <f t="shared" si="70"/>
        <v>2800</v>
      </c>
      <c r="X75" s="125">
        <f t="shared" si="70"/>
        <v>2800</v>
      </c>
      <c r="Y75" s="125">
        <f t="shared" si="70"/>
        <v>2800</v>
      </c>
      <c r="Z75" s="125">
        <f t="shared" si="70"/>
        <v>2800</v>
      </c>
      <c r="AA75" s="125">
        <f t="shared" si="70"/>
        <v>6300</v>
      </c>
      <c r="AB75" s="125">
        <f t="shared" si="70"/>
        <v>4633.333333333333</v>
      </c>
      <c r="AC75" s="125">
        <f t="shared" si="70"/>
        <v>3300</v>
      </c>
      <c r="AD75" s="125">
        <f t="shared" si="70"/>
        <v>2800</v>
      </c>
      <c r="AE75" s="125">
        <f t="shared" si="70"/>
        <v>4633.333333333333</v>
      </c>
      <c r="AF75" s="125">
        <f t="shared" si="70"/>
        <v>2800</v>
      </c>
      <c r="AG75" s="125">
        <f t="shared" si="70"/>
        <v>4633.333333333333</v>
      </c>
      <c r="AH75" s="125">
        <f t="shared" si="70"/>
        <v>2800</v>
      </c>
      <c r="AI75" s="125">
        <f t="shared" si="70"/>
        <v>2800</v>
      </c>
      <c r="AJ75" s="125">
        <f t="shared" si="70"/>
        <v>0</v>
      </c>
      <c r="AK75" s="125">
        <f t="shared" si="70"/>
        <v>0</v>
      </c>
      <c r="AL75" s="125">
        <f t="shared" si="70"/>
        <v>0</v>
      </c>
      <c r="AM75" s="125">
        <f t="shared" si="70"/>
        <v>0</v>
      </c>
      <c r="AN75" s="125">
        <f t="shared" si="70"/>
        <v>0</v>
      </c>
      <c r="AO75" s="125">
        <f t="shared" si="70"/>
        <v>91800</v>
      </c>
      <c r="AP75" s="11"/>
    </row>
    <row r="76" spans="1:42">
      <c r="A76" s="17"/>
      <c r="B76" s="885"/>
      <c r="C76" s="27"/>
      <c r="D76" s="27"/>
      <c r="E76" s="27"/>
      <c r="F76" s="32"/>
      <c r="G76" s="32"/>
      <c r="H76" s="32"/>
      <c r="I76" s="32"/>
      <c r="K76" s="896">
        <f>G67*0.5</f>
        <v>225</v>
      </c>
      <c r="L76" s="896">
        <f>G67*0.5</f>
        <v>225</v>
      </c>
      <c r="M76" s="902">
        <f>(G68*0.5)+((G69+G70)/6)</f>
        <v>780</v>
      </c>
      <c r="P76" s="902">
        <f>(($G$69+$G$70)/6)+(G71/D71)</f>
        <v>960</v>
      </c>
      <c r="S76" s="902">
        <f>(G71/D71)</f>
        <v>630</v>
      </c>
      <c r="V76" s="902">
        <f>(G68*0.4)+((G69+G70)/6)</f>
        <v>690</v>
      </c>
      <c r="AA76" s="902">
        <f>(G71/D71)</f>
        <v>630</v>
      </c>
      <c r="AB76" s="902">
        <f>($G$69+$G$70)/6</f>
        <v>330</v>
      </c>
      <c r="AC76" s="905">
        <f>(G68*0.1)</f>
        <v>90</v>
      </c>
      <c r="AE76" s="902">
        <f>($G$69+$G$70)/6</f>
        <v>330</v>
      </c>
      <c r="AG76" s="902">
        <f>($G$69+$G$70)/6</f>
        <v>330</v>
      </c>
      <c r="AO76" s="106">
        <f>SUM(J76:AN76)</f>
        <v>5220</v>
      </c>
      <c r="AP76" s="11"/>
    </row>
    <row r="77" spans="1:42" ht="13.5" thickBot="1">
      <c r="A77" s="17"/>
      <c r="B77" s="885"/>
      <c r="C77" s="27"/>
      <c r="D77" s="27"/>
      <c r="E77" s="27"/>
      <c r="F77" s="32"/>
      <c r="G77" s="32"/>
      <c r="H77" s="32"/>
      <c r="I77" s="32"/>
      <c r="AP77" s="11"/>
    </row>
    <row r="78" spans="1:42" ht="13.5" thickBot="1">
      <c r="A78" s="17"/>
      <c r="B78" s="886" t="s">
        <v>390</v>
      </c>
      <c r="C78" s="98" t="s">
        <v>53</v>
      </c>
      <c r="D78" s="98" t="s">
        <v>43</v>
      </c>
      <c r="E78" s="98" t="s">
        <v>54</v>
      </c>
      <c r="F78" s="98" t="s">
        <v>2</v>
      </c>
      <c r="G78" s="98" t="s">
        <v>3</v>
      </c>
      <c r="H78" s="98" t="s">
        <v>4</v>
      </c>
      <c r="I78" s="126"/>
      <c r="J78" s="95">
        <f>J66</f>
        <v>41791</v>
      </c>
      <c r="K78" s="95">
        <f t="shared" ref="K78:AN78" si="71">K66</f>
        <v>41821</v>
      </c>
      <c r="L78" s="95">
        <f t="shared" si="71"/>
        <v>41852</v>
      </c>
      <c r="M78" s="95">
        <f t="shared" si="71"/>
        <v>41883</v>
      </c>
      <c r="N78" s="670">
        <f t="shared" si="71"/>
        <v>41913</v>
      </c>
      <c r="O78" s="95">
        <f t="shared" si="71"/>
        <v>41944</v>
      </c>
      <c r="P78" s="95">
        <f t="shared" si="71"/>
        <v>41974</v>
      </c>
      <c r="Q78" s="95">
        <f t="shared" si="71"/>
        <v>42005</v>
      </c>
      <c r="R78" s="95">
        <f t="shared" si="71"/>
        <v>42036</v>
      </c>
      <c r="S78" s="95">
        <f t="shared" si="71"/>
        <v>42064</v>
      </c>
      <c r="T78" s="670">
        <f t="shared" si="71"/>
        <v>42095</v>
      </c>
      <c r="U78" s="95">
        <f t="shared" si="71"/>
        <v>42125</v>
      </c>
      <c r="V78" s="95">
        <f t="shared" si="71"/>
        <v>42156</v>
      </c>
      <c r="W78" s="95">
        <f t="shared" si="71"/>
        <v>42186</v>
      </c>
      <c r="X78" s="95">
        <f t="shared" si="71"/>
        <v>42217</v>
      </c>
      <c r="Y78" s="95">
        <f t="shared" si="71"/>
        <v>42248</v>
      </c>
      <c r="Z78" s="95">
        <f t="shared" si="71"/>
        <v>42278</v>
      </c>
      <c r="AA78" s="95">
        <f t="shared" si="71"/>
        <v>42309</v>
      </c>
      <c r="AB78" s="95">
        <f t="shared" si="71"/>
        <v>42339</v>
      </c>
      <c r="AC78" s="95">
        <f t="shared" si="71"/>
        <v>42370</v>
      </c>
      <c r="AD78" s="95">
        <f t="shared" si="71"/>
        <v>42401</v>
      </c>
      <c r="AE78" s="95">
        <f t="shared" si="71"/>
        <v>42430</v>
      </c>
      <c r="AF78" s="670">
        <f t="shared" si="71"/>
        <v>42461</v>
      </c>
      <c r="AG78" s="95">
        <f t="shared" si="71"/>
        <v>42491</v>
      </c>
      <c r="AH78" s="95">
        <f t="shared" si="71"/>
        <v>42522</v>
      </c>
      <c r="AI78" s="670">
        <f t="shared" si="71"/>
        <v>42552</v>
      </c>
      <c r="AJ78" s="95">
        <f t="shared" si="71"/>
        <v>42583</v>
      </c>
      <c r="AK78" s="670">
        <f t="shared" si="71"/>
        <v>42614</v>
      </c>
      <c r="AL78" s="95">
        <f t="shared" si="71"/>
        <v>42644</v>
      </c>
      <c r="AM78" s="95">
        <f t="shared" si="71"/>
        <v>42675</v>
      </c>
      <c r="AN78" s="95">
        <f t="shared" si="71"/>
        <v>42705</v>
      </c>
      <c r="AO78" s="95" t="str">
        <f t="shared" ref="AO78" si="72">AO66</f>
        <v>TOTAL</v>
      </c>
      <c r="AP78" s="11"/>
    </row>
    <row r="79" spans="1:42" outlineLevel="1">
      <c r="A79" s="17"/>
      <c r="B79" s="883" t="s">
        <v>68</v>
      </c>
      <c r="C79" s="108" t="s">
        <v>71</v>
      </c>
      <c r="D79" s="108">
        <v>1.3456298</v>
      </c>
      <c r="E79" s="108">
        <f>SUM(F43:F45)+750000</f>
        <v>4253648.26</v>
      </c>
      <c r="F79" s="131">
        <f>D79*E79/100</f>
        <v>57238.358573741476</v>
      </c>
      <c r="G79" s="881">
        <f>F79*0.18</f>
        <v>10302.904543273466</v>
      </c>
      <c r="H79" s="592">
        <f>F79+G79</f>
        <v>67541.26311701494</v>
      </c>
      <c r="I79" s="109">
        <f>H79/$H$95</f>
        <v>9.2876021659172147E-3</v>
      </c>
      <c r="J79" s="110"/>
      <c r="K79" s="110"/>
      <c r="L79" s="110"/>
      <c r="M79" s="110"/>
      <c r="N79" s="110"/>
      <c r="O79" s="110"/>
      <c r="P79" s="903">
        <f>25000/1.18</f>
        <v>21186.440677966104</v>
      </c>
      <c r="Q79" s="110"/>
      <c r="R79" s="110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10"/>
      <c r="AE79" s="110"/>
      <c r="AF79" s="110"/>
      <c r="AG79" s="110"/>
      <c r="AH79" s="110"/>
      <c r="AI79" s="900">
        <f>F79-P79</f>
        <v>36051.917895775376</v>
      </c>
      <c r="AJ79" s="110"/>
      <c r="AK79" s="110"/>
      <c r="AL79" s="110"/>
      <c r="AM79" s="110"/>
      <c r="AN79" s="110"/>
      <c r="AO79" s="106">
        <f>SUM(J79:AN79)</f>
        <v>57238.358573741483</v>
      </c>
      <c r="AP79" s="516" t="str">
        <f>IF(ROUND(AO79,1)=ROUND(F79,1),"OK","ERROR")</f>
        <v>OK</v>
      </c>
    </row>
    <row r="80" spans="1:42" outlineLevel="1">
      <c r="A80" s="17"/>
      <c r="B80" s="453" t="s">
        <v>389</v>
      </c>
      <c r="C80" s="353"/>
      <c r="D80" s="353"/>
      <c r="E80" s="353"/>
      <c r="F80" s="130">
        <f>H80</f>
        <v>23747.410627102159</v>
      </c>
      <c r="G80" s="130"/>
      <c r="H80" s="130">
        <f>AO80</f>
        <v>23747.410627102159</v>
      </c>
      <c r="I80" s="105">
        <f>H80/$H$95</f>
        <v>3.2655075163916659E-3</v>
      </c>
      <c r="J80" s="165">
        <f>'FC 1'!D34</f>
        <v>0</v>
      </c>
      <c r="K80" s="165">
        <f>'FC 1'!E34</f>
        <v>0</v>
      </c>
      <c r="L80" s="165">
        <f>'FC 1'!F34</f>
        <v>0</v>
      </c>
      <c r="M80" s="165">
        <f>'FC 1'!G34</f>
        <v>0</v>
      </c>
      <c r="N80" s="165">
        <f>'FC 1'!H34</f>
        <v>0</v>
      </c>
      <c r="O80" s="165">
        <f>'FC 1'!I34</f>
        <v>0</v>
      </c>
      <c r="P80" s="165">
        <f>'FC 1'!J34</f>
        <v>0</v>
      </c>
      <c r="Q80" s="165">
        <f>'FC 1'!K34</f>
        <v>0</v>
      </c>
      <c r="R80" s="165">
        <f>'FC 1'!L34</f>
        <v>0</v>
      </c>
      <c r="S80" s="165">
        <f>'FC 1'!M34</f>
        <v>0</v>
      </c>
      <c r="T80" s="165">
        <f>'FC 1'!N34</f>
        <v>0</v>
      </c>
      <c r="U80" s="165">
        <f>'FC 1'!O34</f>
        <v>0</v>
      </c>
      <c r="V80" s="165">
        <f>'FC 1'!P34</f>
        <v>0</v>
      </c>
      <c r="W80" s="165">
        <f>'FC 1'!Q34</f>
        <v>0</v>
      </c>
      <c r="X80" s="165">
        <f>'FC 1'!R34</f>
        <v>0</v>
      </c>
      <c r="Y80" s="165">
        <f>'FC 1'!S34</f>
        <v>0</v>
      </c>
      <c r="Z80" s="165">
        <f>'FC 1'!T34</f>
        <v>0</v>
      </c>
      <c r="AA80" s="165">
        <f>'FC 1'!U34</f>
        <v>0</v>
      </c>
      <c r="AB80" s="165">
        <f>'FC 1'!V34</f>
        <v>0</v>
      </c>
      <c r="AC80" s="165">
        <f>'FC 1'!W34</f>
        <v>0</v>
      </c>
      <c r="AD80" s="165">
        <f>'FC 1'!X34</f>
        <v>0</v>
      </c>
      <c r="AE80" s="165">
        <f>'FC 1'!Y34</f>
        <v>0</v>
      </c>
      <c r="AF80" s="165">
        <f>'FC 1'!Z34</f>
        <v>0</v>
      </c>
      <c r="AG80" s="165">
        <f>'FC 1'!AA34</f>
        <v>0</v>
      </c>
      <c r="AH80" s="165">
        <f>'FC 1'!AB34</f>
        <v>0</v>
      </c>
      <c r="AI80" s="165">
        <f>'FC 1'!AC34</f>
        <v>23747.410627102159</v>
      </c>
      <c r="AJ80" s="165">
        <f>'FC 1'!AD34</f>
        <v>0</v>
      </c>
      <c r="AK80" s="165">
        <f>'FC 1'!AE34</f>
        <v>0</v>
      </c>
      <c r="AL80" s="165">
        <f>'FC 1'!AF34</f>
        <v>0</v>
      </c>
      <c r="AM80" s="165">
        <f>'FC 1'!AG34</f>
        <v>0</v>
      </c>
      <c r="AN80" s="165">
        <f>'FC 1'!AH34</f>
        <v>0</v>
      </c>
      <c r="AO80" s="106">
        <f>SUM(J80:AN80)</f>
        <v>23747.410627102159</v>
      </c>
      <c r="AP80" s="516"/>
    </row>
    <row r="81" spans="1:42" outlineLevel="1">
      <c r="A81" s="17"/>
      <c r="B81" s="454" t="s">
        <v>30</v>
      </c>
      <c r="C81" s="102"/>
      <c r="D81" s="102">
        <v>1</v>
      </c>
      <c r="E81" s="102">
        <v>800</v>
      </c>
      <c r="F81" s="130">
        <f>D81*E81</f>
        <v>800</v>
      </c>
      <c r="G81" s="881">
        <f>F81*0.18</f>
        <v>144</v>
      </c>
      <c r="H81" s="135">
        <f>F81+G81</f>
        <v>944</v>
      </c>
      <c r="I81" s="105">
        <f>H81/$H$95</f>
        <v>1.2980948297392961E-4</v>
      </c>
      <c r="J81" s="106"/>
      <c r="K81" s="106"/>
      <c r="L81" s="897">
        <f>F81</f>
        <v>800</v>
      </c>
      <c r="M81" s="106"/>
      <c r="N81" s="106"/>
      <c r="O81" s="106"/>
      <c r="P81" s="106"/>
      <c r="Q81" s="106"/>
      <c r="R81" s="106"/>
      <c r="S81" s="106"/>
      <c r="T81" s="106"/>
      <c r="U81" s="106"/>
      <c r="V81" s="106"/>
      <c r="W81" s="106"/>
      <c r="X81" s="106"/>
      <c r="Y81" s="106"/>
      <c r="Z81" s="106"/>
      <c r="AA81" s="106"/>
      <c r="AB81" s="106"/>
      <c r="AC81" s="106"/>
      <c r="AD81" s="106"/>
      <c r="AE81" s="106"/>
      <c r="AF81" s="106"/>
      <c r="AG81" s="106"/>
      <c r="AH81" s="106"/>
      <c r="AI81" s="106"/>
      <c r="AJ81" s="106"/>
      <c r="AK81" s="106"/>
      <c r="AL81" s="106"/>
      <c r="AM81" s="106"/>
      <c r="AN81" s="106"/>
      <c r="AO81" s="106">
        <f>SUM(J81:AN81)</f>
        <v>800</v>
      </c>
      <c r="AP81" s="516" t="str">
        <f>IF(ROUND(AO81,1)=ROUND(F81,1),"OK","ERROR")</f>
        <v>OK</v>
      </c>
    </row>
    <row r="82" spans="1:42" ht="13.5" outlineLevel="1" thickBot="1">
      <c r="A82" s="17"/>
      <c r="B82" s="884" t="s">
        <v>55</v>
      </c>
      <c r="C82" s="145"/>
      <c r="D82" s="145">
        <v>15</v>
      </c>
      <c r="E82" s="145">
        <v>400</v>
      </c>
      <c r="F82" s="133">
        <f>D82*E82</f>
        <v>6000</v>
      </c>
      <c r="G82" s="881">
        <f>F82*0.18</f>
        <v>1080</v>
      </c>
      <c r="H82" s="137">
        <f>F82+G82</f>
        <v>7080</v>
      </c>
      <c r="I82" s="119">
        <f>H82/$H$95</f>
        <v>9.73571122304472E-4</v>
      </c>
      <c r="J82" s="120"/>
      <c r="K82" s="120"/>
      <c r="L82" s="120"/>
      <c r="M82" s="120"/>
      <c r="N82" s="120"/>
      <c r="O82" s="120"/>
      <c r="P82" s="120"/>
      <c r="Q82" s="120"/>
      <c r="R82" s="120"/>
      <c r="S82" s="120"/>
      <c r="T82" s="904">
        <f>$F$82/$D$82</f>
        <v>400</v>
      </c>
      <c r="U82" s="904">
        <f t="shared" ref="U82:AH82" si="73">$F$82/$D$82</f>
        <v>400</v>
      </c>
      <c r="V82" s="904">
        <f t="shared" si="73"/>
        <v>400</v>
      </c>
      <c r="W82" s="904">
        <f t="shared" si="73"/>
        <v>400</v>
      </c>
      <c r="X82" s="904">
        <f t="shared" si="73"/>
        <v>400</v>
      </c>
      <c r="Y82" s="904">
        <f t="shared" si="73"/>
        <v>400</v>
      </c>
      <c r="Z82" s="904">
        <f t="shared" si="73"/>
        <v>400</v>
      </c>
      <c r="AA82" s="904">
        <f t="shared" si="73"/>
        <v>400</v>
      </c>
      <c r="AB82" s="904">
        <f t="shared" si="73"/>
        <v>400</v>
      </c>
      <c r="AC82" s="904">
        <f t="shared" si="73"/>
        <v>400</v>
      </c>
      <c r="AD82" s="904">
        <f t="shared" si="73"/>
        <v>400</v>
      </c>
      <c r="AE82" s="904">
        <f t="shared" si="73"/>
        <v>400</v>
      </c>
      <c r="AF82" s="904">
        <f t="shared" si="73"/>
        <v>400</v>
      </c>
      <c r="AG82" s="904">
        <f t="shared" si="73"/>
        <v>400</v>
      </c>
      <c r="AH82" s="904">
        <f t="shared" si="73"/>
        <v>400</v>
      </c>
      <c r="AO82" s="106">
        <f>SUM(J82:AN82)</f>
        <v>6000</v>
      </c>
      <c r="AP82" s="516" t="str">
        <f>IF(ROUND(AO82,1)=ROUND(F82,1),"OK","ERROR")</f>
        <v>OK</v>
      </c>
    </row>
    <row r="83" spans="1:42" ht="13.5" outlineLevel="1" thickBot="1">
      <c r="A83" s="17"/>
      <c r="B83" s="121" t="s">
        <v>38</v>
      </c>
      <c r="C83" s="122"/>
      <c r="D83" s="122"/>
      <c r="E83" s="122"/>
      <c r="F83" s="129">
        <f>SUM(F79:F82)</f>
        <v>87785.769200843642</v>
      </c>
      <c r="G83" s="129">
        <f>SUM(G79:G82)</f>
        <v>11526.904543273466</v>
      </c>
      <c r="H83" s="129">
        <f>SUM(H79:H82)</f>
        <v>99312.673744117099</v>
      </c>
      <c r="I83" s="124">
        <f>H83/$H$95</f>
        <v>1.3656490287587282E-2</v>
      </c>
      <c r="J83" s="125">
        <f t="shared" ref="J83:AO83" si="74">SUM(J79:J82)</f>
        <v>0</v>
      </c>
      <c r="K83" s="125">
        <f t="shared" si="74"/>
        <v>0</v>
      </c>
      <c r="L83" s="125">
        <f t="shared" si="74"/>
        <v>800</v>
      </c>
      <c r="M83" s="125">
        <f t="shared" si="74"/>
        <v>0</v>
      </c>
      <c r="N83" s="125">
        <f t="shared" si="74"/>
        <v>0</v>
      </c>
      <c r="O83" s="125">
        <f t="shared" si="74"/>
        <v>0</v>
      </c>
      <c r="P83" s="125">
        <f t="shared" si="74"/>
        <v>21186.440677966104</v>
      </c>
      <c r="Q83" s="125">
        <f t="shared" si="74"/>
        <v>0</v>
      </c>
      <c r="R83" s="125">
        <f t="shared" si="74"/>
        <v>0</v>
      </c>
      <c r="S83" s="125">
        <f t="shared" si="74"/>
        <v>0</v>
      </c>
      <c r="T83" s="125">
        <f t="shared" si="74"/>
        <v>400</v>
      </c>
      <c r="U83" s="125">
        <f t="shared" si="74"/>
        <v>400</v>
      </c>
      <c r="V83" s="125">
        <f t="shared" si="74"/>
        <v>400</v>
      </c>
      <c r="W83" s="125">
        <f t="shared" si="74"/>
        <v>400</v>
      </c>
      <c r="X83" s="125">
        <f t="shared" si="74"/>
        <v>400</v>
      </c>
      <c r="Y83" s="125">
        <f t="shared" si="74"/>
        <v>400</v>
      </c>
      <c r="Z83" s="125">
        <f t="shared" si="74"/>
        <v>400</v>
      </c>
      <c r="AA83" s="125">
        <f t="shared" si="74"/>
        <v>400</v>
      </c>
      <c r="AB83" s="125">
        <f t="shared" si="74"/>
        <v>400</v>
      </c>
      <c r="AC83" s="125">
        <f t="shared" si="74"/>
        <v>400</v>
      </c>
      <c r="AD83" s="125">
        <f t="shared" si="74"/>
        <v>400</v>
      </c>
      <c r="AE83" s="125">
        <f t="shared" si="74"/>
        <v>400</v>
      </c>
      <c r="AF83" s="125">
        <f t="shared" si="74"/>
        <v>400</v>
      </c>
      <c r="AG83" s="125">
        <f t="shared" si="74"/>
        <v>400</v>
      </c>
      <c r="AH83" s="125">
        <f t="shared" si="74"/>
        <v>400</v>
      </c>
      <c r="AI83" s="125">
        <f t="shared" si="74"/>
        <v>59799.328522877535</v>
      </c>
      <c r="AJ83" s="125">
        <f>SUM(AJ79:AJ82)</f>
        <v>0</v>
      </c>
      <c r="AK83" s="125">
        <f t="shared" si="74"/>
        <v>0</v>
      </c>
      <c r="AL83" s="125">
        <f t="shared" si="74"/>
        <v>0</v>
      </c>
      <c r="AM83" s="125">
        <f t="shared" si="74"/>
        <v>0</v>
      </c>
      <c r="AN83" s="125">
        <f t="shared" si="74"/>
        <v>0</v>
      </c>
      <c r="AO83" s="125">
        <f t="shared" si="74"/>
        <v>87785.769200843642</v>
      </c>
      <c r="AP83" s="11"/>
    </row>
    <row r="84" spans="1:42">
      <c r="A84" s="17"/>
      <c r="B84" s="23"/>
      <c r="C84" s="23"/>
      <c r="D84" s="23"/>
      <c r="E84" s="23"/>
      <c r="F84" s="23"/>
      <c r="G84" s="23"/>
      <c r="H84" s="23"/>
      <c r="I84" s="23"/>
      <c r="L84" s="899">
        <f>G81</f>
        <v>144</v>
      </c>
      <c r="P84" s="902">
        <f>25000-P79</f>
        <v>3813.559322033896</v>
      </c>
      <c r="T84" s="905">
        <f>$G$82/$D$82</f>
        <v>72</v>
      </c>
      <c r="U84" s="905">
        <f>$G$82/$D$82</f>
        <v>72</v>
      </c>
      <c r="V84" s="905">
        <f>$G$82/$D$82</f>
        <v>72</v>
      </c>
      <c r="W84" s="905">
        <f t="shared" ref="W84:AH84" si="75">$G$82/$D$82</f>
        <v>72</v>
      </c>
      <c r="X84" s="905">
        <f t="shared" si="75"/>
        <v>72</v>
      </c>
      <c r="Y84" s="905">
        <f t="shared" si="75"/>
        <v>72</v>
      </c>
      <c r="Z84" s="905">
        <f t="shared" si="75"/>
        <v>72</v>
      </c>
      <c r="AA84" s="905">
        <f t="shared" si="75"/>
        <v>72</v>
      </c>
      <c r="AB84" s="905">
        <f t="shared" si="75"/>
        <v>72</v>
      </c>
      <c r="AC84" s="905">
        <f t="shared" si="75"/>
        <v>72</v>
      </c>
      <c r="AD84" s="905">
        <f t="shared" si="75"/>
        <v>72</v>
      </c>
      <c r="AE84" s="905">
        <f t="shared" si="75"/>
        <v>72</v>
      </c>
      <c r="AF84" s="905">
        <f t="shared" si="75"/>
        <v>72</v>
      </c>
      <c r="AG84" s="905">
        <f t="shared" si="75"/>
        <v>72</v>
      </c>
      <c r="AH84" s="905">
        <f t="shared" si="75"/>
        <v>72</v>
      </c>
      <c r="AI84" s="968">
        <f>(AI79*0.18)</f>
        <v>6489.3452212395678</v>
      </c>
      <c r="AO84" s="106">
        <f>SUM(J84:AN84)</f>
        <v>11526.904543273464</v>
      </c>
      <c r="AP84" s="11"/>
    </row>
    <row r="85" spans="1:42" ht="13.5" thickBot="1">
      <c r="AP85" s="11"/>
    </row>
    <row r="86" spans="1:42" ht="13.5" thickBot="1">
      <c r="B86" s="97" t="s">
        <v>39</v>
      </c>
      <c r="C86" s="98" t="s">
        <v>53</v>
      </c>
      <c r="D86" s="98" t="s">
        <v>43</v>
      </c>
      <c r="E86" s="98" t="s">
        <v>54</v>
      </c>
      <c r="F86" s="98" t="s">
        <v>2</v>
      </c>
      <c r="G86" s="98" t="s">
        <v>3</v>
      </c>
      <c r="H86" s="98" t="s">
        <v>4</v>
      </c>
      <c r="I86" s="126"/>
      <c r="J86" s="95">
        <f>J78</f>
        <v>41791</v>
      </c>
      <c r="K86" s="95">
        <f t="shared" ref="K86:AO86" si="76">K78</f>
        <v>41821</v>
      </c>
      <c r="L86" s="95">
        <f t="shared" si="76"/>
        <v>41852</v>
      </c>
      <c r="M86" s="95">
        <f t="shared" si="76"/>
        <v>41883</v>
      </c>
      <c r="N86" s="670">
        <f t="shared" si="76"/>
        <v>41913</v>
      </c>
      <c r="O86" s="95">
        <f t="shared" si="76"/>
        <v>41944</v>
      </c>
      <c r="P86" s="95">
        <f t="shared" si="76"/>
        <v>41974</v>
      </c>
      <c r="Q86" s="95">
        <f t="shared" si="76"/>
        <v>42005</v>
      </c>
      <c r="R86" s="95">
        <f t="shared" si="76"/>
        <v>42036</v>
      </c>
      <c r="S86" s="95">
        <f t="shared" si="76"/>
        <v>42064</v>
      </c>
      <c r="T86" s="670">
        <f t="shared" si="76"/>
        <v>42095</v>
      </c>
      <c r="U86" s="95">
        <f t="shared" si="76"/>
        <v>42125</v>
      </c>
      <c r="V86" s="95">
        <f t="shared" si="76"/>
        <v>42156</v>
      </c>
      <c r="W86" s="95">
        <f t="shared" si="76"/>
        <v>42186</v>
      </c>
      <c r="X86" s="95">
        <f t="shared" si="76"/>
        <v>42217</v>
      </c>
      <c r="Y86" s="95">
        <f t="shared" si="76"/>
        <v>42248</v>
      </c>
      <c r="Z86" s="95">
        <f t="shared" si="76"/>
        <v>42278</v>
      </c>
      <c r="AA86" s="95">
        <f t="shared" si="76"/>
        <v>42309</v>
      </c>
      <c r="AB86" s="95">
        <f t="shared" si="76"/>
        <v>42339</v>
      </c>
      <c r="AC86" s="95">
        <f t="shared" si="76"/>
        <v>42370</v>
      </c>
      <c r="AD86" s="95">
        <f t="shared" si="76"/>
        <v>42401</v>
      </c>
      <c r="AE86" s="95">
        <f t="shared" si="76"/>
        <v>42430</v>
      </c>
      <c r="AF86" s="670">
        <f t="shared" si="76"/>
        <v>42461</v>
      </c>
      <c r="AG86" s="95">
        <f t="shared" si="76"/>
        <v>42491</v>
      </c>
      <c r="AH86" s="95">
        <f t="shared" si="76"/>
        <v>42522</v>
      </c>
      <c r="AI86" s="670">
        <f t="shared" si="76"/>
        <v>42552</v>
      </c>
      <c r="AJ86" s="95">
        <f t="shared" si="76"/>
        <v>42583</v>
      </c>
      <c r="AK86" s="670">
        <f t="shared" si="76"/>
        <v>42614</v>
      </c>
      <c r="AL86" s="95">
        <f t="shared" si="76"/>
        <v>42644</v>
      </c>
      <c r="AM86" s="95">
        <f t="shared" si="76"/>
        <v>42675</v>
      </c>
      <c r="AN86" s="95">
        <f t="shared" si="76"/>
        <v>42705</v>
      </c>
      <c r="AO86" s="95" t="str">
        <f t="shared" si="76"/>
        <v>TOTAL</v>
      </c>
      <c r="AP86" s="11"/>
    </row>
    <row r="87" spans="1:42">
      <c r="B87" s="107" t="s">
        <v>52</v>
      </c>
      <c r="C87" s="108"/>
      <c r="D87" s="108"/>
      <c r="E87" s="108"/>
      <c r="F87" s="131">
        <f>D87*E87</f>
        <v>0</v>
      </c>
      <c r="G87" s="131">
        <f>F87*0.18</f>
        <v>0</v>
      </c>
      <c r="H87" s="131">
        <f>F87+G87</f>
        <v>0</v>
      </c>
      <c r="I87" s="109">
        <f>H87/$H$95</f>
        <v>0</v>
      </c>
      <c r="J87" s="110"/>
      <c r="K87" s="110"/>
      <c r="L87" s="110"/>
      <c r="M87" s="110"/>
      <c r="N87" s="110"/>
      <c r="O87" s="110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  <c r="AI87" s="110"/>
      <c r="AJ87" s="110"/>
      <c r="AK87" s="110"/>
      <c r="AL87" s="110"/>
      <c r="AM87" s="110"/>
      <c r="AN87" s="110"/>
      <c r="AO87" s="106">
        <f>SUM(J87:AN87)</f>
        <v>0</v>
      </c>
      <c r="AP87" s="516" t="str">
        <f>IF(ROUND(AO87,1)=ROUND(F87,1),"OK","ERROR")</f>
        <v>OK</v>
      </c>
    </row>
    <row r="88" spans="1:42" ht="13.5" thickBot="1">
      <c r="B88" s="112"/>
      <c r="C88" s="113"/>
      <c r="D88" s="113"/>
      <c r="E88" s="113"/>
      <c r="F88" s="132"/>
      <c r="G88" s="132"/>
      <c r="H88" s="132"/>
      <c r="I88" s="114">
        <f>H88/$H$95</f>
        <v>0</v>
      </c>
      <c r="J88" s="115"/>
      <c r="K88" s="115"/>
      <c r="L88" s="115"/>
      <c r="M88" s="115"/>
      <c r="N88" s="115"/>
      <c r="O88" s="115"/>
      <c r="P88" s="115"/>
      <c r="Q88" s="115"/>
      <c r="R88" s="115"/>
      <c r="S88" s="115"/>
      <c r="T88" s="115"/>
      <c r="U88" s="115"/>
      <c r="V88" s="115"/>
      <c r="W88" s="115"/>
      <c r="X88" s="115"/>
      <c r="Y88" s="115"/>
      <c r="Z88" s="115"/>
      <c r="AA88" s="115"/>
      <c r="AB88" s="115"/>
      <c r="AC88" s="115"/>
      <c r="AD88" s="115"/>
      <c r="AE88" s="115"/>
      <c r="AF88" s="115"/>
      <c r="AG88" s="115"/>
      <c r="AH88" s="115"/>
      <c r="AI88" s="115"/>
      <c r="AJ88" s="115"/>
      <c r="AK88" s="115"/>
      <c r="AL88" s="115"/>
      <c r="AM88" s="115"/>
      <c r="AN88" s="115"/>
      <c r="AO88" s="106">
        <f>SUM(J88:AN88)</f>
        <v>0</v>
      </c>
      <c r="AP88" s="516" t="str">
        <f>IF(ROUND(AO88,1)=ROUND(F88,1),"OK","ERROR")</f>
        <v>OK</v>
      </c>
    </row>
    <row r="89" spans="1:42" ht="13.5" thickBot="1">
      <c r="B89" s="142" t="s">
        <v>40</v>
      </c>
      <c r="C89" s="143"/>
      <c r="D89" s="143"/>
      <c r="E89" s="143"/>
      <c r="F89" s="144">
        <f>SUM(F87:F88)</f>
        <v>0</v>
      </c>
      <c r="G89" s="144">
        <f>SUM(G87:G88)</f>
        <v>0</v>
      </c>
      <c r="H89" s="144">
        <f>SUM(H87:H88)</f>
        <v>0</v>
      </c>
      <c r="I89" s="35">
        <f>H89/$H$95</f>
        <v>0</v>
      </c>
      <c r="J89" s="100">
        <f>SUM(J87:J88)</f>
        <v>0</v>
      </c>
      <c r="K89" s="100">
        <f t="shared" ref="K89:AN89" si="77">SUM(K87:K88)</f>
        <v>0</v>
      </c>
      <c r="L89" s="100">
        <f t="shared" si="77"/>
        <v>0</v>
      </c>
      <c r="M89" s="100">
        <f t="shared" si="77"/>
        <v>0</v>
      </c>
      <c r="N89" s="100">
        <f t="shared" si="77"/>
        <v>0</v>
      </c>
      <c r="O89" s="100">
        <f t="shared" si="77"/>
        <v>0</v>
      </c>
      <c r="P89" s="100">
        <f t="shared" si="77"/>
        <v>0</v>
      </c>
      <c r="Q89" s="100">
        <f t="shared" si="77"/>
        <v>0</v>
      </c>
      <c r="R89" s="100">
        <f t="shared" si="77"/>
        <v>0</v>
      </c>
      <c r="S89" s="100">
        <f t="shared" si="77"/>
        <v>0</v>
      </c>
      <c r="T89" s="100">
        <f t="shared" si="77"/>
        <v>0</v>
      </c>
      <c r="U89" s="100">
        <f t="shared" si="77"/>
        <v>0</v>
      </c>
      <c r="V89" s="100">
        <f t="shared" si="77"/>
        <v>0</v>
      </c>
      <c r="W89" s="100">
        <f t="shared" si="77"/>
        <v>0</v>
      </c>
      <c r="X89" s="100">
        <f t="shared" si="77"/>
        <v>0</v>
      </c>
      <c r="Y89" s="100">
        <f t="shared" si="77"/>
        <v>0</v>
      </c>
      <c r="Z89" s="100">
        <f t="shared" si="77"/>
        <v>0</v>
      </c>
      <c r="AA89" s="100">
        <f t="shared" si="77"/>
        <v>0</v>
      </c>
      <c r="AB89" s="100">
        <f t="shared" si="77"/>
        <v>0</v>
      </c>
      <c r="AC89" s="100">
        <f t="shared" si="77"/>
        <v>0</v>
      </c>
      <c r="AD89" s="100">
        <f t="shared" si="77"/>
        <v>0</v>
      </c>
      <c r="AE89" s="100">
        <f t="shared" si="77"/>
        <v>0</v>
      </c>
      <c r="AF89" s="100">
        <f t="shared" si="77"/>
        <v>0</v>
      </c>
      <c r="AG89" s="100">
        <f t="shared" si="77"/>
        <v>0</v>
      </c>
      <c r="AH89" s="100">
        <f t="shared" si="77"/>
        <v>0</v>
      </c>
      <c r="AI89" s="100">
        <f t="shared" si="77"/>
        <v>0</v>
      </c>
      <c r="AJ89" s="100">
        <f t="shared" si="77"/>
        <v>0</v>
      </c>
      <c r="AK89" s="100">
        <f t="shared" si="77"/>
        <v>0</v>
      </c>
      <c r="AL89" s="100">
        <f t="shared" si="77"/>
        <v>0</v>
      </c>
      <c r="AM89" s="100">
        <f t="shared" si="77"/>
        <v>0</v>
      </c>
      <c r="AN89" s="100">
        <f t="shared" si="77"/>
        <v>0</v>
      </c>
      <c r="AO89" s="101">
        <f>SUM(AO87:AO88)</f>
        <v>0</v>
      </c>
      <c r="AP89" s="516" t="str">
        <f>IF(ROUND(AO89,1)=ROUND(H89,1),"OK","ERROR")</f>
        <v>OK</v>
      </c>
    </row>
    <row r="90" spans="1:42" ht="13.5" thickBot="1">
      <c r="I90" s="70">
        <f>I11+I39+I50+I57+I63+I75+I83+I24</f>
        <v>1</v>
      </c>
      <c r="AP90" s="11"/>
    </row>
    <row r="91" spans="1:42">
      <c r="AP91" s="11"/>
    </row>
    <row r="92" spans="1:42" ht="13.5" thickBot="1">
      <c r="AP92" s="11"/>
    </row>
    <row r="93" spans="1:42" ht="13.5" thickBot="1">
      <c r="F93" s="68" t="s">
        <v>69</v>
      </c>
      <c r="G93" s="410">
        <f>G11+G39+G50+G57+G63+G75+G83+G89+G24</f>
        <v>739900.63013287366</v>
      </c>
      <c r="H93" s="489"/>
      <c r="I93" s="895" t="s">
        <v>3</v>
      </c>
      <c r="J93" s="896">
        <f t="shared" ref="J93:AN93" si="78">J12+J25+J40+J51+J58+J76+J84</f>
        <v>760.01112000000012</v>
      </c>
      <c r="K93" s="896">
        <f t="shared" si="78"/>
        <v>2530.0277999999998</v>
      </c>
      <c r="L93" s="896">
        <f t="shared" si="78"/>
        <v>1374.0166800000002</v>
      </c>
      <c r="M93" s="896">
        <f t="shared" si="78"/>
        <v>1785.01668</v>
      </c>
      <c r="N93" s="896">
        <f t="shared" si="78"/>
        <v>1809.9250200000001</v>
      </c>
      <c r="O93" s="896">
        <f t="shared" si="78"/>
        <v>1038.384</v>
      </c>
      <c r="P93" s="896">
        <f t="shared" si="78"/>
        <v>7286.1010220338958</v>
      </c>
      <c r="Q93" s="896">
        <f t="shared" si="78"/>
        <v>0</v>
      </c>
      <c r="R93" s="896">
        <f t="shared" si="78"/>
        <v>0</v>
      </c>
      <c r="S93" s="896">
        <f t="shared" si="78"/>
        <v>1891.3133736000002</v>
      </c>
      <c r="T93" s="896">
        <f t="shared" si="78"/>
        <v>7287.8795520000003</v>
      </c>
      <c r="U93" s="896">
        <f t="shared" si="78"/>
        <v>35483.842031999993</v>
      </c>
      <c r="V93" s="896">
        <f t="shared" si="78"/>
        <v>32303.122031999996</v>
      </c>
      <c r="W93" s="896">
        <f t="shared" si="78"/>
        <v>24397.242480000001</v>
      </c>
      <c r="X93" s="896">
        <f t="shared" si="78"/>
        <v>59327.753423999995</v>
      </c>
      <c r="Y93" s="896">
        <f t="shared" si="78"/>
        <v>52613.823264000006</v>
      </c>
      <c r="Z93" s="896">
        <f t="shared" si="78"/>
        <v>58300.243584000003</v>
      </c>
      <c r="AA93" s="896">
        <f t="shared" si="78"/>
        <v>58930.243584000003</v>
      </c>
      <c r="AB93" s="896">
        <f t="shared" si="78"/>
        <v>88259.304864000005</v>
      </c>
      <c r="AC93" s="896">
        <f t="shared" si="78"/>
        <v>88019.304864000005</v>
      </c>
      <c r="AD93" s="896">
        <f t="shared" si="78"/>
        <v>62028.052703999994</v>
      </c>
      <c r="AE93" s="896">
        <f t="shared" si="78"/>
        <v>50161.252703999999</v>
      </c>
      <c r="AF93" s="896">
        <f t="shared" si="78"/>
        <v>43620.632063999998</v>
      </c>
      <c r="AG93" s="896">
        <f t="shared" si="78"/>
        <v>48405.992064000005</v>
      </c>
      <c r="AH93" s="896">
        <f t="shared" si="78"/>
        <v>2934.9</v>
      </c>
      <c r="AI93" s="896">
        <f t="shared" si="78"/>
        <v>9352.2452212395674</v>
      </c>
      <c r="AJ93" s="896">
        <f t="shared" si="78"/>
        <v>0</v>
      </c>
      <c r="AK93" s="896">
        <f t="shared" si="78"/>
        <v>0</v>
      </c>
      <c r="AL93" s="896">
        <f t="shared" si="78"/>
        <v>0</v>
      </c>
      <c r="AM93" s="896">
        <f t="shared" si="78"/>
        <v>0</v>
      </c>
      <c r="AN93" s="896">
        <f t="shared" si="78"/>
        <v>0</v>
      </c>
      <c r="AO93" s="106">
        <f>SUM(J93:AN93)</f>
        <v>739900.63013287343</v>
      </c>
      <c r="AP93" s="11"/>
    </row>
    <row r="94" spans="1:42" ht="13.5" thickBot="1">
      <c r="AP94" s="11"/>
    </row>
    <row r="95" spans="1:42" ht="13.5" thickBot="1">
      <c r="E95" s="167" t="s">
        <v>70</v>
      </c>
      <c r="F95" s="16">
        <f t="shared" ref="F95:G95" si="79">F11+F39+F50+F57+F63+F75+F83+F89+F24</f>
        <v>6532295.3479497824</v>
      </c>
      <c r="G95" s="16">
        <f t="shared" si="79"/>
        <v>739900.63013287366</v>
      </c>
      <c r="H95" s="16">
        <f>H11+H39+H50+H57+H63+H75+H83+H89+H24</f>
        <v>7272195.9780826569</v>
      </c>
      <c r="AP95" s="11"/>
    </row>
    <row r="96" spans="1:42">
      <c r="AP96" s="11"/>
    </row>
    <row r="97" spans="2:42">
      <c r="G97" s="480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</row>
    <row r="98" spans="2:42"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</row>
    <row r="99" spans="2:42" ht="13.5" thickBot="1"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</row>
    <row r="100" spans="2:42" ht="26.25" thickBot="1">
      <c r="B100" s="926"/>
      <c r="E100" s="906" t="str">
        <f>'ESTRUCTURA FIN'!H6</f>
        <v>PRESUPUESTO Junio 2014</v>
      </c>
      <c r="F100" s="906" t="str">
        <f>'ESTRUCTURA FIN'!I6</f>
        <v>Aporte Cliente</v>
      </c>
      <c r="G100" s="906" t="str">
        <f>'ESTRUCTURA FIN'!J6</f>
        <v>Interbank</v>
      </c>
      <c r="H100" s="906" t="str">
        <f>'ESTRUCTURA FIN'!K6</f>
        <v>Preventa 31%</v>
      </c>
      <c r="I100" s="11"/>
      <c r="J100" s="969">
        <v>41791</v>
      </c>
      <c r="K100" s="969">
        <v>41821</v>
      </c>
      <c r="L100" s="969">
        <v>41852</v>
      </c>
      <c r="M100" s="969">
        <v>41883</v>
      </c>
      <c r="N100" s="970">
        <v>41913</v>
      </c>
      <c r="O100" s="969">
        <v>41944</v>
      </c>
      <c r="P100" s="969">
        <v>41974</v>
      </c>
      <c r="Q100" s="969">
        <v>42005</v>
      </c>
      <c r="R100" s="969">
        <v>42036</v>
      </c>
      <c r="S100" s="969">
        <v>42064</v>
      </c>
      <c r="T100" s="970">
        <v>42095</v>
      </c>
      <c r="U100" s="969">
        <v>42125</v>
      </c>
      <c r="V100" s="969">
        <v>42156</v>
      </c>
      <c r="W100" s="969">
        <v>42186</v>
      </c>
      <c r="X100" s="969">
        <v>42217</v>
      </c>
      <c r="Y100" s="969">
        <v>42248</v>
      </c>
      <c r="Z100" s="969">
        <v>42278</v>
      </c>
      <c r="AA100" s="969">
        <v>42309</v>
      </c>
      <c r="AB100" s="969">
        <v>42339</v>
      </c>
      <c r="AC100" s="969">
        <v>42370</v>
      </c>
      <c r="AD100" s="969">
        <v>42401</v>
      </c>
      <c r="AE100" s="969">
        <v>42430</v>
      </c>
      <c r="AF100" s="970">
        <v>42461</v>
      </c>
      <c r="AG100" s="969">
        <v>42491</v>
      </c>
      <c r="AH100" s="969">
        <v>42522</v>
      </c>
      <c r="AI100" s="970">
        <v>42552</v>
      </c>
      <c r="AJ100" s="969">
        <v>42583</v>
      </c>
      <c r="AK100" s="970">
        <v>42614</v>
      </c>
      <c r="AL100" s="969">
        <v>42644</v>
      </c>
      <c r="AM100" s="969">
        <v>42675</v>
      </c>
      <c r="AN100" s="969">
        <v>42705</v>
      </c>
      <c r="AO100" s="514" t="s">
        <v>4</v>
      </c>
      <c r="AP100" s="11"/>
    </row>
    <row r="101" spans="2:42">
      <c r="B101" s="997" t="str">
        <f>'ESTRUCTURA FIN'!B7</f>
        <v>TERRENO</v>
      </c>
      <c r="E101" s="674">
        <f>'ESTRUCTURA FIN'!H7</f>
        <v>2104998.881028939</v>
      </c>
      <c r="F101" s="674">
        <f>'ESTRUCTURA FIN'!I7</f>
        <v>1354998.881028939</v>
      </c>
      <c r="G101" s="674">
        <f>'ESTRUCTURA FIN'!J7</f>
        <v>750000</v>
      </c>
      <c r="H101" s="674">
        <f>'ESTRUCTURA FIN'!K7</f>
        <v>0</v>
      </c>
      <c r="I101" s="11"/>
      <c r="J101" s="674">
        <f>J7+J8</f>
        <v>20000</v>
      </c>
      <c r="K101" s="674">
        <f t="shared" ref="K101:AA101" si="80">K7+K8</f>
        <v>0</v>
      </c>
      <c r="L101" s="674">
        <f t="shared" si="80"/>
        <v>0</v>
      </c>
      <c r="M101" s="674">
        <f t="shared" si="80"/>
        <v>184259.95</v>
      </c>
      <c r="N101" s="674">
        <f t="shared" si="80"/>
        <v>0</v>
      </c>
      <c r="O101" s="674">
        <f t="shared" si="80"/>
        <v>1230058.9310289389</v>
      </c>
      <c r="P101" s="674">
        <f t="shared" si="80"/>
        <v>0</v>
      </c>
      <c r="Q101" s="674">
        <f t="shared" si="80"/>
        <v>0</v>
      </c>
      <c r="R101" s="674">
        <f t="shared" si="80"/>
        <v>150000</v>
      </c>
      <c r="S101" s="674">
        <f t="shared" si="80"/>
        <v>0</v>
      </c>
      <c r="T101" s="674">
        <f t="shared" si="80"/>
        <v>0</v>
      </c>
      <c r="U101" s="674">
        <f t="shared" si="80"/>
        <v>0</v>
      </c>
      <c r="V101" s="674">
        <f t="shared" si="80"/>
        <v>0</v>
      </c>
      <c r="W101" s="674">
        <f t="shared" si="80"/>
        <v>0</v>
      </c>
      <c r="X101" s="674">
        <f t="shared" si="80"/>
        <v>0</v>
      </c>
      <c r="Y101" s="674">
        <f t="shared" si="80"/>
        <v>0</v>
      </c>
      <c r="Z101" s="674">
        <f t="shared" si="80"/>
        <v>0</v>
      </c>
      <c r="AA101" s="674">
        <f t="shared" si="80"/>
        <v>0</v>
      </c>
      <c r="AB101" s="674">
        <f t="shared" ref="AB101:AN101" si="81">AB7+AB8</f>
        <v>0</v>
      </c>
      <c r="AC101" s="674">
        <f t="shared" si="81"/>
        <v>0</v>
      </c>
      <c r="AD101" s="674">
        <f t="shared" si="81"/>
        <v>0</v>
      </c>
      <c r="AE101" s="674">
        <f t="shared" si="81"/>
        <v>0</v>
      </c>
      <c r="AF101" s="674">
        <f t="shared" si="81"/>
        <v>0</v>
      </c>
      <c r="AG101" s="674">
        <f t="shared" si="81"/>
        <v>0</v>
      </c>
      <c r="AH101" s="674">
        <f t="shared" si="81"/>
        <v>0</v>
      </c>
      <c r="AI101" s="674">
        <f t="shared" si="81"/>
        <v>520680</v>
      </c>
      <c r="AJ101" s="674">
        <f t="shared" si="81"/>
        <v>0</v>
      </c>
      <c r="AK101" s="674">
        <f t="shared" si="81"/>
        <v>0</v>
      </c>
      <c r="AL101" s="674">
        <f t="shared" si="81"/>
        <v>0</v>
      </c>
      <c r="AM101" s="674">
        <f t="shared" si="81"/>
        <v>0</v>
      </c>
      <c r="AN101" s="674">
        <f t="shared" si="81"/>
        <v>0</v>
      </c>
      <c r="AO101" s="674">
        <f>SUM(J101:AN101)</f>
        <v>2104998.881028939</v>
      </c>
      <c r="AP101" s="11"/>
    </row>
    <row r="102" spans="2:42">
      <c r="B102" s="998" t="str">
        <f>'ESTRUCTURA FIN'!B8</f>
        <v>COSTO DE OBRA</v>
      </c>
      <c r="E102" s="469">
        <f>'ESTRUCTURA FIN'!H8</f>
        <v>4676225.9503096007</v>
      </c>
      <c r="F102" s="469">
        <f>'ESTRUCTURA FIN'!I8</f>
        <v>527778.95030960068</v>
      </c>
      <c r="G102" s="469">
        <f>'ESTRUCTURA FIN'!J8</f>
        <v>1631604</v>
      </c>
      <c r="H102" s="469">
        <f>'ESTRUCTURA FIN'!K8</f>
        <v>2516843</v>
      </c>
      <c r="I102" s="11"/>
      <c r="J102" s="469">
        <f>J107</f>
        <v>0</v>
      </c>
      <c r="K102" s="469">
        <f t="shared" ref="K102:AA102" si="82">K107</f>
        <v>0</v>
      </c>
      <c r="L102" s="469">
        <f t="shared" si="82"/>
        <v>0</v>
      </c>
      <c r="M102" s="469">
        <f t="shared" si="82"/>
        <v>0</v>
      </c>
      <c r="N102" s="469">
        <f t="shared" si="82"/>
        <v>1982.4</v>
      </c>
      <c r="O102" s="469">
        <f t="shared" si="82"/>
        <v>1982.4</v>
      </c>
      <c r="P102" s="469">
        <f t="shared" si="82"/>
        <v>0</v>
      </c>
      <c r="Q102" s="469">
        <f t="shared" si="82"/>
        <v>0</v>
      </c>
      <c r="R102" s="469">
        <f t="shared" si="82"/>
        <v>0</v>
      </c>
      <c r="S102" s="469">
        <f t="shared" si="82"/>
        <v>8268.6098936000017</v>
      </c>
      <c r="T102" s="469">
        <f t="shared" si="82"/>
        <v>47304.099285333337</v>
      </c>
      <c r="U102" s="469">
        <f t="shared" si="82"/>
        <v>232144.29776533329</v>
      </c>
      <c r="V102" s="469">
        <f t="shared" si="82"/>
        <v>206769.57776533329</v>
      </c>
      <c r="W102" s="469">
        <f t="shared" si="82"/>
        <v>159465.47847999999</v>
      </c>
      <c r="X102" s="469">
        <f t="shared" si="82"/>
        <v>388454.38355733338</v>
      </c>
      <c r="Y102" s="469">
        <f t="shared" si="82"/>
        <v>344440.84139733337</v>
      </c>
      <c r="Z102" s="469">
        <f t="shared" si="82"/>
        <v>381718.48571733339</v>
      </c>
      <c r="AA102" s="469">
        <f t="shared" si="82"/>
        <v>381718.48571733339</v>
      </c>
      <c r="AB102" s="469">
        <f t="shared" ref="AB102:AN102" si="83">AB107</f>
        <v>575953.44299733336</v>
      </c>
      <c r="AC102" s="469">
        <f t="shared" si="83"/>
        <v>575953.44299733336</v>
      </c>
      <c r="AD102" s="469">
        <f t="shared" si="83"/>
        <v>406156.34550399997</v>
      </c>
      <c r="AE102" s="469">
        <f t="shared" si="83"/>
        <v>326199.54550399998</v>
      </c>
      <c r="AF102" s="469">
        <f t="shared" si="83"/>
        <v>285485.47686399997</v>
      </c>
      <c r="AG102" s="469">
        <f t="shared" si="83"/>
        <v>314692.83686400001</v>
      </c>
      <c r="AH102" s="469">
        <f t="shared" si="83"/>
        <v>18767.900000000001</v>
      </c>
      <c r="AI102" s="469">
        <f t="shared" si="83"/>
        <v>18767.900000000001</v>
      </c>
      <c r="AJ102" s="469">
        <f t="shared" si="83"/>
        <v>0</v>
      </c>
      <c r="AK102" s="469">
        <f t="shared" si="83"/>
        <v>0</v>
      </c>
      <c r="AL102" s="469">
        <f t="shared" si="83"/>
        <v>0</v>
      </c>
      <c r="AM102" s="469">
        <f t="shared" si="83"/>
        <v>0</v>
      </c>
      <c r="AN102" s="469">
        <f t="shared" si="83"/>
        <v>0</v>
      </c>
      <c r="AO102" s="469">
        <f>SUM(J102:AN102)</f>
        <v>4676225.9503096016</v>
      </c>
      <c r="AP102" s="11"/>
    </row>
    <row r="103" spans="2:42" ht="13.5" thickBot="1">
      <c r="B103" s="999" t="str">
        <f>'ESTRUCTURA FIN'!B9</f>
        <v>COSTOS INDIRECTOS</v>
      </c>
      <c r="E103" s="679">
        <f>'ESTRUCTURA FIN'!H9</f>
        <v>490971.14674411708</v>
      </c>
      <c r="F103" s="679">
        <f>'ESTRUCTURA FIN'!I9</f>
        <v>455971.14674411708</v>
      </c>
      <c r="G103" s="679">
        <f>'ESTRUCTURA FIN'!J9</f>
        <v>0</v>
      </c>
      <c r="H103" s="679">
        <f>'ESTRUCTURA FIN'!K9</f>
        <v>35000</v>
      </c>
      <c r="I103" s="11"/>
      <c r="J103" s="679">
        <f>J119</f>
        <v>5122.2951200000007</v>
      </c>
      <c r="K103" s="679">
        <f t="shared" ref="K103:AA103" si="84">K119</f>
        <v>25085.737800000003</v>
      </c>
      <c r="L103" s="679">
        <f t="shared" si="84"/>
        <v>15507.442680000002</v>
      </c>
      <c r="M103" s="679">
        <f t="shared" si="84"/>
        <v>22201.776013333332</v>
      </c>
      <c r="N103" s="679">
        <f t="shared" si="84"/>
        <v>18532.66402</v>
      </c>
      <c r="O103" s="679">
        <f t="shared" si="84"/>
        <v>17124.784</v>
      </c>
      <c r="P103" s="679">
        <f t="shared" si="84"/>
        <v>57064.440033333332</v>
      </c>
      <c r="Q103" s="679">
        <f t="shared" si="84"/>
        <v>9300</v>
      </c>
      <c r="R103" s="679">
        <f t="shared" si="84"/>
        <v>9300</v>
      </c>
      <c r="S103" s="679">
        <f t="shared" si="84"/>
        <v>48430</v>
      </c>
      <c r="T103" s="679">
        <f t="shared" si="84"/>
        <v>9772</v>
      </c>
      <c r="U103" s="679">
        <f t="shared" si="84"/>
        <v>9772</v>
      </c>
      <c r="V103" s="679">
        <f t="shared" si="84"/>
        <v>14295.333333333332</v>
      </c>
      <c r="W103" s="679">
        <f t="shared" si="84"/>
        <v>9772</v>
      </c>
      <c r="X103" s="679">
        <f t="shared" si="84"/>
        <v>9772</v>
      </c>
      <c r="Y103" s="679">
        <f t="shared" si="84"/>
        <v>9772</v>
      </c>
      <c r="Z103" s="679">
        <f t="shared" si="84"/>
        <v>9772</v>
      </c>
      <c r="AA103" s="679">
        <f t="shared" si="84"/>
        <v>13902</v>
      </c>
      <c r="AB103" s="679">
        <f t="shared" ref="AB103:AN103" si="85">AB119</f>
        <v>11935.333333333332</v>
      </c>
      <c r="AC103" s="679">
        <f t="shared" si="85"/>
        <v>10362</v>
      </c>
      <c r="AD103" s="679">
        <f t="shared" si="85"/>
        <v>9772</v>
      </c>
      <c r="AE103" s="679">
        <f t="shared" si="85"/>
        <v>11935.333333333332</v>
      </c>
      <c r="AF103" s="679">
        <f t="shared" si="85"/>
        <v>20672</v>
      </c>
      <c r="AG103" s="679">
        <f t="shared" si="85"/>
        <v>17935.333333333332</v>
      </c>
      <c r="AH103" s="679">
        <f t="shared" si="85"/>
        <v>13772</v>
      </c>
      <c r="AI103" s="679">
        <f t="shared" si="85"/>
        <v>79088.673744117099</v>
      </c>
      <c r="AJ103" s="679">
        <f t="shared" si="85"/>
        <v>1000</v>
      </c>
      <c r="AK103" s="679">
        <f t="shared" si="85"/>
        <v>0</v>
      </c>
      <c r="AL103" s="679">
        <f t="shared" si="85"/>
        <v>0</v>
      </c>
      <c r="AM103" s="679">
        <f t="shared" si="85"/>
        <v>0</v>
      </c>
      <c r="AN103" s="679">
        <f t="shared" si="85"/>
        <v>0</v>
      </c>
      <c r="AO103" s="679">
        <f>SUM(J103:AN103)</f>
        <v>490971.14674411702</v>
      </c>
      <c r="AP103" s="11"/>
    </row>
    <row r="104" spans="2:42" ht="13.5" thickBot="1">
      <c r="B104" s="999" t="str">
        <f>'ESTRUCTURA FIN'!B10</f>
        <v>TOTAL INVERSION</v>
      </c>
      <c r="E104" s="679">
        <f>'ESTRUCTURA FIN'!H10</f>
        <v>7272195.9780826569</v>
      </c>
      <c r="F104" s="679">
        <f>'ESTRUCTURA FIN'!I10</f>
        <v>2338748.9780826569</v>
      </c>
      <c r="G104" s="679">
        <f>'ESTRUCTURA FIN'!J10</f>
        <v>2381604</v>
      </c>
      <c r="H104" s="679">
        <f>'ESTRUCTURA FIN'!K10</f>
        <v>2551843</v>
      </c>
      <c r="I104" s="11"/>
      <c r="J104" s="679">
        <f>SUM(J101:J103)</f>
        <v>25122.295120000002</v>
      </c>
      <c r="K104" s="679">
        <f t="shared" ref="K104:AA104" si="86">SUM(K101:K103)</f>
        <v>25085.737800000003</v>
      </c>
      <c r="L104" s="679">
        <f t="shared" si="86"/>
        <v>15507.442680000002</v>
      </c>
      <c r="M104" s="679">
        <f t="shared" si="86"/>
        <v>206461.72601333333</v>
      </c>
      <c r="N104" s="679">
        <f t="shared" si="86"/>
        <v>20515.064020000002</v>
      </c>
      <c r="O104" s="679">
        <f t="shared" si="86"/>
        <v>1249166.1150289387</v>
      </c>
      <c r="P104" s="679">
        <f t="shared" si="86"/>
        <v>57064.440033333332</v>
      </c>
      <c r="Q104" s="679">
        <f t="shared" si="86"/>
        <v>9300</v>
      </c>
      <c r="R104" s="679">
        <f t="shared" si="86"/>
        <v>159300</v>
      </c>
      <c r="S104" s="679">
        <f t="shared" si="86"/>
        <v>56698.609893600005</v>
      </c>
      <c r="T104" s="679">
        <f t="shared" si="86"/>
        <v>57076.099285333337</v>
      </c>
      <c r="U104" s="679">
        <f t="shared" si="86"/>
        <v>241916.29776533329</v>
      </c>
      <c r="V104" s="679">
        <f t="shared" si="86"/>
        <v>221064.91109866663</v>
      </c>
      <c r="W104" s="679">
        <f t="shared" si="86"/>
        <v>169237.47847999999</v>
      </c>
      <c r="X104" s="679">
        <f t="shared" si="86"/>
        <v>398226.38355733338</v>
      </c>
      <c r="Y104" s="679">
        <f t="shared" si="86"/>
        <v>354212.84139733337</v>
      </c>
      <c r="Z104" s="679">
        <f t="shared" si="86"/>
        <v>391490.48571733339</v>
      </c>
      <c r="AA104" s="679">
        <f t="shared" si="86"/>
        <v>395620.48571733339</v>
      </c>
      <c r="AB104" s="679">
        <f t="shared" ref="AB104" si="87">SUM(AB101:AB103)</f>
        <v>587888.77633066673</v>
      </c>
      <c r="AC104" s="679">
        <f t="shared" ref="AC104" si="88">SUM(AC101:AC103)</f>
        <v>586315.44299733336</v>
      </c>
      <c r="AD104" s="679">
        <f t="shared" ref="AD104" si="89">SUM(AD101:AD103)</f>
        <v>415928.34550399997</v>
      </c>
      <c r="AE104" s="679">
        <f t="shared" ref="AE104" si="90">SUM(AE101:AE103)</f>
        <v>338134.87883733329</v>
      </c>
      <c r="AF104" s="679">
        <f t="shared" ref="AF104" si="91">SUM(AF101:AF103)</f>
        <v>306157.47686399997</v>
      </c>
      <c r="AG104" s="679">
        <f t="shared" ref="AG104" si="92">SUM(AG101:AG103)</f>
        <v>332628.17019733333</v>
      </c>
      <c r="AH104" s="679">
        <f t="shared" ref="AH104" si="93">SUM(AH101:AH103)</f>
        <v>32539.9</v>
      </c>
      <c r="AI104" s="679">
        <f t="shared" ref="AI104" si="94">SUM(AI101:AI103)</f>
        <v>618536.57374411717</v>
      </c>
      <c r="AJ104" s="679">
        <f t="shared" ref="AJ104" si="95">SUM(AJ101:AJ103)</f>
        <v>1000</v>
      </c>
      <c r="AK104" s="679">
        <f t="shared" ref="AK104" si="96">SUM(AK101:AK103)</f>
        <v>0</v>
      </c>
      <c r="AL104" s="679">
        <f t="shared" ref="AL104" si="97">SUM(AL101:AL103)</f>
        <v>0</v>
      </c>
      <c r="AM104" s="679">
        <f t="shared" ref="AM104" si="98">SUM(AM101:AM103)</f>
        <v>0</v>
      </c>
      <c r="AN104" s="679">
        <f t="shared" ref="AN104" si="99">SUM(AN101:AN103)</f>
        <v>0</v>
      </c>
      <c r="AO104" s="679">
        <f>SUM(J104:AN104)</f>
        <v>7272195.9780826569</v>
      </c>
      <c r="AP104" s="11"/>
    </row>
    <row r="105" spans="2:42">
      <c r="B105" s="929"/>
      <c r="E105" s="689">
        <f>'ESTRUCTURA FIN'!H11</f>
        <v>1</v>
      </c>
      <c r="F105" s="689">
        <f>'ESTRUCTURA FIN'!I11</f>
        <v>0.32160147844355497</v>
      </c>
      <c r="G105" s="689">
        <f>'ESTRUCTURA FIN'!J11</f>
        <v>0.32749447445830787</v>
      </c>
      <c r="H105" s="689">
        <f>'ESTRUCTURA FIN'!K11</f>
        <v>0.35090404709813711</v>
      </c>
      <c r="I105" s="11"/>
      <c r="J105" s="689"/>
      <c r="K105" s="689"/>
      <c r="L105" s="689"/>
      <c r="M105" s="689"/>
      <c r="N105" s="689"/>
      <c r="O105" s="689"/>
      <c r="P105" s="689"/>
      <c r="Q105" s="689"/>
      <c r="R105" s="689"/>
      <c r="S105" s="689"/>
      <c r="T105" s="689"/>
      <c r="U105" s="689"/>
      <c r="V105" s="689"/>
      <c r="W105" s="689"/>
      <c r="X105" s="689"/>
      <c r="Y105" s="689"/>
      <c r="Z105" s="689"/>
      <c r="AA105" s="689"/>
      <c r="AB105" s="689"/>
      <c r="AC105" s="689"/>
      <c r="AD105" s="689"/>
      <c r="AE105" s="689"/>
      <c r="AF105" s="689"/>
      <c r="AG105" s="689"/>
      <c r="AH105" s="689"/>
      <c r="AI105" s="689"/>
      <c r="AJ105" s="689"/>
      <c r="AK105" s="689"/>
      <c r="AL105" s="689"/>
      <c r="AM105" s="689"/>
      <c r="AN105" s="689"/>
      <c r="AO105" s="689"/>
      <c r="AP105" s="11"/>
    </row>
    <row r="106" spans="2:42" ht="13.5" thickBot="1">
      <c r="B106" s="930"/>
      <c r="E106"/>
      <c r="F106"/>
      <c r="G106"/>
      <c r="H106"/>
      <c r="I106" s="1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 s="11"/>
    </row>
    <row r="107" spans="2:42">
      <c r="B107" s="1000" t="str">
        <f>'ESTRUCTURA FIN'!B13</f>
        <v>COSTO DE OBRA</v>
      </c>
      <c r="E107" s="908">
        <f>'ESTRUCTURA FIN'!H13</f>
        <v>4676225.9503096007</v>
      </c>
      <c r="F107" s="908">
        <f>'ESTRUCTURA FIN'!I13</f>
        <v>527777.9503096001</v>
      </c>
      <c r="G107" s="908">
        <f>'ESTRUCTURA FIN'!J13</f>
        <v>1631604</v>
      </c>
      <c r="H107" s="684">
        <f>'ESTRUCTURA FIN'!K13</f>
        <v>2516844</v>
      </c>
      <c r="I107" s="11"/>
      <c r="J107" s="684">
        <f>SUM(J108:J118)</f>
        <v>0</v>
      </c>
      <c r="K107" s="684">
        <f t="shared" ref="K107:M107" si="100">SUM(K108:K118)</f>
        <v>0</v>
      </c>
      <c r="L107" s="684">
        <f t="shared" si="100"/>
        <v>0</v>
      </c>
      <c r="M107" s="684">
        <f t="shared" si="100"/>
        <v>0</v>
      </c>
      <c r="N107" s="684">
        <f t="shared" ref="N107" si="101">SUM(N108:N118)</f>
        <v>1982.4</v>
      </c>
      <c r="O107" s="684">
        <f t="shared" ref="O107" si="102">SUM(O108:O118)</f>
        <v>1982.4</v>
      </c>
      <c r="P107" s="684">
        <f t="shared" ref="P107" si="103">SUM(P108:P118)</f>
        <v>0</v>
      </c>
      <c r="Q107" s="684">
        <f t="shared" ref="Q107" si="104">SUM(Q108:Q118)</f>
        <v>0</v>
      </c>
      <c r="R107" s="684">
        <f t="shared" ref="R107" si="105">SUM(R108:R118)</f>
        <v>0</v>
      </c>
      <c r="S107" s="684">
        <f t="shared" ref="S107" si="106">SUM(S108:S118)</f>
        <v>8268.6098936000017</v>
      </c>
      <c r="T107" s="684">
        <f t="shared" ref="T107" si="107">SUM(T108:T118)</f>
        <v>47304.099285333337</v>
      </c>
      <c r="U107" s="684">
        <f t="shared" ref="U107" si="108">SUM(U108:U118)</f>
        <v>232144.29776533329</v>
      </c>
      <c r="V107" s="684">
        <f t="shared" ref="V107" si="109">SUM(V108:V118)</f>
        <v>206769.57776533329</v>
      </c>
      <c r="W107" s="684">
        <f t="shared" ref="W107" si="110">SUM(W108:W118)</f>
        <v>159465.47847999999</v>
      </c>
      <c r="X107" s="684">
        <f t="shared" ref="X107" si="111">SUM(X108:X118)</f>
        <v>388454.38355733338</v>
      </c>
      <c r="Y107" s="684">
        <f t="shared" ref="Y107:AA107" si="112">SUM(Y108:Y118)</f>
        <v>344440.84139733337</v>
      </c>
      <c r="Z107" s="684">
        <f t="shared" si="112"/>
        <v>381718.48571733339</v>
      </c>
      <c r="AA107" s="684">
        <f t="shared" si="112"/>
        <v>381718.48571733339</v>
      </c>
      <c r="AB107" s="684">
        <f t="shared" ref="AB107" si="113">SUM(AB108:AB118)</f>
        <v>575953.44299733336</v>
      </c>
      <c r="AC107" s="684">
        <f t="shared" ref="AC107" si="114">SUM(AC108:AC118)</f>
        <v>575953.44299733336</v>
      </c>
      <c r="AD107" s="684">
        <f t="shared" ref="AD107" si="115">SUM(AD108:AD118)</f>
        <v>406156.34550399997</v>
      </c>
      <c r="AE107" s="684">
        <f t="shared" ref="AE107" si="116">SUM(AE108:AE118)</f>
        <v>326199.54550399998</v>
      </c>
      <c r="AF107" s="684">
        <f t="shared" ref="AF107" si="117">SUM(AF108:AF118)</f>
        <v>285485.47686399997</v>
      </c>
      <c r="AG107" s="684">
        <f t="shared" ref="AG107" si="118">SUM(AG108:AG118)</f>
        <v>314692.83686400001</v>
      </c>
      <c r="AH107" s="684">
        <f t="shared" ref="AH107" si="119">SUM(AH108:AH118)</f>
        <v>18767.900000000001</v>
      </c>
      <c r="AI107" s="684">
        <f t="shared" ref="AI107" si="120">SUM(AI108:AI118)</f>
        <v>18767.900000000001</v>
      </c>
      <c r="AJ107" s="684">
        <f t="shared" ref="AJ107" si="121">SUM(AJ108:AJ118)</f>
        <v>0</v>
      </c>
      <c r="AK107" s="684">
        <f t="shared" ref="AK107" si="122">SUM(AK108:AK118)</f>
        <v>0</v>
      </c>
      <c r="AL107" s="684">
        <f t="shared" ref="AL107" si="123">SUM(AL108:AL118)</f>
        <v>0</v>
      </c>
      <c r="AM107" s="684">
        <f t="shared" ref="AM107" si="124">SUM(AM108:AM118)</f>
        <v>0</v>
      </c>
      <c r="AN107" s="684">
        <f t="shared" ref="AN107" si="125">SUM(AN108:AN118)</f>
        <v>0</v>
      </c>
      <c r="AO107" s="684">
        <f t="shared" ref="AO107:AO124" si="126">SUM(J107:AN107)</f>
        <v>4676225.9503096016</v>
      </c>
      <c r="AP107" s="11"/>
    </row>
    <row r="108" spans="2:42">
      <c r="B108" s="998" t="str">
        <f>'ESTRUCTURA FIN'!B14</f>
        <v>Obras Preliminares</v>
      </c>
      <c r="E108" s="469">
        <f>'ESTRUCTURA FIN'!H14</f>
        <v>110379.16</v>
      </c>
      <c r="F108" s="469">
        <f>'ESTRUCTURA FIN'!I14</f>
        <v>110379.16</v>
      </c>
      <c r="G108" s="469">
        <f>'ESTRUCTURA FIN'!J14</f>
        <v>0</v>
      </c>
      <c r="H108" s="469">
        <f>'ESTRUCTURA FIN'!K14</f>
        <v>0</v>
      </c>
      <c r="I108" s="11"/>
      <c r="J108" s="469"/>
      <c r="K108" s="469"/>
      <c r="L108" s="469"/>
      <c r="M108" s="469"/>
      <c r="N108" s="469">
        <f>'CRONOG VALORIZADO DE OBRA'!G9+'CRONOG VALORIZADO DE OBRA'!G10+'CRONOG VALORIZADO DE OBRA'!G11</f>
        <v>1500</v>
      </c>
      <c r="O108" s="469">
        <f>'CRONOG VALORIZADO DE OBRA'!H9+'CRONOG VALORIZADO DE OBRA'!H10+'CRONOG VALORIZADO DE OBRA'!H11</f>
        <v>1500</v>
      </c>
      <c r="P108" s="469">
        <f>'CRONOG VALORIZADO DE OBRA'!I9+'CRONOG VALORIZADO DE OBRA'!I10+'CRONOG VALORIZADO DE OBRA'!I11</f>
        <v>0</v>
      </c>
      <c r="Q108" s="469">
        <f>'CRONOG VALORIZADO DE OBRA'!J9+'CRONOG VALORIZADO DE OBRA'!J10+'CRONOG VALORIZADO DE OBRA'!J11</f>
        <v>0</v>
      </c>
      <c r="R108" s="469">
        <f>'CRONOG VALORIZADO DE OBRA'!K9+'CRONOG VALORIZADO DE OBRA'!K10+'CRONOG VALORIZADO DE OBRA'!K11</f>
        <v>0</v>
      </c>
      <c r="S108" s="469">
        <f>'CRONOG VALORIZADO DE OBRA'!L9+'CRONOG VALORIZADO DE OBRA'!L10+'CRONOG VALORIZADO DE OBRA'!L11</f>
        <v>0</v>
      </c>
      <c r="T108" s="469">
        <f>'CRONOG VALORIZADO DE OBRA'!M9+'CRONOG VALORIZADO DE OBRA'!M10+'CRONOG VALORIZADO DE OBRA'!M11</f>
        <v>35793.053333333337</v>
      </c>
      <c r="U108" s="469">
        <f>'CRONOG VALORIZADO DE OBRA'!N9+'CRONOG VALORIZADO DE OBRA'!N10+'CRONOG VALORIZADO DE OBRA'!N11</f>
        <v>35793.053333333337</v>
      </c>
      <c r="V108" s="469">
        <f>'CRONOG VALORIZADO DE OBRA'!O9+'CRONOG VALORIZADO DE OBRA'!O10+'CRONOG VALORIZADO DE OBRA'!O11</f>
        <v>35793.053333333337</v>
      </c>
      <c r="W108" s="469">
        <f>'CRONOG VALORIZADO DE OBRA'!P9+'CRONOG VALORIZADO DE OBRA'!P10+'CRONOG VALORIZADO DE OBRA'!P11</f>
        <v>0</v>
      </c>
      <c r="X108" s="469">
        <f>'CRONOG VALORIZADO DE OBRA'!Q9+'CRONOG VALORIZADO DE OBRA'!Q10+'CRONOG VALORIZADO DE OBRA'!Q11</f>
        <v>0</v>
      </c>
      <c r="Y108" s="469">
        <f>'CRONOG VALORIZADO DE OBRA'!R9+'CRONOG VALORIZADO DE OBRA'!R10+'CRONOG VALORIZADO DE OBRA'!R11</f>
        <v>0</v>
      </c>
      <c r="Z108" s="469">
        <f>'CRONOG VALORIZADO DE OBRA'!S9+'CRONOG VALORIZADO DE OBRA'!S10+'CRONOG VALORIZADO DE OBRA'!S11</f>
        <v>0</v>
      </c>
      <c r="AA108" s="469">
        <f>'CRONOG VALORIZADO DE OBRA'!T9+'CRONOG VALORIZADO DE OBRA'!T10+'CRONOG VALORIZADO DE OBRA'!T11</f>
        <v>0</v>
      </c>
      <c r="AB108" s="469">
        <f>'CRONOG VALORIZADO DE OBRA'!U9+'CRONOG VALORIZADO DE OBRA'!U10+'CRONOG VALORIZADO DE OBRA'!U11</f>
        <v>0</v>
      </c>
      <c r="AC108" s="469">
        <f>'CRONOG VALORIZADO DE OBRA'!V9+'CRONOG VALORIZADO DE OBRA'!V10+'CRONOG VALORIZADO DE OBRA'!V11</f>
        <v>0</v>
      </c>
      <c r="AD108" s="469">
        <f>'CRONOG VALORIZADO DE OBRA'!W9+'CRONOG VALORIZADO DE OBRA'!W10+'CRONOG VALORIZADO DE OBRA'!W11</f>
        <v>0</v>
      </c>
      <c r="AE108" s="469">
        <f>'CRONOG VALORIZADO DE OBRA'!X9+'CRONOG VALORIZADO DE OBRA'!X10+'CRONOG VALORIZADO DE OBRA'!X11</f>
        <v>0</v>
      </c>
      <c r="AF108" s="469">
        <f>'CRONOG VALORIZADO DE OBRA'!Y9+'CRONOG VALORIZADO DE OBRA'!Y10+'CRONOG VALORIZADO DE OBRA'!Y11</f>
        <v>0</v>
      </c>
      <c r="AG108" s="469">
        <f>'CRONOG VALORIZADO DE OBRA'!Z9+'CRONOG VALORIZADO DE OBRA'!Z10+'CRONOG VALORIZADO DE OBRA'!Z11</f>
        <v>0</v>
      </c>
      <c r="AH108" s="469"/>
      <c r="AI108" s="469"/>
      <c r="AJ108" s="469"/>
      <c r="AK108" s="469"/>
      <c r="AL108" s="469"/>
      <c r="AM108" s="469"/>
      <c r="AN108" s="469"/>
      <c r="AO108" s="469">
        <f t="shared" si="126"/>
        <v>110379.16</v>
      </c>
      <c r="AP108" s="11"/>
    </row>
    <row r="109" spans="2:42">
      <c r="B109" s="998" t="str">
        <f>'ESTRUCTURA FIN'!B15</f>
        <v>Estructuras</v>
      </c>
      <c r="E109" s="469">
        <f>'ESTRUCTURA FIN'!H15</f>
        <v>1581970.7000000002</v>
      </c>
      <c r="F109" s="469">
        <f>'ESTRUCTURA FIN'!I15</f>
        <v>311314.60000000009</v>
      </c>
      <c r="G109" s="469">
        <f>'ESTRUCTURA FIN'!J15</f>
        <v>495154</v>
      </c>
      <c r="H109" s="469">
        <f>'ESTRUCTURA FIN'!K15</f>
        <v>775502.10000000009</v>
      </c>
      <c r="I109" s="11"/>
      <c r="J109" s="469"/>
      <c r="K109" s="469"/>
      <c r="L109" s="469"/>
      <c r="M109" s="469"/>
      <c r="N109" s="469">
        <f>'CRONOG VALORIZADO DE OBRA'!G12+'CRONOG VALORIZADO DE OBRA'!G17</f>
        <v>0</v>
      </c>
      <c r="O109" s="469">
        <f>'CRONOG VALORIZADO DE OBRA'!H12+'CRONOG VALORIZADO DE OBRA'!H17</f>
        <v>0</v>
      </c>
      <c r="P109" s="469">
        <f>'CRONOG VALORIZADO DE OBRA'!I12+'CRONOG VALORIZADO DE OBRA'!I17</f>
        <v>0</v>
      </c>
      <c r="Q109" s="469">
        <f>'CRONOG VALORIZADO DE OBRA'!J12+'CRONOG VALORIZADO DE OBRA'!J17</f>
        <v>0</v>
      </c>
      <c r="R109" s="469">
        <f>'CRONOG VALORIZADO DE OBRA'!K12+'CRONOG VALORIZADO DE OBRA'!K17</f>
        <v>0</v>
      </c>
      <c r="S109" s="469">
        <f>'CRONOG VALORIZADO DE OBRA'!L12+'CRONOG VALORIZADO DE OBRA'!L17</f>
        <v>0</v>
      </c>
      <c r="T109" s="469">
        <f>'CRONOG VALORIZADO DE OBRA'!M12+'CRONOG VALORIZADO DE OBRA'!M17</f>
        <v>0</v>
      </c>
      <c r="U109" s="469">
        <f>'CRONOG VALORIZADO DE OBRA'!N12+'CRONOG VALORIZADO DE OBRA'!N17</f>
        <v>106557.70000000001</v>
      </c>
      <c r="V109" s="469">
        <f>'CRONOG VALORIZADO DE OBRA'!O12+'CRONOG VALORIZADO DE OBRA'!O17</f>
        <v>106557.70000000001</v>
      </c>
      <c r="W109" s="469">
        <f>'CRONOG VALORIZADO DE OBRA'!P12+'CRONOG VALORIZADO DE OBRA'!P17</f>
        <v>106557.70000000001</v>
      </c>
      <c r="X109" s="469">
        <f>'CRONOG VALORIZADO DE OBRA'!Q12+'CRONOG VALORIZADO DE OBRA'!Q17</f>
        <v>210382.93333333335</v>
      </c>
      <c r="Y109" s="469">
        <f>'CRONOG VALORIZADO DE OBRA'!R12+'CRONOG VALORIZADO DE OBRA'!R17</f>
        <v>210382.93333333335</v>
      </c>
      <c r="Z109" s="469">
        <f>'CRONOG VALORIZADO DE OBRA'!S12+'CRONOG VALORIZADO DE OBRA'!S17</f>
        <v>210382.93333333335</v>
      </c>
      <c r="AA109" s="469">
        <f>'CRONOG VALORIZADO DE OBRA'!T12+'CRONOG VALORIZADO DE OBRA'!T17</f>
        <v>210382.93333333335</v>
      </c>
      <c r="AB109" s="469">
        <f>'CRONOG VALORIZADO DE OBRA'!U12+'CRONOG VALORIZADO DE OBRA'!U17</f>
        <v>210382.93333333335</v>
      </c>
      <c r="AC109" s="469">
        <f>'CRONOG VALORIZADO DE OBRA'!V12+'CRONOG VALORIZADO DE OBRA'!V17</f>
        <v>210382.93333333335</v>
      </c>
      <c r="AD109" s="469">
        <f>'CRONOG VALORIZADO DE OBRA'!W12+'CRONOG VALORIZADO DE OBRA'!W17</f>
        <v>0</v>
      </c>
      <c r="AE109" s="469">
        <f>'CRONOG VALORIZADO DE OBRA'!X12+'CRONOG VALORIZADO DE OBRA'!X17</f>
        <v>0</v>
      </c>
      <c r="AF109" s="469">
        <f>'CRONOG VALORIZADO DE OBRA'!Y12+'CRONOG VALORIZADO DE OBRA'!Y17</f>
        <v>0</v>
      </c>
      <c r="AG109" s="469">
        <f>'CRONOG VALORIZADO DE OBRA'!Z12+'CRONOG VALORIZADO DE OBRA'!Z17</f>
        <v>0</v>
      </c>
      <c r="AH109" s="469"/>
      <c r="AI109" s="469"/>
      <c r="AJ109" s="469"/>
      <c r="AK109" s="469"/>
      <c r="AL109" s="469"/>
      <c r="AM109" s="469"/>
      <c r="AN109" s="469"/>
      <c r="AO109" s="469">
        <f t="shared" si="126"/>
        <v>1581970.7000000002</v>
      </c>
      <c r="AP109" s="11"/>
    </row>
    <row r="110" spans="2:42">
      <c r="B110" s="998" t="str">
        <f>'ESTRUCTURA FIN'!B16</f>
        <v>Arquitectura</v>
      </c>
      <c r="E110" s="469">
        <f>'ESTRUCTURA FIN'!H16</f>
        <v>1150277.8999999999</v>
      </c>
      <c r="F110" s="469">
        <f>'ESTRUCTURA FIN'!I16</f>
        <v>0</v>
      </c>
      <c r="G110" s="469">
        <f>'ESTRUCTURA FIN'!J16</f>
        <v>426425</v>
      </c>
      <c r="H110" s="469">
        <f>'ESTRUCTURA FIN'!K16</f>
        <v>723852.89999999991</v>
      </c>
      <c r="I110" s="11"/>
      <c r="J110" s="469"/>
      <c r="K110" s="469"/>
      <c r="L110" s="469"/>
      <c r="M110" s="469"/>
      <c r="N110" s="469">
        <f>'CRONOG VALORIZADO DE OBRA'!G13+'CRONOG VALORIZADO DE OBRA'!G18+'CRONOG VALORIZADO DE OBRA'!G19</f>
        <v>0</v>
      </c>
      <c r="O110" s="469">
        <f>'CRONOG VALORIZADO DE OBRA'!H13+'CRONOG VALORIZADO DE OBRA'!H18+'CRONOG VALORIZADO DE OBRA'!H19</f>
        <v>0</v>
      </c>
      <c r="P110" s="469">
        <f>'CRONOG VALORIZADO DE OBRA'!I13+'CRONOG VALORIZADO DE OBRA'!I18+'CRONOG VALORIZADO DE OBRA'!I19</f>
        <v>0</v>
      </c>
      <c r="Q110" s="469">
        <f>'CRONOG VALORIZADO DE OBRA'!J13+'CRONOG VALORIZADO DE OBRA'!J18+'CRONOG VALORIZADO DE OBRA'!J19</f>
        <v>0</v>
      </c>
      <c r="R110" s="469">
        <f>'CRONOG VALORIZADO DE OBRA'!K13+'CRONOG VALORIZADO DE OBRA'!K18+'CRONOG VALORIZADO DE OBRA'!K19</f>
        <v>0</v>
      </c>
      <c r="S110" s="469">
        <f>'CRONOG VALORIZADO DE OBRA'!L13+'CRONOG VALORIZADO DE OBRA'!L18+'CRONOG VALORIZADO DE OBRA'!L19</f>
        <v>0</v>
      </c>
      <c r="T110" s="469">
        <f>'CRONOG VALORIZADO DE OBRA'!M13+'CRONOG VALORIZADO DE OBRA'!M18+'CRONOG VALORIZADO DE OBRA'!M19</f>
        <v>0</v>
      </c>
      <c r="U110" s="469">
        <f>'CRONOG VALORIZADO DE OBRA'!N13+'CRONOG VALORIZADO DE OBRA'!N18+'CRONOG VALORIZADO DE OBRA'!N19</f>
        <v>0</v>
      </c>
      <c r="V110" s="469">
        <f>'CRONOG VALORIZADO DE OBRA'!O13+'CRONOG VALORIZADO DE OBRA'!O18+'CRONOG VALORIZADO DE OBRA'!O19</f>
        <v>0</v>
      </c>
      <c r="W110" s="469">
        <f>'CRONOG VALORIZADO DE OBRA'!P13+'CRONOG VALORIZADO DE OBRA'!P18+'CRONOG VALORIZADO DE OBRA'!P19</f>
        <v>0</v>
      </c>
      <c r="X110" s="469">
        <f>'CRONOG VALORIZADO DE OBRA'!Q13+'CRONOG VALORIZADO DE OBRA'!Q18+'CRONOG VALORIZADO DE OBRA'!Q19</f>
        <v>0</v>
      </c>
      <c r="Y110" s="469">
        <f>'CRONOG VALORIZADO DE OBRA'!R13+'CRONOG VALORIZADO DE OBRA'!R18+'CRONOG VALORIZADO DE OBRA'!R19</f>
        <v>0</v>
      </c>
      <c r="Z110" s="469">
        <f>'CRONOG VALORIZADO DE OBRA'!S13+'CRONOG VALORIZADO DE OBRA'!S18+'CRONOG VALORIZADO DE OBRA'!S19</f>
        <v>28206.45</v>
      </c>
      <c r="AA110" s="469">
        <f>'CRONOG VALORIZADO DE OBRA'!T13+'CRONOG VALORIZADO DE OBRA'!T18+'CRONOG VALORIZADO DE OBRA'!T19</f>
        <v>28206.45</v>
      </c>
      <c r="AB110" s="469">
        <f>'CRONOG VALORIZADO DE OBRA'!U13+'CRONOG VALORIZADO DE OBRA'!U18+'CRONOG VALORIZADO DE OBRA'!U19</f>
        <v>175176</v>
      </c>
      <c r="AC110" s="469">
        <f>'CRONOG VALORIZADO DE OBRA'!V13+'CRONOG VALORIZADO DE OBRA'!V18+'CRONOG VALORIZADO DE OBRA'!V19</f>
        <v>175176</v>
      </c>
      <c r="AD110" s="469">
        <f>'CRONOG VALORIZADO DE OBRA'!W13+'CRONOG VALORIZADO DE OBRA'!W18+'CRONOG VALORIZADO DE OBRA'!W19</f>
        <v>196580.5</v>
      </c>
      <c r="AE110" s="469">
        <f>'CRONOG VALORIZADO DE OBRA'!X13+'CRONOG VALORIZADO DE OBRA'!X18+'CRONOG VALORIZADO DE OBRA'!X19</f>
        <v>196580.5</v>
      </c>
      <c r="AF110" s="469">
        <f>'CRONOG VALORIZADO DE OBRA'!Y13+'CRONOG VALORIZADO DE OBRA'!Y18+'CRONOG VALORIZADO DE OBRA'!Y19</f>
        <v>175176</v>
      </c>
      <c r="AG110" s="469">
        <f>'CRONOG VALORIZADO DE OBRA'!Z13+'CRONOG VALORIZADO DE OBRA'!Z18+'CRONOG VALORIZADO DE OBRA'!Z19</f>
        <v>175176</v>
      </c>
      <c r="AH110" s="469"/>
      <c r="AI110" s="469"/>
      <c r="AJ110" s="469"/>
      <c r="AK110" s="469"/>
      <c r="AL110" s="469"/>
      <c r="AM110" s="469"/>
      <c r="AN110" s="469"/>
      <c r="AO110" s="469">
        <f t="shared" si="126"/>
        <v>1150277.8999999999</v>
      </c>
      <c r="AP110" s="11"/>
    </row>
    <row r="111" spans="2:42">
      <c r="B111" s="998" t="str">
        <f>'ESTRUCTURA FIN'!B17</f>
        <v>Instalaciones Sanitarias</v>
      </c>
      <c r="E111" s="469">
        <f>'ESTRUCTURA FIN'!H17</f>
        <v>219838.45000000004</v>
      </c>
      <c r="F111" s="469">
        <f>'ESTRUCTURA FIN'!I17</f>
        <v>31064.450000000041</v>
      </c>
      <c r="G111" s="469">
        <f>'ESTRUCTURA FIN'!J17</f>
        <v>77588</v>
      </c>
      <c r="H111" s="469">
        <f>'ESTRUCTURA FIN'!K17</f>
        <v>111186</v>
      </c>
      <c r="I111" s="11"/>
      <c r="J111" s="469"/>
      <c r="K111" s="469"/>
      <c r="L111" s="469"/>
      <c r="M111" s="469"/>
      <c r="N111" s="469">
        <f>'CRONOG VALORIZADO DE OBRA'!G14+'CRONOG VALORIZADO DE OBRA'!G20+N48</f>
        <v>0</v>
      </c>
      <c r="O111" s="469">
        <f>'CRONOG VALORIZADO DE OBRA'!H14+'CRONOG VALORIZADO DE OBRA'!H20+O48</f>
        <v>0</v>
      </c>
      <c r="P111" s="469">
        <f>'CRONOG VALORIZADO DE OBRA'!I14+'CRONOG VALORIZADO DE OBRA'!I20+P48</f>
        <v>0</v>
      </c>
      <c r="Q111" s="469">
        <f>'CRONOG VALORIZADO DE OBRA'!J14+'CRONOG VALORIZADO DE OBRA'!J20+Q48</f>
        <v>0</v>
      </c>
      <c r="R111" s="469">
        <f>'CRONOG VALORIZADO DE OBRA'!K14+'CRONOG VALORIZADO DE OBRA'!K20+R48</f>
        <v>0</v>
      </c>
      <c r="S111" s="469">
        <f>'CRONOG VALORIZADO DE OBRA'!L14+'CRONOG VALORIZADO DE OBRA'!L20+S48</f>
        <v>0</v>
      </c>
      <c r="T111" s="469">
        <f>'CRONOG VALORIZADO DE OBRA'!M14+'CRONOG VALORIZADO DE OBRA'!M20+T48</f>
        <v>0</v>
      </c>
      <c r="U111" s="469">
        <f>'CRONOG VALORIZADO DE OBRA'!N14+'CRONOG VALORIZADO DE OBRA'!N20+U48</f>
        <v>7051.6125000000002</v>
      </c>
      <c r="V111" s="469">
        <f>'CRONOG VALORIZADO DE OBRA'!O14+'CRONOG VALORIZADO DE OBRA'!O20+V48</f>
        <v>7051.6125000000002</v>
      </c>
      <c r="W111" s="469">
        <f>'CRONOG VALORIZADO DE OBRA'!P14+'CRONOG VALORIZADO DE OBRA'!P20+W48</f>
        <v>7051.6125000000002</v>
      </c>
      <c r="X111" s="469">
        <f>'CRONOG VALORIZADO DE OBRA'!Q14+'CRONOG VALORIZADO DE OBRA'!Q20+X48</f>
        <v>25614.812500000004</v>
      </c>
      <c r="Y111" s="469">
        <f>'CRONOG VALORIZADO DE OBRA'!R14+'CRONOG VALORIZADO DE OBRA'!R20+Y48</f>
        <v>18563.200000000004</v>
      </c>
      <c r="Z111" s="469">
        <f>'CRONOG VALORIZADO DE OBRA'!S14+'CRONOG VALORIZADO DE OBRA'!S20+Z48</f>
        <v>18563.200000000004</v>
      </c>
      <c r="AA111" s="469">
        <f>'CRONOG VALORIZADO DE OBRA'!T14+'CRONOG VALORIZADO DE OBRA'!T20+AA48</f>
        <v>18563.200000000004</v>
      </c>
      <c r="AB111" s="469">
        <f>'CRONOG VALORIZADO DE OBRA'!U14+'CRONOG VALORIZADO DE OBRA'!U20+AB48</f>
        <v>18563.200000000004</v>
      </c>
      <c r="AC111" s="469">
        <f>'CRONOG VALORIZADO DE OBRA'!V14+'CRONOG VALORIZADO DE OBRA'!V20+AC48</f>
        <v>18563.200000000004</v>
      </c>
      <c r="AD111" s="469">
        <f>'CRONOG VALORIZADO DE OBRA'!W14+'CRONOG VALORIZADO DE OBRA'!W20+AD48</f>
        <v>18563.200000000004</v>
      </c>
      <c r="AE111" s="469">
        <f>'CRONOG VALORIZADO DE OBRA'!X14+'CRONOG VALORIZADO DE OBRA'!X20+AE48</f>
        <v>18563.200000000004</v>
      </c>
      <c r="AF111" s="469">
        <f>'CRONOG VALORIZADO DE OBRA'!Y14+'CRONOG VALORIZADO DE OBRA'!Y20+AF48</f>
        <v>18563.200000000004</v>
      </c>
      <c r="AG111" s="469">
        <f>'CRONOG VALORIZADO DE OBRA'!Z14+'CRONOG VALORIZADO DE OBRA'!Z20+AG48</f>
        <v>18563.200000000004</v>
      </c>
      <c r="AH111" s="469">
        <f>'CRONOG VALORIZADO DE OBRA'!AA14+'CRONOG VALORIZADO DE OBRA'!AA20+AH48</f>
        <v>3000</v>
      </c>
      <c r="AI111" s="469">
        <f>AI48</f>
        <v>3000</v>
      </c>
      <c r="AJ111" s="469"/>
      <c r="AK111" s="469"/>
      <c r="AL111" s="469"/>
      <c r="AM111" s="469"/>
      <c r="AN111" s="469"/>
      <c r="AO111" s="469">
        <f t="shared" si="126"/>
        <v>219838.4500000001</v>
      </c>
      <c r="AP111" s="11"/>
    </row>
    <row r="112" spans="2:42">
      <c r="B112" s="998" t="str">
        <f>'ESTRUCTURA FIN'!B18</f>
        <v>Instalaciones Electricas</v>
      </c>
      <c r="E112" s="469">
        <f>'ESTRUCTURA FIN'!H18</f>
        <v>276774.85000000003</v>
      </c>
      <c r="F112" s="469">
        <f>'ESTRUCTURA FIN'!I18</f>
        <v>32639.850000000035</v>
      </c>
      <c r="G112" s="469">
        <f>'ESTRUCTURA FIN'!J18</f>
        <v>100342</v>
      </c>
      <c r="H112" s="469">
        <f>'ESTRUCTURA FIN'!K18</f>
        <v>143793</v>
      </c>
      <c r="I112" s="11"/>
      <c r="J112" s="469"/>
      <c r="K112" s="469"/>
      <c r="L112" s="469"/>
      <c r="M112" s="469"/>
      <c r="N112" s="469">
        <f>'CRONOG VALORIZADO DE OBRA'!G15+'CRONOG VALORIZADO DE OBRA'!G21+N49</f>
        <v>0</v>
      </c>
      <c r="O112" s="469">
        <f>'CRONOG VALORIZADO DE OBRA'!H15+'CRONOG VALORIZADO DE OBRA'!H21+O49</f>
        <v>0</v>
      </c>
      <c r="P112" s="469">
        <f>'CRONOG VALORIZADO DE OBRA'!I15+'CRONOG VALORIZADO DE OBRA'!I21+P49</f>
        <v>0</v>
      </c>
      <c r="Q112" s="469">
        <f>'CRONOG VALORIZADO DE OBRA'!J15+'CRONOG VALORIZADO DE OBRA'!J21+Q49</f>
        <v>0</v>
      </c>
      <c r="R112" s="469">
        <f>'CRONOG VALORIZADO DE OBRA'!K15+'CRONOG VALORIZADO DE OBRA'!K21+R49</f>
        <v>0</v>
      </c>
      <c r="S112" s="469">
        <f>'CRONOG VALORIZADO DE OBRA'!L15+'CRONOG VALORIZADO DE OBRA'!L21+S49</f>
        <v>0</v>
      </c>
      <c r="T112" s="469">
        <f>'CRONOG VALORIZADO DE OBRA'!M15+'CRONOG VALORIZADO DE OBRA'!M21+T49</f>
        <v>0</v>
      </c>
      <c r="U112" s="469">
        <f>'CRONOG VALORIZADO DE OBRA'!N15+'CRONOG VALORIZADO DE OBRA'!N21+U49</f>
        <v>7051.6125000000002</v>
      </c>
      <c r="V112" s="469">
        <f>'CRONOG VALORIZADO DE OBRA'!O15+'CRONOG VALORIZADO DE OBRA'!O21+V49</f>
        <v>7051.6125000000002</v>
      </c>
      <c r="W112" s="469">
        <f>'CRONOG VALORIZADO DE OBRA'!P15+'CRONOG VALORIZADO DE OBRA'!P21+W49</f>
        <v>7051.6125000000002</v>
      </c>
      <c r="X112" s="469">
        <f>'CRONOG VALORIZADO DE OBRA'!Q15+'CRONOG VALORIZADO DE OBRA'!Q21+X49</f>
        <v>29327.452500000003</v>
      </c>
      <c r="Y112" s="469">
        <f>'CRONOG VALORIZADO DE OBRA'!R15+'CRONOG VALORIZADO DE OBRA'!R21+Y49</f>
        <v>22275.840000000004</v>
      </c>
      <c r="Z112" s="469">
        <f>'CRONOG VALORIZADO DE OBRA'!S15+'CRONOG VALORIZADO DE OBRA'!S21+Z49</f>
        <v>22275.840000000004</v>
      </c>
      <c r="AA112" s="469">
        <f>'CRONOG VALORIZADO DE OBRA'!T15+'CRONOG VALORIZADO DE OBRA'!T21+AA49</f>
        <v>22275.840000000004</v>
      </c>
      <c r="AB112" s="469">
        <f>'CRONOG VALORIZADO DE OBRA'!U15+'CRONOG VALORIZADO DE OBRA'!U21+AB49</f>
        <v>22275.840000000004</v>
      </c>
      <c r="AC112" s="469">
        <f>'CRONOG VALORIZADO DE OBRA'!V15+'CRONOG VALORIZADO DE OBRA'!V21+AC49</f>
        <v>22275.840000000004</v>
      </c>
      <c r="AD112" s="469">
        <f>'CRONOG VALORIZADO DE OBRA'!W15+'CRONOG VALORIZADO DE OBRA'!W21+AD49</f>
        <v>22275.840000000004</v>
      </c>
      <c r="AE112" s="469">
        <f>'CRONOG VALORIZADO DE OBRA'!X15+'CRONOG VALORIZADO DE OBRA'!X21+AE49</f>
        <v>22275.840000000004</v>
      </c>
      <c r="AF112" s="469">
        <f>'CRONOG VALORIZADO DE OBRA'!Y15+'CRONOG VALORIZADO DE OBRA'!Y21+AF49</f>
        <v>22275.840000000004</v>
      </c>
      <c r="AG112" s="469">
        <f>'CRONOG VALORIZADO DE OBRA'!Z15+'CRONOG VALORIZADO DE OBRA'!Z21+AG49</f>
        <v>22275.840000000004</v>
      </c>
      <c r="AH112" s="469">
        <f>'CRONOG VALORIZADO DE OBRA'!AA15+'CRONOG VALORIZADO DE OBRA'!AA21+AH49</f>
        <v>12905</v>
      </c>
      <c r="AI112" s="469">
        <f>AI49</f>
        <v>12905</v>
      </c>
      <c r="AJ112" s="469"/>
      <c r="AK112" s="469"/>
      <c r="AL112" s="469"/>
      <c r="AM112" s="469"/>
      <c r="AN112" s="469"/>
      <c r="AO112" s="469">
        <f t="shared" si="126"/>
        <v>276774.84999999998</v>
      </c>
      <c r="AP112" s="11"/>
    </row>
    <row r="113" spans="2:42">
      <c r="B113" s="998" t="str">
        <f>'ESTRUCTURA FIN'!B19</f>
        <v>Implementación ACI</v>
      </c>
      <c r="E113" s="469">
        <f>'ESTRUCTURA FIN'!H19</f>
        <v>75217.2</v>
      </c>
      <c r="F113" s="469">
        <f>'ESTRUCTURA FIN'!I19</f>
        <v>-12807.800000000003</v>
      </c>
      <c r="G113" s="469">
        <f>'ESTRUCTURA FIN'!J19</f>
        <v>36179</v>
      </c>
      <c r="H113" s="469">
        <f>'ESTRUCTURA FIN'!K19</f>
        <v>51846</v>
      </c>
      <c r="I113" s="11"/>
      <c r="J113" s="469"/>
      <c r="K113" s="469"/>
      <c r="L113" s="469"/>
      <c r="M113" s="469"/>
      <c r="N113" s="469">
        <f>'CRONOG VALORIZADO DE OBRA'!G22</f>
        <v>0</v>
      </c>
      <c r="O113" s="469">
        <f>'CRONOG VALORIZADO DE OBRA'!H22</f>
        <v>0</v>
      </c>
      <c r="P113" s="469">
        <f>'CRONOG VALORIZADO DE OBRA'!I22</f>
        <v>0</v>
      </c>
      <c r="Q113" s="469">
        <f>'CRONOG VALORIZADO DE OBRA'!J22</f>
        <v>0</v>
      </c>
      <c r="R113" s="469">
        <f>'CRONOG VALORIZADO DE OBRA'!K22</f>
        <v>0</v>
      </c>
      <c r="S113" s="469">
        <f>'CRONOG VALORIZADO DE OBRA'!L22</f>
        <v>0</v>
      </c>
      <c r="T113" s="469">
        <f>'CRONOG VALORIZADO DE OBRA'!M22</f>
        <v>0</v>
      </c>
      <c r="U113" s="469">
        <f>'CRONOG VALORIZADO DE OBRA'!N22</f>
        <v>0</v>
      </c>
      <c r="V113" s="469">
        <f>'CRONOG VALORIZADO DE OBRA'!O22</f>
        <v>0</v>
      </c>
      <c r="W113" s="469">
        <f>'CRONOG VALORIZADO DE OBRA'!P22</f>
        <v>0</v>
      </c>
      <c r="X113" s="469">
        <f>'CRONOG VALORIZADO DE OBRA'!Q22</f>
        <v>9402.15</v>
      </c>
      <c r="Y113" s="469">
        <f>'CRONOG VALORIZADO DE OBRA'!R22</f>
        <v>9402.15</v>
      </c>
      <c r="Z113" s="469">
        <f>'CRONOG VALORIZADO DE OBRA'!S22</f>
        <v>9402.15</v>
      </c>
      <c r="AA113" s="469">
        <f>'CRONOG VALORIZADO DE OBRA'!T22</f>
        <v>9402.15</v>
      </c>
      <c r="AB113" s="469">
        <f>'CRONOG VALORIZADO DE OBRA'!U22</f>
        <v>9402.15</v>
      </c>
      <c r="AC113" s="469">
        <f>'CRONOG VALORIZADO DE OBRA'!V22</f>
        <v>9402.15</v>
      </c>
      <c r="AD113" s="469">
        <f>'CRONOG VALORIZADO DE OBRA'!W22</f>
        <v>9402.15</v>
      </c>
      <c r="AE113" s="469">
        <f>'CRONOG VALORIZADO DE OBRA'!X22</f>
        <v>9402.15</v>
      </c>
      <c r="AF113" s="469">
        <f>'CRONOG VALORIZADO DE OBRA'!Y22</f>
        <v>0</v>
      </c>
      <c r="AG113" s="469">
        <f>'CRONOG VALORIZADO DE OBRA'!Z22</f>
        <v>0</v>
      </c>
      <c r="AH113" s="469"/>
      <c r="AI113" s="469"/>
      <c r="AJ113" s="469"/>
      <c r="AK113" s="469"/>
      <c r="AL113" s="469"/>
      <c r="AM113" s="469"/>
      <c r="AN113" s="469"/>
      <c r="AO113" s="469">
        <f t="shared" si="126"/>
        <v>75217.2</v>
      </c>
      <c r="AP113" s="11"/>
    </row>
    <row r="114" spans="2:42">
      <c r="B114" s="998" t="str">
        <f>'ESTRUCTURA FIN'!B20</f>
        <v>Equipamiento</v>
      </c>
      <c r="E114" s="469">
        <f>'ESTRUCTURA FIN'!H20</f>
        <v>121000</v>
      </c>
      <c r="F114" s="469">
        <f>'ESTRUCTURA FIN'!I20</f>
        <v>0</v>
      </c>
      <c r="G114" s="469">
        <f>'ESTRUCTURA FIN'!J20</f>
        <v>49732</v>
      </c>
      <c r="H114" s="469">
        <f>'ESTRUCTURA FIN'!K20</f>
        <v>71268</v>
      </c>
      <c r="I114" s="11"/>
      <c r="J114" s="469"/>
      <c r="K114" s="469"/>
      <c r="L114" s="469"/>
      <c r="M114" s="469"/>
      <c r="N114" s="469">
        <f>'CRONOG VALORIZADO DE OBRA'!G23</f>
        <v>0</v>
      </c>
      <c r="O114" s="469">
        <f>'CRONOG VALORIZADO DE OBRA'!H23</f>
        <v>0</v>
      </c>
      <c r="P114" s="469">
        <f>'CRONOG VALORIZADO DE OBRA'!I23</f>
        <v>0</v>
      </c>
      <c r="Q114" s="469">
        <f>'CRONOG VALORIZADO DE OBRA'!J23</f>
        <v>0</v>
      </c>
      <c r="R114" s="469">
        <f>'CRONOG VALORIZADO DE OBRA'!K23</f>
        <v>0</v>
      </c>
      <c r="S114" s="469">
        <f>'CRONOG VALORIZADO DE OBRA'!L23</f>
        <v>0</v>
      </c>
      <c r="T114" s="469">
        <f>'CRONOG VALORIZADO DE OBRA'!M23</f>
        <v>0</v>
      </c>
      <c r="U114" s="469">
        <f>'CRONOG VALORIZADO DE OBRA'!N23</f>
        <v>19200</v>
      </c>
      <c r="V114" s="469">
        <f>'CRONOG VALORIZADO DE OBRA'!O23</f>
        <v>0</v>
      </c>
      <c r="W114" s="469">
        <f>'CRONOG VALORIZADO DE OBRA'!P23</f>
        <v>0</v>
      </c>
      <c r="X114" s="469">
        <f>'CRONOG VALORIZADO DE OBRA'!Q23</f>
        <v>19200</v>
      </c>
      <c r="Y114" s="469">
        <f>'CRONOG VALORIZADO DE OBRA'!R23</f>
        <v>0</v>
      </c>
      <c r="Z114" s="469">
        <f>'CRONOG VALORIZADO DE OBRA'!S23</f>
        <v>0</v>
      </c>
      <c r="AA114" s="469">
        <f>'CRONOG VALORIZADO DE OBRA'!T23</f>
        <v>0</v>
      </c>
      <c r="AB114" s="469">
        <f>'CRONOG VALORIZADO DE OBRA'!U23</f>
        <v>0</v>
      </c>
      <c r="AC114" s="469">
        <f>'CRONOG VALORIZADO DE OBRA'!V23</f>
        <v>0</v>
      </c>
      <c r="AD114" s="469">
        <f>'CRONOG VALORIZADO DE OBRA'!W23</f>
        <v>60500</v>
      </c>
      <c r="AE114" s="469">
        <f>'CRONOG VALORIZADO DE OBRA'!X23</f>
        <v>0</v>
      </c>
      <c r="AF114" s="469">
        <f>'CRONOG VALORIZADO DE OBRA'!Y23</f>
        <v>0</v>
      </c>
      <c r="AG114" s="469">
        <f>'CRONOG VALORIZADO DE OBRA'!Z23</f>
        <v>22100</v>
      </c>
      <c r="AH114" s="469"/>
      <c r="AI114" s="469"/>
      <c r="AJ114" s="469"/>
      <c r="AK114" s="469"/>
      <c r="AL114" s="469"/>
      <c r="AM114" s="469"/>
      <c r="AN114" s="469"/>
      <c r="AO114" s="469">
        <f t="shared" si="126"/>
        <v>121000</v>
      </c>
      <c r="AP114" s="11"/>
    </row>
    <row r="115" spans="2:42">
      <c r="B115" s="998" t="str">
        <f>'ESTRUCTURA FIN'!B21</f>
        <v>Gastos Generales</v>
      </c>
      <c r="E115" s="469">
        <f>'ESTRUCTURA FIN'!H21</f>
        <v>210218.89559999999</v>
      </c>
      <c r="F115" s="469">
        <f>'ESTRUCTURA FIN'!I21</f>
        <v>7685.8955999999889</v>
      </c>
      <c r="G115" s="469">
        <f>'ESTRUCTURA FIN'!J21</f>
        <v>83243</v>
      </c>
      <c r="H115" s="469">
        <f>'ESTRUCTURA FIN'!K21</f>
        <v>119290</v>
      </c>
      <c r="I115" s="11"/>
      <c r="J115" s="469"/>
      <c r="K115" s="469"/>
      <c r="L115" s="469"/>
      <c r="M115" s="469"/>
      <c r="N115" s="469">
        <f>'CRONOG VALORIZADO DE OBRA'!G30</f>
        <v>90</v>
      </c>
      <c r="O115" s="469">
        <f>'CRONOG VALORIZADO DE OBRA'!H30</f>
        <v>90</v>
      </c>
      <c r="P115" s="469">
        <f>'CRONOG VALORIZADO DE OBRA'!I30</f>
        <v>0</v>
      </c>
      <c r="Q115" s="469">
        <f>'CRONOG VALORIZADO DE OBRA'!J30</f>
        <v>0</v>
      </c>
      <c r="R115" s="469">
        <f>'CRONOG VALORIZADO DE OBRA'!K30</f>
        <v>0</v>
      </c>
      <c r="S115" s="469">
        <f>'CRONOG VALORIZADO DE OBRA'!L30</f>
        <v>0</v>
      </c>
      <c r="T115" s="469">
        <f>'CRONOG VALORIZADO DE OBRA'!M30</f>
        <v>2147.5832</v>
      </c>
      <c r="U115" s="469">
        <f>'CRONOG VALORIZADO DE OBRA'!N30</f>
        <v>10539.2387</v>
      </c>
      <c r="V115" s="469">
        <f>'CRONOG VALORIZADO DE OBRA'!O30</f>
        <v>9387.2386999999999</v>
      </c>
      <c r="W115" s="469">
        <f>'CRONOG VALORIZADO DE OBRA'!P30</f>
        <v>7239.6555000000008</v>
      </c>
      <c r="X115" s="469">
        <f>'CRONOG VALORIZADO DE OBRA'!Q30</f>
        <v>17635.640899999999</v>
      </c>
      <c r="Y115" s="469">
        <f>'CRONOG VALORIZADO DE OBRA'!R30</f>
        <v>15637.447400000001</v>
      </c>
      <c r="Z115" s="469">
        <f>'CRONOG VALORIZADO DE OBRA'!S30</f>
        <v>17329.8344</v>
      </c>
      <c r="AA115" s="469">
        <f>'CRONOG VALORIZADO DE OBRA'!T30</f>
        <v>17329.8344</v>
      </c>
      <c r="AB115" s="469">
        <f>'CRONOG VALORIZADO DE OBRA'!U30</f>
        <v>26148.007400000002</v>
      </c>
      <c r="AC115" s="469">
        <f>'CRONOG VALORIZADO DE OBRA'!V30</f>
        <v>26148.007400000002</v>
      </c>
      <c r="AD115" s="469">
        <f>'CRONOG VALORIZADO DE OBRA'!W30</f>
        <v>18439.3014</v>
      </c>
      <c r="AE115" s="469">
        <f>'CRONOG VALORIZADO DE OBRA'!X30</f>
        <v>14809.3014</v>
      </c>
      <c r="AF115" s="469">
        <f>'CRONOG VALORIZADO DE OBRA'!Y30</f>
        <v>12960.902400000001</v>
      </c>
      <c r="AG115" s="469">
        <f>'CRONOG VALORIZADO DE OBRA'!Z30</f>
        <v>14286.902400000001</v>
      </c>
      <c r="AH115" s="469"/>
      <c r="AI115" s="469"/>
      <c r="AJ115" s="469"/>
      <c r="AK115" s="469"/>
      <c r="AL115" s="469"/>
      <c r="AM115" s="469"/>
      <c r="AN115" s="469"/>
      <c r="AO115" s="469">
        <f t="shared" si="126"/>
        <v>210218.89559999996</v>
      </c>
      <c r="AP115" s="11"/>
    </row>
    <row r="116" spans="2:42">
      <c r="B116" s="998" t="str">
        <f>'ESTRUCTURA FIN'!B22</f>
        <v>Utilidad y Honorarios</v>
      </c>
      <c r="E116" s="469">
        <f>'ESTRUCTURA FIN'!H22</f>
        <v>210218.89559999999</v>
      </c>
      <c r="F116" s="469">
        <f>'ESTRUCTURA FIN'!I22</f>
        <v>7685.8955999999889</v>
      </c>
      <c r="G116" s="469">
        <f>'ESTRUCTURA FIN'!J22</f>
        <v>83243</v>
      </c>
      <c r="H116" s="469">
        <f>'ESTRUCTURA FIN'!K22</f>
        <v>119290</v>
      </c>
      <c r="I116" s="11"/>
      <c r="J116" s="469"/>
      <c r="K116" s="469"/>
      <c r="L116" s="469"/>
      <c r="M116" s="469"/>
      <c r="N116" s="469">
        <f>'CRONOG VALORIZADO DE OBRA'!G31</f>
        <v>90</v>
      </c>
      <c r="O116" s="469">
        <f>'CRONOG VALORIZADO DE OBRA'!H31</f>
        <v>90</v>
      </c>
      <c r="P116" s="469">
        <f>'CRONOG VALORIZADO DE OBRA'!I31</f>
        <v>0</v>
      </c>
      <c r="Q116" s="469">
        <f>'CRONOG VALORIZADO DE OBRA'!J31</f>
        <v>0</v>
      </c>
      <c r="R116" s="469">
        <f>'CRONOG VALORIZADO DE OBRA'!K31</f>
        <v>0</v>
      </c>
      <c r="S116" s="469">
        <f>'CRONOG VALORIZADO DE OBRA'!L31</f>
        <v>0</v>
      </c>
      <c r="T116" s="469">
        <f>'CRONOG VALORIZADO DE OBRA'!M31</f>
        <v>2147.5832</v>
      </c>
      <c r="U116" s="469">
        <f>'CRONOG VALORIZADO DE OBRA'!N31</f>
        <v>10539.2387</v>
      </c>
      <c r="V116" s="469">
        <f>'CRONOG VALORIZADO DE OBRA'!O31</f>
        <v>9387.2386999999999</v>
      </c>
      <c r="W116" s="469">
        <f>'CRONOG VALORIZADO DE OBRA'!P31</f>
        <v>7239.6555000000008</v>
      </c>
      <c r="X116" s="469">
        <f>'CRONOG VALORIZADO DE OBRA'!Q31</f>
        <v>17635.640899999999</v>
      </c>
      <c r="Y116" s="469">
        <f>'CRONOG VALORIZADO DE OBRA'!R31</f>
        <v>15637.447400000001</v>
      </c>
      <c r="Z116" s="469">
        <f>'CRONOG VALORIZADO DE OBRA'!S31</f>
        <v>17329.8344</v>
      </c>
      <c r="AA116" s="469">
        <f>'CRONOG VALORIZADO DE OBRA'!T31</f>
        <v>17329.8344</v>
      </c>
      <c r="AB116" s="469">
        <f>'CRONOG VALORIZADO DE OBRA'!U31</f>
        <v>26148.007400000002</v>
      </c>
      <c r="AC116" s="469">
        <f>'CRONOG VALORIZADO DE OBRA'!V31</f>
        <v>26148.007400000002</v>
      </c>
      <c r="AD116" s="469">
        <f>'CRONOG VALORIZADO DE OBRA'!W31</f>
        <v>18439.3014</v>
      </c>
      <c r="AE116" s="469">
        <f>'CRONOG VALORIZADO DE OBRA'!X31</f>
        <v>14809.3014</v>
      </c>
      <c r="AF116" s="469">
        <f>'CRONOG VALORIZADO DE OBRA'!Y31</f>
        <v>12960.902400000001</v>
      </c>
      <c r="AG116" s="469">
        <f>'CRONOG VALORIZADO DE OBRA'!Z31</f>
        <v>14286.902400000001</v>
      </c>
      <c r="AH116" s="469"/>
      <c r="AI116" s="469"/>
      <c r="AJ116" s="469"/>
      <c r="AK116" s="469"/>
      <c r="AL116" s="469"/>
      <c r="AM116" s="469"/>
      <c r="AN116" s="469"/>
      <c r="AO116" s="469">
        <f t="shared" si="126"/>
        <v>210218.89559999996</v>
      </c>
      <c r="AP116" s="11"/>
    </row>
    <row r="117" spans="2:42">
      <c r="B117" s="998" t="str">
        <f>'ESTRUCTURA FIN'!B23</f>
        <v>IGV de la Constructora</v>
      </c>
      <c r="E117" s="469">
        <f>'ESTRUCTURA FIN'!H23</f>
        <v>713322.6025895999</v>
      </c>
      <c r="F117" s="469">
        <f>'ESTRUCTURA FIN'!I23</f>
        <v>32808.602589599905</v>
      </c>
      <c r="G117" s="469">
        <f>'ESTRUCTURA FIN'!J23</f>
        <v>279698</v>
      </c>
      <c r="H117" s="469">
        <f>'ESTRUCTURA FIN'!K23</f>
        <v>400816</v>
      </c>
      <c r="I117" s="11"/>
      <c r="J117" s="469"/>
      <c r="K117" s="469"/>
      <c r="L117" s="469"/>
      <c r="M117" s="469"/>
      <c r="N117" s="469">
        <f>N51</f>
        <v>302.39999999999998</v>
      </c>
      <c r="O117" s="469">
        <f t="shared" ref="O117:AA117" si="127">O51</f>
        <v>302.39999999999998</v>
      </c>
      <c r="P117" s="469">
        <f t="shared" si="127"/>
        <v>0</v>
      </c>
      <c r="Q117" s="469">
        <f t="shared" si="127"/>
        <v>0</v>
      </c>
      <c r="R117" s="469">
        <f t="shared" si="127"/>
        <v>0</v>
      </c>
      <c r="S117" s="469">
        <f t="shared" si="127"/>
        <v>1261.3133736000002</v>
      </c>
      <c r="T117" s="469">
        <f t="shared" si="127"/>
        <v>7215.8795520000003</v>
      </c>
      <c r="U117" s="469">
        <f t="shared" si="127"/>
        <v>35411.842031999993</v>
      </c>
      <c r="V117" s="469">
        <f t="shared" si="127"/>
        <v>31541.122031999996</v>
      </c>
      <c r="W117" s="469">
        <f t="shared" si="127"/>
        <v>24325.242480000001</v>
      </c>
      <c r="X117" s="469">
        <f t="shared" si="127"/>
        <v>59255.753423999995</v>
      </c>
      <c r="Y117" s="469">
        <f t="shared" si="127"/>
        <v>52541.823264000006</v>
      </c>
      <c r="Z117" s="469">
        <f t="shared" si="127"/>
        <v>58228.243584000003</v>
      </c>
      <c r="AA117" s="469">
        <f t="shared" si="127"/>
        <v>58228.243584000003</v>
      </c>
      <c r="AB117" s="469">
        <f t="shared" ref="AB117:AI117" si="128">AB51</f>
        <v>87857.304864000005</v>
      </c>
      <c r="AC117" s="469">
        <f t="shared" si="128"/>
        <v>87857.304864000005</v>
      </c>
      <c r="AD117" s="469">
        <f t="shared" si="128"/>
        <v>61956.052703999994</v>
      </c>
      <c r="AE117" s="469">
        <f t="shared" si="128"/>
        <v>49759.252703999999</v>
      </c>
      <c r="AF117" s="469">
        <f t="shared" si="128"/>
        <v>43548.632063999998</v>
      </c>
      <c r="AG117" s="469">
        <f t="shared" si="128"/>
        <v>48003.992064000005</v>
      </c>
      <c r="AH117" s="469">
        <f t="shared" si="128"/>
        <v>2862.9</v>
      </c>
      <c r="AI117" s="469">
        <f t="shared" si="128"/>
        <v>2862.9</v>
      </c>
      <c r="AJ117" s="469"/>
      <c r="AK117" s="469"/>
      <c r="AL117" s="469"/>
      <c r="AM117" s="469"/>
      <c r="AN117" s="469"/>
      <c r="AO117" s="469">
        <f t="shared" si="126"/>
        <v>713322.60258960002</v>
      </c>
      <c r="AP117" s="11"/>
    </row>
    <row r="118" spans="2:42" ht="13.5" thickBot="1">
      <c r="B118" s="999" t="str">
        <f>'ESTRUCTURA FIN'!B24</f>
        <v>Instalación de Poliza CAR</v>
      </c>
      <c r="E118" s="679">
        <f>'ESTRUCTURA FIN'!H24</f>
        <v>7007.2965200000008</v>
      </c>
      <c r="F118" s="679">
        <f>'ESTRUCTURA FIN'!I24</f>
        <v>7007.2965200000008</v>
      </c>
      <c r="G118" s="679">
        <f>'ESTRUCTURA FIN'!J24</f>
        <v>0</v>
      </c>
      <c r="H118" s="679">
        <f>'ESTRUCTURA FIN'!K24</f>
        <v>0</v>
      </c>
      <c r="I118" s="11"/>
      <c r="J118" s="679"/>
      <c r="K118" s="679"/>
      <c r="L118" s="679"/>
      <c r="M118" s="679"/>
      <c r="N118" s="679">
        <f>N47</f>
        <v>0</v>
      </c>
      <c r="O118" s="679">
        <f t="shared" ref="O118:AA118" si="129">O47</f>
        <v>0</v>
      </c>
      <c r="P118" s="679">
        <f t="shared" si="129"/>
        <v>0</v>
      </c>
      <c r="Q118" s="679">
        <f t="shared" si="129"/>
        <v>0</v>
      </c>
      <c r="R118" s="679">
        <f t="shared" si="129"/>
        <v>0</v>
      </c>
      <c r="S118" s="679">
        <f t="shared" si="129"/>
        <v>7007.2965200000008</v>
      </c>
      <c r="T118" s="679">
        <f t="shared" si="129"/>
        <v>0</v>
      </c>
      <c r="U118" s="679">
        <f t="shared" si="129"/>
        <v>0</v>
      </c>
      <c r="V118" s="679">
        <f t="shared" si="129"/>
        <v>0</v>
      </c>
      <c r="W118" s="679">
        <f t="shared" si="129"/>
        <v>0</v>
      </c>
      <c r="X118" s="679">
        <f t="shared" si="129"/>
        <v>0</v>
      </c>
      <c r="Y118" s="679">
        <f t="shared" si="129"/>
        <v>0</v>
      </c>
      <c r="Z118" s="679">
        <f t="shared" si="129"/>
        <v>0</v>
      </c>
      <c r="AA118" s="679">
        <f t="shared" si="129"/>
        <v>0</v>
      </c>
      <c r="AB118" s="679">
        <f t="shared" ref="AB118:AG118" si="130">AB47</f>
        <v>0</v>
      </c>
      <c r="AC118" s="679">
        <f t="shared" si="130"/>
        <v>0</v>
      </c>
      <c r="AD118" s="679">
        <f t="shared" si="130"/>
        <v>0</v>
      </c>
      <c r="AE118" s="679">
        <f t="shared" si="130"/>
        <v>0</v>
      </c>
      <c r="AF118" s="679">
        <f t="shared" si="130"/>
        <v>0</v>
      </c>
      <c r="AG118" s="679">
        <f t="shared" si="130"/>
        <v>0</v>
      </c>
      <c r="AH118" s="679"/>
      <c r="AI118" s="679"/>
      <c r="AJ118" s="679"/>
      <c r="AK118" s="679"/>
      <c r="AL118" s="679"/>
      <c r="AM118" s="679"/>
      <c r="AN118" s="679"/>
      <c r="AO118" s="679">
        <f t="shared" si="126"/>
        <v>7007.2965200000008</v>
      </c>
      <c r="AP118" s="11"/>
    </row>
    <row r="119" spans="2:42">
      <c r="B119" s="1000" t="str">
        <f>'ESTRUCTURA FIN'!B25</f>
        <v>COSTOS INDIRECTOS</v>
      </c>
      <c r="E119" s="908">
        <f>'ESTRUCTURA FIN'!H25</f>
        <v>490971.14674411708</v>
      </c>
      <c r="F119" s="908">
        <f>'ESTRUCTURA FIN'!I25</f>
        <v>455971.14674411708</v>
      </c>
      <c r="G119" s="908">
        <f>'ESTRUCTURA FIN'!J25</f>
        <v>0</v>
      </c>
      <c r="H119" s="684">
        <f>'ESTRUCTURA FIN'!K25</f>
        <v>35000</v>
      </c>
      <c r="I119" s="11"/>
      <c r="J119" s="684">
        <f>SUM(J120:J124)</f>
        <v>5122.2951200000007</v>
      </c>
      <c r="K119" s="684">
        <f t="shared" ref="K119:AN119" si="131">SUM(K120:K124)</f>
        <v>25085.737800000003</v>
      </c>
      <c r="L119" s="684">
        <f t="shared" si="131"/>
        <v>15507.442680000002</v>
      </c>
      <c r="M119" s="684">
        <f t="shared" si="131"/>
        <v>22201.776013333332</v>
      </c>
      <c r="N119" s="684">
        <f t="shared" si="131"/>
        <v>18532.66402</v>
      </c>
      <c r="O119" s="684">
        <f t="shared" si="131"/>
        <v>17124.784</v>
      </c>
      <c r="P119" s="684">
        <f t="shared" si="131"/>
        <v>57064.440033333332</v>
      </c>
      <c r="Q119" s="684">
        <f t="shared" si="131"/>
        <v>9300</v>
      </c>
      <c r="R119" s="684">
        <f t="shared" si="131"/>
        <v>9300</v>
      </c>
      <c r="S119" s="684">
        <f t="shared" si="131"/>
        <v>48430</v>
      </c>
      <c r="T119" s="684">
        <f t="shared" si="131"/>
        <v>9772</v>
      </c>
      <c r="U119" s="684">
        <f t="shared" si="131"/>
        <v>9772</v>
      </c>
      <c r="V119" s="684">
        <f t="shared" si="131"/>
        <v>14295.333333333332</v>
      </c>
      <c r="W119" s="684">
        <f t="shared" si="131"/>
        <v>9772</v>
      </c>
      <c r="X119" s="684">
        <f t="shared" si="131"/>
        <v>9772</v>
      </c>
      <c r="Y119" s="684">
        <f t="shared" si="131"/>
        <v>9772</v>
      </c>
      <c r="Z119" s="684">
        <f t="shared" si="131"/>
        <v>9772</v>
      </c>
      <c r="AA119" s="684">
        <f t="shared" si="131"/>
        <v>13902</v>
      </c>
      <c r="AB119" s="684">
        <f t="shared" si="131"/>
        <v>11935.333333333332</v>
      </c>
      <c r="AC119" s="684">
        <f t="shared" si="131"/>
        <v>10362</v>
      </c>
      <c r="AD119" s="684">
        <f t="shared" si="131"/>
        <v>9772</v>
      </c>
      <c r="AE119" s="684">
        <f t="shared" si="131"/>
        <v>11935.333333333332</v>
      </c>
      <c r="AF119" s="684">
        <f t="shared" si="131"/>
        <v>20672</v>
      </c>
      <c r="AG119" s="684">
        <f t="shared" si="131"/>
        <v>17935.333333333332</v>
      </c>
      <c r="AH119" s="684">
        <f t="shared" si="131"/>
        <v>13772</v>
      </c>
      <c r="AI119" s="684">
        <f t="shared" si="131"/>
        <v>79088.673744117099</v>
      </c>
      <c r="AJ119" s="684">
        <f t="shared" si="131"/>
        <v>1000</v>
      </c>
      <c r="AK119" s="684">
        <f t="shared" si="131"/>
        <v>0</v>
      </c>
      <c r="AL119" s="684">
        <f t="shared" si="131"/>
        <v>0</v>
      </c>
      <c r="AM119" s="684">
        <f t="shared" si="131"/>
        <v>0</v>
      </c>
      <c r="AN119" s="684">
        <f t="shared" si="131"/>
        <v>0</v>
      </c>
      <c r="AO119" s="684">
        <f t="shared" si="126"/>
        <v>490971.14674411702</v>
      </c>
      <c r="AP119" s="11"/>
    </row>
    <row r="120" spans="2:42">
      <c r="B120" s="998" t="str">
        <f>'ESTRUCTURA FIN'!B26</f>
        <v>Honorarios de Diseño Proyecto</v>
      </c>
      <c r="E120" s="469">
        <f>'ESTRUCTURA FIN'!H26</f>
        <v>59623.689000000006</v>
      </c>
      <c r="F120" s="469">
        <f>'ESTRUCTURA FIN'!I26</f>
        <v>59623.689000000006</v>
      </c>
      <c r="G120" s="469">
        <f>'ESTRUCTURA FIN'!J26</f>
        <v>0</v>
      </c>
      <c r="H120" s="469">
        <f>'ESTRUCTURA FIN'!K26</f>
        <v>0</v>
      </c>
      <c r="I120" s="11"/>
      <c r="J120" s="469">
        <f>J24+J25</f>
        <v>4982.2951200000007</v>
      </c>
      <c r="K120" s="469">
        <f t="shared" ref="K120:AN120" si="132">K24+K25</f>
        <v>15110.737800000001</v>
      </c>
      <c r="L120" s="469">
        <f t="shared" si="132"/>
        <v>6588.4426800000019</v>
      </c>
      <c r="M120" s="469">
        <f t="shared" si="132"/>
        <v>6588.4426800000001</v>
      </c>
      <c r="N120" s="469">
        <f t="shared" si="132"/>
        <v>9882.6640200000002</v>
      </c>
      <c r="O120" s="469">
        <f t="shared" si="132"/>
        <v>0</v>
      </c>
      <c r="P120" s="469">
        <f t="shared" si="132"/>
        <v>16471.1067</v>
      </c>
      <c r="Q120" s="469">
        <f t="shared" si="132"/>
        <v>0</v>
      </c>
      <c r="R120" s="469">
        <f t="shared" si="132"/>
        <v>0</v>
      </c>
      <c r="S120" s="469">
        <f t="shared" si="132"/>
        <v>0</v>
      </c>
      <c r="T120" s="469">
        <f t="shared" si="132"/>
        <v>0</v>
      </c>
      <c r="U120" s="469">
        <f t="shared" si="132"/>
        <v>0</v>
      </c>
      <c r="V120" s="469">
        <f t="shared" si="132"/>
        <v>0</v>
      </c>
      <c r="W120" s="469">
        <f t="shared" si="132"/>
        <v>0</v>
      </c>
      <c r="X120" s="469">
        <f t="shared" si="132"/>
        <v>0</v>
      </c>
      <c r="Y120" s="469">
        <f t="shared" si="132"/>
        <v>0</v>
      </c>
      <c r="Z120" s="469">
        <f t="shared" si="132"/>
        <v>0</v>
      </c>
      <c r="AA120" s="469">
        <f t="shared" si="132"/>
        <v>0</v>
      </c>
      <c r="AB120" s="469">
        <f t="shared" si="132"/>
        <v>0</v>
      </c>
      <c r="AC120" s="469">
        <f t="shared" si="132"/>
        <v>0</v>
      </c>
      <c r="AD120" s="469">
        <f t="shared" si="132"/>
        <v>0</v>
      </c>
      <c r="AE120" s="469">
        <f t="shared" si="132"/>
        <v>0</v>
      </c>
      <c r="AF120" s="469">
        <f t="shared" si="132"/>
        <v>0</v>
      </c>
      <c r="AG120" s="469">
        <f t="shared" si="132"/>
        <v>0</v>
      </c>
      <c r="AH120" s="469">
        <f t="shared" si="132"/>
        <v>0</v>
      </c>
      <c r="AI120" s="469">
        <f t="shared" si="132"/>
        <v>0</v>
      </c>
      <c r="AJ120" s="469">
        <f t="shared" si="132"/>
        <v>0</v>
      </c>
      <c r="AK120" s="469">
        <f t="shared" si="132"/>
        <v>0</v>
      </c>
      <c r="AL120" s="469">
        <f t="shared" si="132"/>
        <v>0</v>
      </c>
      <c r="AM120" s="469">
        <f t="shared" si="132"/>
        <v>0</v>
      </c>
      <c r="AN120" s="469">
        <f t="shared" si="132"/>
        <v>0</v>
      </c>
      <c r="AO120" s="469">
        <f t="shared" si="126"/>
        <v>59623.689000000013</v>
      </c>
      <c r="AP120" s="11"/>
    </row>
    <row r="121" spans="2:42">
      <c r="B121" s="998" t="str">
        <f>'ESTRUCTURA FIN'!B27</f>
        <v>Gastos Legales Notariales, Municipales y Titulación</v>
      </c>
      <c r="E121" s="469">
        <f>'ESTRUCTURA FIN'!H27</f>
        <v>72514.784</v>
      </c>
      <c r="F121" s="469">
        <f>'ESTRUCTURA FIN'!I27</f>
        <v>72514.784</v>
      </c>
      <c r="G121" s="469">
        <f>'ESTRUCTURA FIN'!J27</f>
        <v>0</v>
      </c>
      <c r="H121" s="469">
        <f>'ESTRUCTURA FIN'!K27</f>
        <v>0</v>
      </c>
      <c r="I121" s="11"/>
      <c r="J121" s="469">
        <f>J9+J10+J12+J39+J57</f>
        <v>140</v>
      </c>
      <c r="K121" s="469">
        <f t="shared" ref="K121:AN121" si="133">K9+K10+K12+K39+K57</f>
        <v>2000</v>
      </c>
      <c r="L121" s="469">
        <f t="shared" si="133"/>
        <v>0</v>
      </c>
      <c r="M121" s="469">
        <f t="shared" si="133"/>
        <v>2000</v>
      </c>
      <c r="N121" s="469">
        <f t="shared" si="133"/>
        <v>150</v>
      </c>
      <c r="O121" s="469">
        <f t="shared" si="133"/>
        <v>7824.7840000000006</v>
      </c>
      <c r="P121" s="469">
        <f t="shared" si="133"/>
        <v>0</v>
      </c>
      <c r="Q121" s="469">
        <f t="shared" si="133"/>
        <v>0</v>
      </c>
      <c r="R121" s="469">
        <f t="shared" si="133"/>
        <v>0</v>
      </c>
      <c r="S121" s="469">
        <f t="shared" si="133"/>
        <v>35000</v>
      </c>
      <c r="T121" s="469">
        <f t="shared" si="133"/>
        <v>0</v>
      </c>
      <c r="U121" s="469">
        <f t="shared" si="133"/>
        <v>0</v>
      </c>
      <c r="V121" s="469">
        <f t="shared" si="133"/>
        <v>0</v>
      </c>
      <c r="W121" s="469">
        <f t="shared" si="133"/>
        <v>0</v>
      </c>
      <c r="X121" s="469">
        <f t="shared" si="133"/>
        <v>0</v>
      </c>
      <c r="Y121" s="469">
        <f t="shared" si="133"/>
        <v>0</v>
      </c>
      <c r="Z121" s="469">
        <f t="shared" si="133"/>
        <v>0</v>
      </c>
      <c r="AA121" s="469">
        <f t="shared" si="133"/>
        <v>0</v>
      </c>
      <c r="AB121" s="469">
        <f t="shared" si="133"/>
        <v>0</v>
      </c>
      <c r="AC121" s="469">
        <f t="shared" si="133"/>
        <v>0</v>
      </c>
      <c r="AD121" s="469">
        <f t="shared" si="133"/>
        <v>0</v>
      </c>
      <c r="AE121" s="469">
        <f t="shared" si="133"/>
        <v>0</v>
      </c>
      <c r="AF121" s="469">
        <f t="shared" si="133"/>
        <v>10900</v>
      </c>
      <c r="AG121" s="469">
        <f t="shared" si="133"/>
        <v>6000</v>
      </c>
      <c r="AH121" s="469">
        <f t="shared" si="133"/>
        <v>4000</v>
      </c>
      <c r="AI121" s="469">
        <f t="shared" si="133"/>
        <v>3500</v>
      </c>
      <c r="AJ121" s="469">
        <f t="shared" si="133"/>
        <v>1000</v>
      </c>
      <c r="AK121" s="469">
        <f t="shared" si="133"/>
        <v>0</v>
      </c>
      <c r="AL121" s="469">
        <f t="shared" si="133"/>
        <v>0</v>
      </c>
      <c r="AM121" s="469">
        <f t="shared" si="133"/>
        <v>0</v>
      </c>
      <c r="AN121" s="469">
        <f t="shared" si="133"/>
        <v>0</v>
      </c>
      <c r="AO121" s="469">
        <f t="shared" si="126"/>
        <v>72514.784</v>
      </c>
      <c r="AP121" s="11"/>
    </row>
    <row r="122" spans="2:42">
      <c r="B122" s="998" t="str">
        <f>'ESTRUCTURA FIN'!B28</f>
        <v>Gastos de Ventas</v>
      </c>
      <c r="E122" s="469">
        <f>'ESTRUCTURA FIN'!H28</f>
        <v>97020</v>
      </c>
      <c r="F122" s="469">
        <f>'ESTRUCTURA FIN'!I28</f>
        <v>97020</v>
      </c>
      <c r="G122" s="469">
        <f>'ESTRUCTURA FIN'!J28</f>
        <v>0</v>
      </c>
      <c r="H122" s="469">
        <f>'ESTRUCTURA FIN'!K28</f>
        <v>0</v>
      </c>
      <c r="I122" s="11"/>
      <c r="J122" s="469">
        <f>J75+J76</f>
        <v>0</v>
      </c>
      <c r="K122" s="469">
        <f t="shared" ref="K122:AN122" si="134">K75+K76</f>
        <v>1475</v>
      </c>
      <c r="L122" s="469">
        <f t="shared" si="134"/>
        <v>1475</v>
      </c>
      <c r="M122" s="469">
        <f t="shared" si="134"/>
        <v>7113.333333333333</v>
      </c>
      <c r="N122" s="469">
        <f t="shared" si="134"/>
        <v>2000</v>
      </c>
      <c r="O122" s="469">
        <f t="shared" si="134"/>
        <v>2800</v>
      </c>
      <c r="P122" s="469">
        <f t="shared" si="134"/>
        <v>9093.3333333333321</v>
      </c>
      <c r="Q122" s="469">
        <f t="shared" si="134"/>
        <v>2800</v>
      </c>
      <c r="R122" s="469">
        <f t="shared" si="134"/>
        <v>2800</v>
      </c>
      <c r="S122" s="469">
        <f t="shared" si="134"/>
        <v>6930</v>
      </c>
      <c r="T122" s="469">
        <f t="shared" si="134"/>
        <v>2800</v>
      </c>
      <c r="U122" s="469">
        <f t="shared" si="134"/>
        <v>2800</v>
      </c>
      <c r="V122" s="469">
        <f t="shared" si="134"/>
        <v>7323.333333333333</v>
      </c>
      <c r="W122" s="469">
        <f t="shared" si="134"/>
        <v>2800</v>
      </c>
      <c r="X122" s="469">
        <f t="shared" si="134"/>
        <v>2800</v>
      </c>
      <c r="Y122" s="469">
        <f t="shared" si="134"/>
        <v>2800</v>
      </c>
      <c r="Z122" s="469">
        <f t="shared" si="134"/>
        <v>2800</v>
      </c>
      <c r="AA122" s="469">
        <f t="shared" si="134"/>
        <v>6930</v>
      </c>
      <c r="AB122" s="469">
        <f t="shared" si="134"/>
        <v>4963.333333333333</v>
      </c>
      <c r="AC122" s="469">
        <f t="shared" si="134"/>
        <v>3390</v>
      </c>
      <c r="AD122" s="469">
        <f t="shared" si="134"/>
        <v>2800</v>
      </c>
      <c r="AE122" s="469">
        <f t="shared" si="134"/>
        <v>4963.333333333333</v>
      </c>
      <c r="AF122" s="469">
        <f t="shared" si="134"/>
        <v>2800</v>
      </c>
      <c r="AG122" s="469">
        <f t="shared" si="134"/>
        <v>4963.333333333333</v>
      </c>
      <c r="AH122" s="469">
        <f t="shared" si="134"/>
        <v>2800</v>
      </c>
      <c r="AI122" s="469">
        <f t="shared" si="134"/>
        <v>2800</v>
      </c>
      <c r="AJ122" s="469">
        <f t="shared" si="134"/>
        <v>0</v>
      </c>
      <c r="AK122" s="469">
        <f t="shared" si="134"/>
        <v>0</v>
      </c>
      <c r="AL122" s="469">
        <f t="shared" si="134"/>
        <v>0</v>
      </c>
      <c r="AM122" s="469">
        <f t="shared" si="134"/>
        <v>0</v>
      </c>
      <c r="AN122" s="469">
        <f t="shared" si="134"/>
        <v>0</v>
      </c>
      <c r="AO122" s="469">
        <f t="shared" si="126"/>
        <v>97019.999999999985</v>
      </c>
      <c r="AP122" s="11"/>
    </row>
    <row r="123" spans="2:42">
      <c r="B123" s="998" t="str">
        <f>'ESTRUCTURA FIN'!B29</f>
        <v>Gastos Administrativos</v>
      </c>
      <c r="E123" s="469">
        <f>'ESTRUCTURA FIN'!H29</f>
        <v>162500</v>
      </c>
      <c r="F123" s="469">
        <f>'ESTRUCTURA FIN'!I29</f>
        <v>162500</v>
      </c>
      <c r="G123" s="469">
        <f>'ESTRUCTURA FIN'!J29</f>
        <v>0</v>
      </c>
      <c r="H123" s="469">
        <f>'ESTRUCTURA FIN'!K29</f>
        <v>0</v>
      </c>
      <c r="I123" s="11"/>
      <c r="J123" s="469">
        <f>J63</f>
        <v>0</v>
      </c>
      <c r="K123" s="469">
        <f t="shared" ref="K123:AN123" si="135">K63</f>
        <v>6500</v>
      </c>
      <c r="L123" s="469">
        <f t="shared" si="135"/>
        <v>6500</v>
      </c>
      <c r="M123" s="469">
        <f t="shared" si="135"/>
        <v>6500</v>
      </c>
      <c r="N123" s="469">
        <f t="shared" si="135"/>
        <v>6500</v>
      </c>
      <c r="O123" s="469">
        <f t="shared" si="135"/>
        <v>6500</v>
      </c>
      <c r="P123" s="469">
        <f t="shared" si="135"/>
        <v>6500</v>
      </c>
      <c r="Q123" s="469">
        <f t="shared" si="135"/>
        <v>6500</v>
      </c>
      <c r="R123" s="469">
        <f t="shared" si="135"/>
        <v>6500</v>
      </c>
      <c r="S123" s="469">
        <f t="shared" si="135"/>
        <v>6500</v>
      </c>
      <c r="T123" s="469">
        <f t="shared" si="135"/>
        <v>6500</v>
      </c>
      <c r="U123" s="469">
        <f t="shared" si="135"/>
        <v>6500</v>
      </c>
      <c r="V123" s="469">
        <f t="shared" si="135"/>
        <v>6500</v>
      </c>
      <c r="W123" s="469">
        <f t="shared" si="135"/>
        <v>6500</v>
      </c>
      <c r="X123" s="469">
        <f t="shared" si="135"/>
        <v>6500</v>
      </c>
      <c r="Y123" s="469">
        <f t="shared" si="135"/>
        <v>6500</v>
      </c>
      <c r="Z123" s="469">
        <f t="shared" si="135"/>
        <v>6500</v>
      </c>
      <c r="AA123" s="469">
        <f t="shared" si="135"/>
        <v>6500</v>
      </c>
      <c r="AB123" s="469">
        <f t="shared" si="135"/>
        <v>6500</v>
      </c>
      <c r="AC123" s="469">
        <f t="shared" si="135"/>
        <v>6500</v>
      </c>
      <c r="AD123" s="469">
        <f t="shared" si="135"/>
        <v>6500</v>
      </c>
      <c r="AE123" s="469">
        <f t="shared" si="135"/>
        <v>6500</v>
      </c>
      <c r="AF123" s="469">
        <f t="shared" si="135"/>
        <v>6500</v>
      </c>
      <c r="AG123" s="469">
        <f t="shared" si="135"/>
        <v>6500</v>
      </c>
      <c r="AH123" s="469">
        <f t="shared" si="135"/>
        <v>6500</v>
      </c>
      <c r="AI123" s="469">
        <f t="shared" si="135"/>
        <v>6500</v>
      </c>
      <c r="AJ123" s="469">
        <f t="shared" si="135"/>
        <v>0</v>
      </c>
      <c r="AK123" s="469">
        <f t="shared" si="135"/>
        <v>0</v>
      </c>
      <c r="AL123" s="469">
        <f t="shared" si="135"/>
        <v>0</v>
      </c>
      <c r="AM123" s="469">
        <f t="shared" si="135"/>
        <v>0</v>
      </c>
      <c r="AN123" s="469">
        <f t="shared" si="135"/>
        <v>0</v>
      </c>
      <c r="AO123" s="469">
        <f t="shared" si="126"/>
        <v>162500</v>
      </c>
      <c r="AP123" s="11"/>
    </row>
    <row r="124" spans="2:42" ht="13.5" thickBot="1">
      <c r="B124" s="999" t="str">
        <f>'ESTRUCTURA FIN'!B30</f>
        <v>Comision de Estructuracion</v>
      </c>
      <c r="E124" s="679">
        <f>'ESTRUCTURA FIN'!H30</f>
        <v>99312.673744117099</v>
      </c>
      <c r="F124" s="679">
        <f>'ESTRUCTURA FIN'!I30</f>
        <v>64312.673744117099</v>
      </c>
      <c r="G124" s="679">
        <f>'ESTRUCTURA FIN'!J30</f>
        <v>0</v>
      </c>
      <c r="H124" s="679">
        <f>'ESTRUCTURA FIN'!K30</f>
        <v>35000</v>
      </c>
      <c r="I124" s="11"/>
      <c r="J124" s="679">
        <f t="shared" ref="J124:AN124" si="136">J83+J84</f>
        <v>0</v>
      </c>
      <c r="K124" s="679">
        <f t="shared" si="136"/>
        <v>0</v>
      </c>
      <c r="L124" s="679">
        <f t="shared" si="136"/>
        <v>944</v>
      </c>
      <c r="M124" s="679">
        <f t="shared" si="136"/>
        <v>0</v>
      </c>
      <c r="N124" s="679">
        <f t="shared" si="136"/>
        <v>0</v>
      </c>
      <c r="O124" s="679">
        <f t="shared" si="136"/>
        <v>0</v>
      </c>
      <c r="P124" s="679">
        <f t="shared" si="136"/>
        <v>25000</v>
      </c>
      <c r="Q124" s="679">
        <f t="shared" si="136"/>
        <v>0</v>
      </c>
      <c r="R124" s="679">
        <f t="shared" si="136"/>
        <v>0</v>
      </c>
      <c r="S124" s="679">
        <f t="shared" si="136"/>
        <v>0</v>
      </c>
      <c r="T124" s="679">
        <f t="shared" si="136"/>
        <v>472</v>
      </c>
      <c r="U124" s="679">
        <f t="shared" si="136"/>
        <v>472</v>
      </c>
      <c r="V124" s="679">
        <f t="shared" si="136"/>
        <v>472</v>
      </c>
      <c r="W124" s="679">
        <f t="shared" si="136"/>
        <v>472</v>
      </c>
      <c r="X124" s="679">
        <f t="shared" si="136"/>
        <v>472</v>
      </c>
      <c r="Y124" s="679">
        <f t="shared" si="136"/>
        <v>472</v>
      </c>
      <c r="Z124" s="679">
        <f t="shared" si="136"/>
        <v>472</v>
      </c>
      <c r="AA124" s="679">
        <f t="shared" si="136"/>
        <v>472</v>
      </c>
      <c r="AB124" s="679">
        <f t="shared" si="136"/>
        <v>472</v>
      </c>
      <c r="AC124" s="679">
        <f t="shared" si="136"/>
        <v>472</v>
      </c>
      <c r="AD124" s="679">
        <f t="shared" si="136"/>
        <v>472</v>
      </c>
      <c r="AE124" s="679">
        <f t="shared" si="136"/>
        <v>472</v>
      </c>
      <c r="AF124" s="679">
        <f t="shared" si="136"/>
        <v>472</v>
      </c>
      <c r="AG124" s="679">
        <f t="shared" si="136"/>
        <v>472</v>
      </c>
      <c r="AH124" s="679">
        <f t="shared" si="136"/>
        <v>472</v>
      </c>
      <c r="AI124" s="679">
        <f t="shared" si="136"/>
        <v>66288.673744117099</v>
      </c>
      <c r="AJ124" s="679">
        <f t="shared" si="136"/>
        <v>0</v>
      </c>
      <c r="AK124" s="679">
        <f t="shared" si="136"/>
        <v>0</v>
      </c>
      <c r="AL124" s="679">
        <f t="shared" si="136"/>
        <v>0</v>
      </c>
      <c r="AM124" s="679">
        <f t="shared" si="136"/>
        <v>0</v>
      </c>
      <c r="AN124" s="679">
        <f t="shared" si="136"/>
        <v>0</v>
      </c>
      <c r="AO124" s="679">
        <f t="shared" si="126"/>
        <v>99312.673744117099</v>
      </c>
      <c r="AP124" s="11"/>
    </row>
    <row r="125" spans="2:42"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</row>
    <row r="126" spans="2:42" ht="13.5" thickBot="1"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</row>
    <row r="127" spans="2:42" ht="13.5" thickBot="1">
      <c r="B127" s="932" t="s">
        <v>716</v>
      </c>
      <c r="C127" s="946"/>
      <c r="D127" s="946"/>
      <c r="E127" s="946"/>
      <c r="F127" s="946"/>
      <c r="G127" s="946"/>
      <c r="H127" s="946"/>
      <c r="I127" s="11"/>
      <c r="J127" s="674">
        <f>J107</f>
        <v>0</v>
      </c>
      <c r="K127" s="674">
        <f>IF($F$107-SUM($J$127:J127)&lt;=K107,$F$107-SUM($J$127:J127),K107)</f>
        <v>0</v>
      </c>
      <c r="L127" s="674">
        <f>IF($F$107-SUM($J$127:K127)&lt;=L107,$F$107-SUM($J$127:K127),L107)</f>
        <v>0</v>
      </c>
      <c r="M127" s="674">
        <f>IF($F$107-SUM($J$127:L127)&lt;=M107,$F$107-SUM($J$127:L127),M107)</f>
        <v>0</v>
      </c>
      <c r="N127" s="674">
        <f>IF($F$107-SUM($J$127:M127)&lt;=N107,$F$107-SUM($J$127:M127),N107)</f>
        <v>1982.4</v>
      </c>
      <c r="O127" s="674">
        <f>IF($F$107-SUM($J$127:N127)&lt;=O107,$F$107-SUM($J$127:N127),O107)</f>
        <v>1982.4</v>
      </c>
      <c r="P127" s="674">
        <f>IF($F$107-SUM($J$127:O127)&lt;=P107,$F$107-SUM($J$127:O127),P107)</f>
        <v>0</v>
      </c>
      <c r="Q127" s="674">
        <f>IF($F$107-SUM($J$127:P127)&lt;=Q107,$F$107-SUM($J$127:P127),Q107)</f>
        <v>0</v>
      </c>
      <c r="R127" s="674">
        <f>IF($F$107-SUM($J$127:Q127)&lt;=R107,$F$107-SUM($J$127:Q127),R107)</f>
        <v>0</v>
      </c>
      <c r="S127" s="674">
        <f>IF($F$107-SUM($J$127:R127)&lt;=S107,$F$107-SUM($J$127:R127),S107)</f>
        <v>8268.6098936000017</v>
      </c>
      <c r="T127" s="674">
        <f>IF($F$107-SUM($J$127:S127)&lt;=T107,$F$107-SUM($J$127:S127),T107)</f>
        <v>47304.099285333337</v>
      </c>
      <c r="U127" s="674">
        <f>IF($F$107-SUM($J$127:T127)&lt;=U107,$F$107-SUM($J$127:T127),U107)</f>
        <v>232144.29776533329</v>
      </c>
      <c r="V127" s="674">
        <f>IF($F$107-SUM($J$127:U127)&lt;=V107,$F$107-SUM($J$127:U127),V107)</f>
        <v>206769.57776533329</v>
      </c>
      <c r="W127" s="674">
        <f>IF($F$107-SUM($J$127:V127)&lt;=W107,$F$107-SUM($J$127:V127),W107)</f>
        <v>29326.565600000147</v>
      </c>
      <c r="X127" s="674">
        <f>IF($F$107-SUM($J$127:W127)&lt;=X107,$F$107-SUM($J$127:W127),X107)</f>
        <v>0</v>
      </c>
      <c r="Y127" s="674">
        <f>IF($F$107-SUM($J$127:X127)&lt;=Y107,$F$107-SUM($J$127:X127),Y107)</f>
        <v>0</v>
      </c>
      <c r="Z127" s="674">
        <f>IF($F$107-SUM($J$127:Y127)&lt;=Z107,$F$107-SUM($J$127:Y127),Z107)</f>
        <v>0</v>
      </c>
      <c r="AA127" s="674">
        <f>IF($F$107-SUM($J$127:Z127)&lt;=AA107,$F$107-SUM($J$127:Z127),AA107)</f>
        <v>0</v>
      </c>
      <c r="AB127" s="674">
        <f>IF($F$107-SUM($J$127:AA127)&lt;=AB107,$F$107-SUM($J$127:AA127),AB107)</f>
        <v>0</v>
      </c>
      <c r="AC127" s="674">
        <f>IF($F$107-SUM($J$127:AB127)&lt;=AC107,$F$107-SUM($J$127:AB127),AC107)</f>
        <v>0</v>
      </c>
      <c r="AD127" s="674">
        <f>IF($F$107-SUM($J$127:AC127)&lt;=AD107,$F$107-SUM($J$127:AC127),AD107)</f>
        <v>0</v>
      </c>
      <c r="AE127" s="674">
        <f>IF($F$107-SUM($J$127:AD127)&lt;=AE107,$F$107-SUM($J$127:AD127),AE107)</f>
        <v>0</v>
      </c>
      <c r="AF127" s="674">
        <f>IF($F$107-SUM($J$127:AE127)&lt;=AF107,$F$107-SUM($J$127:AE127),AF107)</f>
        <v>0</v>
      </c>
      <c r="AG127" s="674">
        <f>IF($F$107-SUM($J$127:AF127)&lt;=AG107,$F$107-SUM($J$127:AF127),AG107)</f>
        <v>0</v>
      </c>
      <c r="AH127" s="674">
        <f>IF($F$107-SUM($J$127:AG127)&lt;=AH107,$F$107-SUM($J$127:AG127),AH107)</f>
        <v>0</v>
      </c>
      <c r="AI127" s="674">
        <f>IF($F$107-SUM($J$127:AH127)&lt;=AI107,$F$107-SUM($J$127:AH127),AI107)</f>
        <v>0</v>
      </c>
      <c r="AJ127" s="674">
        <f>IF($F$107-SUM($J$127:AI127)&lt;=AJ107,$F$107-SUM($J$127:AI127),AJ107)</f>
        <v>0</v>
      </c>
      <c r="AK127" s="674">
        <f>IF($F$107-SUM($J$127:AJ127)&lt;=AK107,$F$107-SUM($J$127:AJ127),AK107)</f>
        <v>0</v>
      </c>
      <c r="AL127" s="674">
        <f>IF($F$107-SUM($J$127:AK127)&lt;=AL107,$F$107-SUM($J$127:AK127),AL107)</f>
        <v>0</v>
      </c>
      <c r="AM127" s="674">
        <f>IF($F$107-SUM($J$127:AL127)&lt;=AM107,$F$107-SUM($J$127:AL127),AM107)</f>
        <v>0</v>
      </c>
      <c r="AN127" s="674">
        <f>IF($F$107-SUM($J$127:AM127)&lt;=AN107,$F$107-SUM($J$127:AM127),AN107)</f>
        <v>0</v>
      </c>
      <c r="AO127" s="674">
        <f>SUM(J127:AN127)</f>
        <v>527777.9503096001</v>
      </c>
      <c r="AP127" s="931">
        <f>AO127-F107</f>
        <v>0</v>
      </c>
    </row>
    <row r="128" spans="2:42">
      <c r="B128" s="927" t="s">
        <v>718</v>
      </c>
      <c r="C128" s="946"/>
      <c r="D128" s="946"/>
      <c r="E128" s="674"/>
      <c r="F128" s="674"/>
      <c r="G128" s="674"/>
      <c r="H128" s="674"/>
      <c r="I128" s="11"/>
      <c r="J128" s="674">
        <f t="shared" ref="J128:AB128" si="137">IF(J127&lt;J107,J107-J127,0)</f>
        <v>0</v>
      </c>
      <c r="K128" s="674">
        <f t="shared" si="137"/>
        <v>0</v>
      </c>
      <c r="L128" s="674">
        <f t="shared" si="137"/>
        <v>0</v>
      </c>
      <c r="M128" s="674">
        <f t="shared" si="137"/>
        <v>0</v>
      </c>
      <c r="N128" s="674">
        <f t="shared" si="137"/>
        <v>0</v>
      </c>
      <c r="O128" s="674">
        <f t="shared" si="137"/>
        <v>0</v>
      </c>
      <c r="P128" s="674">
        <f t="shared" si="137"/>
        <v>0</v>
      </c>
      <c r="Q128" s="674">
        <f t="shared" si="137"/>
        <v>0</v>
      </c>
      <c r="R128" s="674">
        <f t="shared" si="137"/>
        <v>0</v>
      </c>
      <c r="S128" s="674">
        <f t="shared" si="137"/>
        <v>0</v>
      </c>
      <c r="T128" s="674">
        <f t="shared" si="137"/>
        <v>0</v>
      </c>
      <c r="U128" s="674">
        <f t="shared" si="137"/>
        <v>0</v>
      </c>
      <c r="V128" s="674">
        <f t="shared" si="137"/>
        <v>0</v>
      </c>
      <c r="W128" s="674">
        <f t="shared" si="137"/>
        <v>130138.91287999984</v>
      </c>
      <c r="X128" s="674">
        <f t="shared" si="137"/>
        <v>388454.38355733338</v>
      </c>
      <c r="Y128" s="674">
        <f t="shared" si="137"/>
        <v>344440.84139733337</v>
      </c>
      <c r="Z128" s="674">
        <f t="shared" si="137"/>
        <v>381718.48571733339</v>
      </c>
      <c r="AA128" s="674">
        <f t="shared" si="137"/>
        <v>381718.48571733339</v>
      </c>
      <c r="AB128" s="674">
        <f t="shared" si="137"/>
        <v>575953.44299733336</v>
      </c>
      <c r="AC128" s="674">
        <f t="shared" ref="AC128" si="138">IF(AC127&lt;AC107,AC107-AC127,0)</f>
        <v>575953.44299733336</v>
      </c>
      <c r="AD128" s="674">
        <f t="shared" ref="AD128" si="139">IF(AD127&lt;AD107,AD107-AD127,0)</f>
        <v>406156.34550399997</v>
      </c>
      <c r="AE128" s="674">
        <f t="shared" ref="AE128" si="140">IF(AE127&lt;AE107,AE107-AE127,0)</f>
        <v>326199.54550399998</v>
      </c>
      <c r="AF128" s="674">
        <f t="shared" ref="AF128" si="141">IF(AF127&lt;AF107,AF107-AF127,0)</f>
        <v>285485.47686399997</v>
      </c>
      <c r="AG128" s="674">
        <f t="shared" ref="AG128" si="142">IF(AG127&lt;AG107,AG107-AG127,0)</f>
        <v>314692.83686400001</v>
      </c>
      <c r="AH128" s="674">
        <f t="shared" ref="AH128" si="143">IF(AH127&lt;AH107,AH107-AH127,0)</f>
        <v>18767.900000000001</v>
      </c>
      <c r="AI128" s="674">
        <f t="shared" ref="AI128" si="144">IF(AI127&lt;AI107,AI107-AI127,0)</f>
        <v>18767.900000000001</v>
      </c>
      <c r="AJ128" s="674">
        <f t="shared" ref="AJ128" si="145">IF(AJ127&lt;AJ107,AJ107-AJ127,0)</f>
        <v>0</v>
      </c>
      <c r="AK128" s="674">
        <f t="shared" ref="AK128" si="146">IF(AK127&lt;AK107,AK107-AK127,0)</f>
        <v>0</v>
      </c>
      <c r="AL128" s="674">
        <f t="shared" ref="AL128" si="147">IF(AL127&lt;AL107,AL107-AL127,0)</f>
        <v>0</v>
      </c>
      <c r="AM128" s="674">
        <f t="shared" ref="AM128" si="148">IF(AM127&lt;AM107,AM107-AM127,0)</f>
        <v>0</v>
      </c>
      <c r="AN128" s="674">
        <f t="shared" ref="AN128" si="149">IF(AN127&lt;AN107,AN107-AN127,0)</f>
        <v>0</v>
      </c>
      <c r="AO128" s="674">
        <f>SUM(J128:AN128)</f>
        <v>4148448</v>
      </c>
      <c r="AP128" s="931">
        <f>AO128+AO127-E107</f>
        <v>0</v>
      </c>
    </row>
    <row r="129" spans="2:42" ht="13.5" thickBot="1">
      <c r="B129" s="928" t="s">
        <v>719</v>
      </c>
      <c r="C129" s="947"/>
      <c r="D129" s="947"/>
      <c r="E129" s="679"/>
      <c r="F129" s="679"/>
      <c r="G129" s="679"/>
      <c r="H129" s="679"/>
      <c r="I129" s="11"/>
      <c r="J129" s="679"/>
      <c r="K129" s="679"/>
      <c r="L129" s="679"/>
      <c r="M129" s="679"/>
      <c r="N129" s="679"/>
      <c r="O129" s="679"/>
      <c r="P129" s="679"/>
      <c r="Q129" s="679"/>
      <c r="R129" s="679"/>
      <c r="S129" s="679"/>
      <c r="T129" s="679"/>
      <c r="U129" s="679"/>
      <c r="V129" s="679"/>
      <c r="W129" s="679"/>
      <c r="X129" s="679"/>
      <c r="Y129" s="679"/>
      <c r="Z129" s="679"/>
      <c r="AA129" s="679"/>
      <c r="AB129" s="679"/>
      <c r="AC129" s="679"/>
      <c r="AD129" s="679"/>
      <c r="AE129" s="679"/>
      <c r="AF129" s="679"/>
      <c r="AG129" s="679"/>
      <c r="AH129" s="679"/>
      <c r="AI129" s="948">
        <f>H124</f>
        <v>35000</v>
      </c>
      <c r="AJ129" s="948"/>
      <c r="AK129" s="948"/>
      <c r="AL129" s="679"/>
      <c r="AM129" s="679"/>
      <c r="AN129" s="679"/>
      <c r="AO129" s="679"/>
      <c r="AP129" s="931"/>
    </row>
    <row r="130" spans="2:42" ht="13.5" thickBot="1">
      <c r="B130" s="928" t="s">
        <v>736</v>
      </c>
      <c r="C130" s="947"/>
      <c r="D130" s="947"/>
      <c r="E130" s="679"/>
      <c r="F130" s="679"/>
      <c r="G130" s="679"/>
      <c r="H130" s="679"/>
      <c r="I130" s="11"/>
      <c r="J130" s="679">
        <f>J107-J127-J128</f>
        <v>0</v>
      </c>
      <c r="K130" s="679">
        <f t="shared" ref="K130:AN130" si="150">K107-K127-K128</f>
        <v>0</v>
      </c>
      <c r="L130" s="679">
        <f t="shared" si="150"/>
        <v>0</v>
      </c>
      <c r="M130" s="679">
        <f t="shared" si="150"/>
        <v>0</v>
      </c>
      <c r="N130" s="679">
        <f t="shared" si="150"/>
        <v>0</v>
      </c>
      <c r="O130" s="679">
        <f t="shared" si="150"/>
        <v>0</v>
      </c>
      <c r="P130" s="679">
        <f t="shared" si="150"/>
        <v>0</v>
      </c>
      <c r="Q130" s="679">
        <f t="shared" si="150"/>
        <v>0</v>
      </c>
      <c r="R130" s="679">
        <f t="shared" si="150"/>
        <v>0</v>
      </c>
      <c r="S130" s="679">
        <f t="shared" si="150"/>
        <v>0</v>
      </c>
      <c r="T130" s="679">
        <f t="shared" si="150"/>
        <v>0</v>
      </c>
      <c r="U130" s="679">
        <f t="shared" si="150"/>
        <v>0</v>
      </c>
      <c r="V130" s="679">
        <f t="shared" si="150"/>
        <v>0</v>
      </c>
      <c r="W130" s="679">
        <f t="shared" si="150"/>
        <v>0</v>
      </c>
      <c r="X130" s="679">
        <f t="shared" si="150"/>
        <v>0</v>
      </c>
      <c r="Y130" s="679">
        <f t="shared" si="150"/>
        <v>0</v>
      </c>
      <c r="Z130" s="679">
        <f>Z107-Z127-Z128</f>
        <v>0</v>
      </c>
      <c r="AA130" s="679">
        <f t="shared" si="150"/>
        <v>0</v>
      </c>
      <c r="AB130" s="679">
        <f t="shared" si="150"/>
        <v>0</v>
      </c>
      <c r="AC130" s="679">
        <f t="shared" si="150"/>
        <v>0</v>
      </c>
      <c r="AD130" s="679">
        <f t="shared" si="150"/>
        <v>0</v>
      </c>
      <c r="AE130" s="679">
        <f t="shared" si="150"/>
        <v>0</v>
      </c>
      <c r="AF130" s="679">
        <f>AF107-AF127-AF128</f>
        <v>0</v>
      </c>
      <c r="AG130" s="679">
        <f t="shared" si="150"/>
        <v>0</v>
      </c>
      <c r="AH130" s="679">
        <f t="shared" si="150"/>
        <v>0</v>
      </c>
      <c r="AI130" s="679">
        <f t="shared" si="150"/>
        <v>0</v>
      </c>
      <c r="AJ130" s="679">
        <f t="shared" si="150"/>
        <v>0</v>
      </c>
      <c r="AK130" s="679">
        <f t="shared" si="150"/>
        <v>0</v>
      </c>
      <c r="AL130" s="679">
        <f t="shared" si="150"/>
        <v>0</v>
      </c>
      <c r="AM130" s="679">
        <f t="shared" si="150"/>
        <v>0</v>
      </c>
      <c r="AN130" s="679">
        <f t="shared" si="150"/>
        <v>0</v>
      </c>
      <c r="AO130" s="679">
        <f>SUM(J130:AN130)</f>
        <v>0</v>
      </c>
      <c r="AP130" s="931"/>
    </row>
    <row r="131" spans="2:42"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469">
        <f>'FC 1'!W29</f>
        <v>0</v>
      </c>
      <c r="AD131" s="469">
        <f>'FC 1'!X29</f>
        <v>0</v>
      </c>
      <c r="AE131" s="469">
        <f>'FC 1'!Y29</f>
        <v>0</v>
      </c>
      <c r="AF131" s="469">
        <f>'FC 1'!Z29</f>
        <v>0</v>
      </c>
      <c r="AG131" s="469">
        <f>'FC 1'!AA29</f>
        <v>0</v>
      </c>
      <c r="AH131" s="469">
        <f>'FC 1'!AB29</f>
        <v>0</v>
      </c>
      <c r="AI131" s="469">
        <f>'FC 1'!AC29</f>
        <v>0</v>
      </c>
      <c r="AJ131" s="11">
        <f>'FC 1'!AD29</f>
        <v>0</v>
      </c>
      <c r="AK131" s="11"/>
      <c r="AL131" s="11"/>
      <c r="AM131" s="11"/>
      <c r="AN131" s="11"/>
      <c r="AO131" s="11"/>
      <c r="AP131" s="11"/>
    </row>
    <row r="132" spans="2:42"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</row>
    <row r="133" spans="2:42"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</row>
    <row r="134" spans="2:42"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</row>
    <row r="135" spans="2:42"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</row>
    <row r="136" spans="2:42"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</row>
    <row r="137" spans="2:42"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</row>
    <row r="138" spans="2:42"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</row>
    <row r="139" spans="2:42"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</row>
    <row r="140" spans="2:42"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</row>
    <row r="141" spans="2:42"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</row>
    <row r="142" spans="2:42"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</row>
    <row r="143" spans="2:42"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</row>
    <row r="144" spans="2:42"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</row>
    <row r="145" spans="9:42"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</row>
    <row r="146" spans="9:42"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</row>
    <row r="147" spans="9:42"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</row>
    <row r="148" spans="9:42"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</row>
    <row r="149" spans="9:42"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</row>
    <row r="150" spans="9:42"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</row>
    <row r="151" spans="9:42"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</row>
  </sheetData>
  <phoneticPr fontId="24" type="noConversion"/>
  <conditionalFormatting sqref="J127:AN130">
    <cfRule type="cellIs" dxfId="3" priority="1" operator="greaterThan">
      <formula>0</formula>
    </cfRule>
  </conditionalFormatting>
  <pageMargins left="1.3779527559055118" right="0.98425196850393704" top="1.5748031496062993" bottom="0.98425196850393704" header="0" footer="0"/>
  <pageSetup paperSize="257" scale="18" fitToHeight="2" orientation="landscape" horizontalDpi="4294967295" r:id="rId1"/>
  <headerFooter alignWithMargins="0"/>
  <ignoredErrors>
    <ignoredError sqref="J11" formulaRange="1"/>
  </ignoredErrors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B2:K39"/>
  <sheetViews>
    <sheetView view="pageBreakPreview" zoomScale="60" zoomScaleNormal="70" workbookViewId="0">
      <selection activeCell="B47" sqref="B47"/>
    </sheetView>
  </sheetViews>
  <sheetFormatPr baseColWidth="10" defaultColWidth="11.42578125" defaultRowHeight="12.75"/>
  <cols>
    <col min="1" max="1" width="3.7109375" customWidth="1"/>
    <col min="2" max="2" width="45.28515625" customWidth="1"/>
    <col min="3" max="3" width="17.140625" customWidth="1"/>
    <col min="4" max="6" width="15" customWidth="1"/>
    <col min="7" max="7" width="2.5703125" customWidth="1"/>
    <col min="8" max="8" width="16.85546875" customWidth="1"/>
    <col min="9" max="11" width="15" customWidth="1"/>
  </cols>
  <sheetData>
    <row r="2" spans="2:11">
      <c r="B2" s="993" t="s">
        <v>744</v>
      </c>
      <c r="D2" s="10"/>
      <c r="E2" s="10"/>
      <c r="F2" s="10"/>
      <c r="G2" s="10"/>
      <c r="I2" s="10"/>
      <c r="J2" s="10"/>
      <c r="K2" s="10"/>
    </row>
    <row r="3" spans="2:11">
      <c r="D3" s="10"/>
      <c r="E3" s="10"/>
      <c r="F3" s="10"/>
      <c r="G3" s="10"/>
      <c r="H3" s="10"/>
      <c r="I3" s="10"/>
      <c r="J3" s="10"/>
      <c r="K3" s="10"/>
    </row>
    <row r="4" spans="2:11">
      <c r="B4" s="168" t="s">
        <v>56</v>
      </c>
      <c r="C4" s="992" t="s">
        <v>540</v>
      </c>
      <c r="D4" s="15"/>
      <c r="E4" s="15"/>
      <c r="F4" s="15"/>
      <c r="G4" s="10"/>
      <c r="H4" s="36"/>
      <c r="I4" s="15"/>
      <c r="J4" s="15"/>
      <c r="K4" s="15"/>
    </row>
    <row r="5" spans="2:11" ht="13.5" thickBot="1">
      <c r="B5" s="37" t="s">
        <v>59</v>
      </c>
      <c r="C5" s="10"/>
      <c r="D5" s="10"/>
      <c r="E5" s="687"/>
      <c r="F5" s="686"/>
      <c r="G5" s="10"/>
      <c r="H5" s="10"/>
      <c r="I5" s="10"/>
      <c r="J5" s="687"/>
      <c r="K5" s="686"/>
    </row>
    <row r="6" spans="2:11" ht="26.25" thickBot="1">
      <c r="B6" s="69"/>
      <c r="C6" s="906" t="s">
        <v>704</v>
      </c>
      <c r="D6" s="907" t="s">
        <v>552</v>
      </c>
      <c r="E6" s="907" t="s">
        <v>156</v>
      </c>
      <c r="F6" s="907" t="s">
        <v>553</v>
      </c>
      <c r="G6" s="10"/>
      <c r="H6" s="906" t="s">
        <v>737</v>
      </c>
      <c r="I6" s="907" t="s">
        <v>552</v>
      </c>
      <c r="J6" s="907" t="s">
        <v>156</v>
      </c>
      <c r="K6" s="907" t="s">
        <v>553</v>
      </c>
    </row>
    <row r="7" spans="2:11">
      <c r="B7" s="91" t="s">
        <v>8</v>
      </c>
      <c r="C7" s="674">
        <v>2104999</v>
      </c>
      <c r="D7" s="675">
        <v>1354999</v>
      </c>
      <c r="E7" s="675">
        <v>750000</v>
      </c>
      <c r="F7" s="676">
        <v>0</v>
      </c>
      <c r="G7" s="10"/>
      <c r="H7" s="674">
        <f>'EGRESOS DETALLADO'!F7+'EGRESOS DETALLADO'!F8</f>
        <v>2104998.881028939</v>
      </c>
      <c r="I7" s="675">
        <f>H7-J7-K7</f>
        <v>1354998.881028939</v>
      </c>
      <c r="J7" s="675">
        <f t="shared" ref="J7:K9" si="0">E7</f>
        <v>750000</v>
      </c>
      <c r="K7" s="676">
        <f t="shared" si="0"/>
        <v>0</v>
      </c>
    </row>
    <row r="8" spans="2:11">
      <c r="B8" s="90" t="s">
        <v>566</v>
      </c>
      <c r="C8" s="469">
        <v>4506644</v>
      </c>
      <c r="D8" s="677">
        <v>358196</v>
      </c>
      <c r="E8" s="677">
        <v>1631604</v>
      </c>
      <c r="F8" s="678">
        <v>2516843</v>
      </c>
      <c r="G8" s="10"/>
      <c r="H8" s="469">
        <f>H13</f>
        <v>4676225.9503096007</v>
      </c>
      <c r="I8" s="1001">
        <f>H8-J8-K8</f>
        <v>527778.95030960068</v>
      </c>
      <c r="J8" s="1001">
        <f t="shared" si="0"/>
        <v>1631604</v>
      </c>
      <c r="K8" s="1002">
        <f t="shared" si="0"/>
        <v>2516843</v>
      </c>
    </row>
    <row r="9" spans="2:11" ht="13.5" thickBot="1">
      <c r="B9" s="680" t="s">
        <v>554</v>
      </c>
      <c r="C9" s="679">
        <v>474884</v>
      </c>
      <c r="D9" s="681">
        <v>439884</v>
      </c>
      <c r="E9" s="681">
        <v>0</v>
      </c>
      <c r="F9" s="682">
        <v>35000</v>
      </c>
      <c r="G9" s="10"/>
      <c r="H9" s="679">
        <f>H25</f>
        <v>490971.14674411708</v>
      </c>
      <c r="I9" s="681">
        <f>H9-J9-K9</f>
        <v>455971.14674411708</v>
      </c>
      <c r="J9" s="681">
        <f t="shared" si="0"/>
        <v>0</v>
      </c>
      <c r="K9" s="682">
        <f t="shared" si="0"/>
        <v>35000</v>
      </c>
    </row>
    <row r="10" spans="2:11" ht="13.5" thickBot="1">
      <c r="B10" s="680" t="s">
        <v>565</v>
      </c>
      <c r="C10" s="679">
        <f>SUM(C7:C9)</f>
        <v>7086527</v>
      </c>
      <c r="D10" s="681">
        <f>SUM(D7:D9)</f>
        <v>2153079</v>
      </c>
      <c r="E10" s="681">
        <f t="shared" ref="E10:F10" si="1">SUM(E7:E9)</f>
        <v>2381604</v>
      </c>
      <c r="F10" s="682">
        <f t="shared" si="1"/>
        <v>2551843</v>
      </c>
      <c r="G10" s="10"/>
      <c r="H10" s="679">
        <f>SUM(H7:H9)</f>
        <v>7272195.9780826569</v>
      </c>
      <c r="I10" s="681">
        <f>SUM(I7:I9)</f>
        <v>2338748.9780826569</v>
      </c>
      <c r="J10" s="681">
        <f t="shared" ref="J10" si="2">SUM(J7:J9)</f>
        <v>2381604</v>
      </c>
      <c r="K10" s="682">
        <f t="shared" ref="K10" si="3">SUM(K7:K9)</f>
        <v>2551843</v>
      </c>
    </row>
    <row r="11" spans="2:11">
      <c r="B11" s="479"/>
      <c r="C11" s="689">
        <v>1</v>
      </c>
      <c r="D11" s="690">
        <f>D10/$C$10</f>
        <v>0.30382710741100682</v>
      </c>
      <c r="E11" s="690">
        <f t="shared" ref="E11:F11" si="4">E10/$C$10</f>
        <v>0.33607492076160861</v>
      </c>
      <c r="F11" s="690">
        <f t="shared" si="4"/>
        <v>0.3600978307145376</v>
      </c>
      <c r="G11" s="10"/>
      <c r="H11" s="689">
        <v>1</v>
      </c>
      <c r="I11" s="690">
        <f>I10/$H$10</f>
        <v>0.32160147844355497</v>
      </c>
      <c r="J11" s="690">
        <f>J10/$H$10</f>
        <v>0.32749447445830787</v>
      </c>
      <c r="K11" s="690">
        <f>K10/$H$10</f>
        <v>0.35090404709813711</v>
      </c>
    </row>
    <row r="12" spans="2:11" ht="18.75" customHeight="1" thickBot="1">
      <c r="G12" s="10"/>
    </row>
    <row r="13" spans="2:11" ht="14.25" customHeight="1">
      <c r="B13" s="683" t="s">
        <v>566</v>
      </c>
      <c r="C13" s="685">
        <f>SUM(C14:C24)</f>
        <v>4506645</v>
      </c>
      <c r="D13" s="685">
        <f t="shared" ref="D13:F13" si="5">SUM(D14:D24)</f>
        <v>358197</v>
      </c>
      <c r="E13" s="685">
        <f t="shared" si="5"/>
        <v>1631604</v>
      </c>
      <c r="F13" s="909">
        <f t="shared" si="5"/>
        <v>2516844</v>
      </c>
      <c r="G13" s="10"/>
      <c r="H13" s="908">
        <f>SUM(H14:H24)</f>
        <v>4676225.9503096007</v>
      </c>
      <c r="I13" s="685">
        <f t="shared" ref="I13:K13" si="6">SUM(I14:I24)</f>
        <v>527777.9503096001</v>
      </c>
      <c r="J13" s="685">
        <f t="shared" si="6"/>
        <v>1631604</v>
      </c>
      <c r="K13" s="909">
        <f t="shared" si="6"/>
        <v>2516844</v>
      </c>
    </row>
    <row r="14" spans="2:11">
      <c r="B14" s="90" t="s">
        <v>555</v>
      </c>
      <c r="C14" s="469">
        <v>187993</v>
      </c>
      <c r="D14" s="677">
        <f>C14</f>
        <v>187993</v>
      </c>
      <c r="E14" s="677">
        <v>0</v>
      </c>
      <c r="F14" s="678">
        <v>0</v>
      </c>
      <c r="G14" s="10"/>
      <c r="H14" s="469">
        <f>CONSTRUCCION!G13+CONSTRUCCION!G14+CONSTRUCCION!G15</f>
        <v>110379.16</v>
      </c>
      <c r="I14" s="677">
        <f>H14</f>
        <v>110379.16</v>
      </c>
      <c r="J14" s="677">
        <f>E14</f>
        <v>0</v>
      </c>
      <c r="K14" s="678">
        <f>F14</f>
        <v>0</v>
      </c>
    </row>
    <row r="15" spans="2:11">
      <c r="B15" s="90" t="s">
        <v>97</v>
      </c>
      <c r="C15" s="469">
        <v>1508130</v>
      </c>
      <c r="D15" s="677">
        <v>124702</v>
      </c>
      <c r="E15" s="677">
        <v>495154</v>
      </c>
      <c r="F15" s="678">
        <v>888274</v>
      </c>
      <c r="G15" s="10"/>
      <c r="H15" s="469">
        <f>CONSTRUCCION!G16+CONSTRUCCION!G30</f>
        <v>1581970.7000000002</v>
      </c>
      <c r="I15" s="677">
        <f>H15-J15-K15</f>
        <v>311314.60000000009</v>
      </c>
      <c r="J15" s="677">
        <f>E15</f>
        <v>495154</v>
      </c>
      <c r="K15" s="678">
        <f>+F15+F16-K16</f>
        <v>775502.10000000009</v>
      </c>
    </row>
    <row r="16" spans="2:11">
      <c r="B16" s="90" t="s">
        <v>469</v>
      </c>
      <c r="C16" s="469">
        <v>1037506</v>
      </c>
      <c r="D16" s="677">
        <v>0</v>
      </c>
      <c r="E16" s="677">
        <v>426425</v>
      </c>
      <c r="F16" s="678">
        <v>611081</v>
      </c>
      <c r="G16" s="10"/>
      <c r="H16" s="469">
        <f>CONSTRUCCION!G17+CONSTRUCCION!G31+CONSTRUCCION!G32</f>
        <v>1150277.8999999999</v>
      </c>
      <c r="I16" s="677">
        <v>0</v>
      </c>
      <c r="J16" s="677">
        <f t="shared" ref="J16:J24" si="7">E16</f>
        <v>426425</v>
      </c>
      <c r="K16" s="678">
        <f>H16-J16</f>
        <v>723852.89999999991</v>
      </c>
    </row>
    <row r="17" spans="2:11">
      <c r="B17" s="90" t="s">
        <v>557</v>
      </c>
      <c r="C17" s="469">
        <v>188774</v>
      </c>
      <c r="D17" s="677">
        <v>0</v>
      </c>
      <c r="E17" s="677">
        <v>77588</v>
      </c>
      <c r="F17" s="688">
        <v>111186</v>
      </c>
      <c r="G17" s="10"/>
      <c r="H17" s="469">
        <f>CONSTRUCCION!G18+CONSTRUCCION!G33+CONSTRUCCION!G61</f>
        <v>219838.45000000004</v>
      </c>
      <c r="I17" s="677">
        <f t="shared" ref="I17:I24" si="8">H17-J17-K17</f>
        <v>31064.450000000041</v>
      </c>
      <c r="J17" s="677">
        <f t="shared" si="7"/>
        <v>77588</v>
      </c>
      <c r="K17" s="678">
        <f t="shared" ref="K17:K24" si="9">F17</f>
        <v>111186</v>
      </c>
    </row>
    <row r="18" spans="2:11">
      <c r="B18" s="90" t="s">
        <v>556</v>
      </c>
      <c r="C18" s="469">
        <v>244134</v>
      </c>
      <c r="D18" s="677">
        <v>0</v>
      </c>
      <c r="E18" s="677">
        <v>100342</v>
      </c>
      <c r="F18" s="678">
        <v>143793</v>
      </c>
      <c r="G18" s="10"/>
      <c r="H18" s="469">
        <f>CONSTRUCCION!G19+CONSTRUCCION!G34+CONSTRUCCION!G62</f>
        <v>276774.85000000003</v>
      </c>
      <c r="I18" s="677">
        <f t="shared" si="8"/>
        <v>32639.850000000035</v>
      </c>
      <c r="J18" s="677">
        <f t="shared" si="7"/>
        <v>100342</v>
      </c>
      <c r="K18" s="678">
        <f t="shared" si="9"/>
        <v>143793</v>
      </c>
    </row>
    <row r="19" spans="2:11">
      <c r="B19" s="90" t="s">
        <v>425</v>
      </c>
      <c r="C19" s="469">
        <v>88025</v>
      </c>
      <c r="D19" s="677">
        <v>0</v>
      </c>
      <c r="E19" s="677">
        <v>36179</v>
      </c>
      <c r="F19" s="678">
        <v>51846</v>
      </c>
      <c r="G19" s="10"/>
      <c r="H19" s="469">
        <f>CONSTRUCCION!G35</f>
        <v>75217.2</v>
      </c>
      <c r="I19" s="677">
        <f t="shared" si="8"/>
        <v>-12807.800000000003</v>
      </c>
      <c r="J19" s="677">
        <f t="shared" si="7"/>
        <v>36179</v>
      </c>
      <c r="K19" s="678">
        <f t="shared" si="9"/>
        <v>51846</v>
      </c>
    </row>
    <row r="20" spans="2:11">
      <c r="B20" s="90" t="s">
        <v>225</v>
      </c>
      <c r="C20" s="469">
        <v>121000</v>
      </c>
      <c r="D20" s="677">
        <v>0</v>
      </c>
      <c r="E20" s="677">
        <v>49732</v>
      </c>
      <c r="F20" s="678">
        <v>71268</v>
      </c>
      <c r="G20" s="10"/>
      <c r="H20" s="469">
        <f>CONSTRUCCION!G49</f>
        <v>121000</v>
      </c>
      <c r="I20" s="677">
        <f t="shared" si="8"/>
        <v>0</v>
      </c>
      <c r="J20" s="677">
        <f t="shared" si="7"/>
        <v>49732</v>
      </c>
      <c r="K20" s="678">
        <f t="shared" si="9"/>
        <v>71268</v>
      </c>
    </row>
    <row r="21" spans="2:11">
      <c r="B21" s="90" t="s">
        <v>558</v>
      </c>
      <c r="C21" s="469">
        <v>202534</v>
      </c>
      <c r="D21" s="677">
        <v>0</v>
      </c>
      <c r="E21" s="677">
        <v>83243</v>
      </c>
      <c r="F21" s="678">
        <v>119290</v>
      </c>
      <c r="G21" s="10"/>
      <c r="H21" s="469">
        <f>CONSTRUCCION!G22+CONSTRUCCION!G38+CONSTRUCCION!G50</f>
        <v>210218.89559999999</v>
      </c>
      <c r="I21" s="677">
        <f t="shared" si="8"/>
        <v>7685.8955999999889</v>
      </c>
      <c r="J21" s="677">
        <f t="shared" si="7"/>
        <v>83243</v>
      </c>
      <c r="K21" s="678">
        <f t="shared" si="9"/>
        <v>119290</v>
      </c>
    </row>
    <row r="22" spans="2:11">
      <c r="B22" s="90" t="s">
        <v>559</v>
      </c>
      <c r="C22" s="469">
        <v>202534</v>
      </c>
      <c r="D22" s="677">
        <v>0</v>
      </c>
      <c r="E22" s="677">
        <v>83243</v>
      </c>
      <c r="F22" s="678">
        <v>119290</v>
      </c>
      <c r="G22" s="10"/>
      <c r="H22" s="469">
        <f>CONSTRUCCION!G23+CONSTRUCCION!G39+CONSTRUCCION!G51</f>
        <v>210218.89559999999</v>
      </c>
      <c r="I22" s="677">
        <f t="shared" si="8"/>
        <v>7685.8955999999889</v>
      </c>
      <c r="J22" s="677">
        <f t="shared" si="7"/>
        <v>83243</v>
      </c>
      <c r="K22" s="678">
        <f t="shared" si="9"/>
        <v>119290</v>
      </c>
    </row>
    <row r="23" spans="2:11">
      <c r="B23" s="90" t="s">
        <v>560</v>
      </c>
      <c r="C23" s="469">
        <v>680513</v>
      </c>
      <c r="D23" s="677">
        <v>0</v>
      </c>
      <c r="E23" s="677">
        <v>279698</v>
      </c>
      <c r="F23" s="678">
        <v>400816</v>
      </c>
      <c r="G23" s="10"/>
      <c r="H23" s="469">
        <f>CONSTRUCCION!H25+CONSTRUCCION!H41+CONSTRUCCION!H53+CONSTRUCCION!H63</f>
        <v>713322.6025895999</v>
      </c>
      <c r="I23" s="677">
        <f t="shared" si="8"/>
        <v>32808.602589599905</v>
      </c>
      <c r="J23" s="677">
        <f t="shared" si="7"/>
        <v>279698</v>
      </c>
      <c r="K23" s="678">
        <f t="shared" si="9"/>
        <v>400816</v>
      </c>
    </row>
    <row r="24" spans="2:11" ht="13.5" thickBot="1">
      <c r="B24" s="680" t="s">
        <v>561</v>
      </c>
      <c r="C24" s="679">
        <v>45502</v>
      </c>
      <c r="D24" s="681">
        <f>C24</f>
        <v>45502</v>
      </c>
      <c r="E24" s="681">
        <v>0</v>
      </c>
      <c r="F24" s="682">
        <v>0</v>
      </c>
      <c r="G24" s="10"/>
      <c r="H24" s="679">
        <f>CONSTRUCCION!G60</f>
        <v>7007.2965200000008</v>
      </c>
      <c r="I24" s="677">
        <f t="shared" si="8"/>
        <v>7007.2965200000008</v>
      </c>
      <c r="J24" s="681">
        <f t="shared" si="7"/>
        <v>0</v>
      </c>
      <c r="K24" s="682">
        <f t="shared" si="9"/>
        <v>0</v>
      </c>
    </row>
    <row r="25" spans="2:11" ht="14.25" customHeight="1">
      <c r="B25" s="683" t="s">
        <v>554</v>
      </c>
      <c r="C25" s="685">
        <f>SUM(C26:C30)</f>
        <v>474884</v>
      </c>
      <c r="D25" s="685">
        <f t="shared" ref="D25:F25" si="10">SUM(D26:D30)</f>
        <v>439884</v>
      </c>
      <c r="E25" s="685">
        <f t="shared" si="10"/>
        <v>0</v>
      </c>
      <c r="F25" s="909">
        <f t="shared" si="10"/>
        <v>35000</v>
      </c>
      <c r="G25" s="10"/>
      <c r="H25" s="908">
        <f>SUM(H26:H30)</f>
        <v>490971.14674411708</v>
      </c>
      <c r="I25" s="685">
        <f t="shared" ref="I25:K25" si="11">SUM(I26:I30)</f>
        <v>455971.14674411708</v>
      </c>
      <c r="J25" s="685">
        <f t="shared" si="11"/>
        <v>0</v>
      </c>
      <c r="K25" s="909">
        <f t="shared" si="11"/>
        <v>35000</v>
      </c>
    </row>
    <row r="26" spans="2:11">
      <c r="B26" s="90" t="s">
        <v>562</v>
      </c>
      <c r="C26" s="469">
        <v>36784</v>
      </c>
      <c r="D26" s="677">
        <f>C26</f>
        <v>36784</v>
      </c>
      <c r="E26" s="677">
        <v>0</v>
      </c>
      <c r="F26" s="678">
        <v>0</v>
      </c>
      <c r="G26" s="10"/>
      <c r="H26" s="469">
        <f>'INFO PROYECTO'!F51</f>
        <v>59623.689000000006</v>
      </c>
      <c r="I26" s="677">
        <f>H26</f>
        <v>59623.689000000006</v>
      </c>
      <c r="J26" s="677">
        <v>0</v>
      </c>
      <c r="K26" s="678">
        <v>0</v>
      </c>
    </row>
    <row r="27" spans="2:11">
      <c r="B27" s="90" t="s">
        <v>700</v>
      </c>
      <c r="C27" s="469">
        <v>66820</v>
      </c>
      <c r="D27" s="677">
        <f>C27</f>
        <v>66820</v>
      </c>
      <c r="E27" s="677">
        <v>0</v>
      </c>
      <c r="F27" s="678">
        <v>0</v>
      </c>
      <c r="G27" s="10"/>
      <c r="H27" s="469">
        <f>'INFO PROYECTO'!F52</f>
        <v>72514.784</v>
      </c>
      <c r="I27" s="677">
        <f>H27</f>
        <v>72514.784</v>
      </c>
      <c r="J27" s="677">
        <v>0</v>
      </c>
      <c r="K27" s="678">
        <v>0</v>
      </c>
    </row>
    <row r="28" spans="2:11">
      <c r="B28" s="90" t="s">
        <v>563</v>
      </c>
      <c r="C28" s="469">
        <v>154280</v>
      </c>
      <c r="D28" s="677">
        <f>C28</f>
        <v>154280</v>
      </c>
      <c r="E28" s="677">
        <v>0</v>
      </c>
      <c r="F28" s="678">
        <v>0</v>
      </c>
      <c r="G28" s="10"/>
      <c r="H28" s="469">
        <f>'INFO PROYECTO'!F53</f>
        <v>97020</v>
      </c>
      <c r="I28" s="677">
        <f t="shared" ref="I28:I29" si="12">H28</f>
        <v>97020</v>
      </c>
      <c r="J28" s="677">
        <v>0</v>
      </c>
      <c r="K28" s="678">
        <v>0</v>
      </c>
    </row>
    <row r="29" spans="2:11">
      <c r="B29" s="90" t="s">
        <v>5</v>
      </c>
      <c r="C29" s="469">
        <v>182000</v>
      </c>
      <c r="D29" s="677">
        <f>C29</f>
        <v>182000</v>
      </c>
      <c r="E29" s="677">
        <v>0</v>
      </c>
      <c r="F29" s="678">
        <v>0</v>
      </c>
      <c r="G29" s="10"/>
      <c r="H29" s="469">
        <f>'INFO PROYECTO'!F54</f>
        <v>162500</v>
      </c>
      <c r="I29" s="677">
        <f t="shared" si="12"/>
        <v>162500</v>
      </c>
      <c r="J29" s="677">
        <v>0</v>
      </c>
      <c r="K29" s="678">
        <v>0</v>
      </c>
    </row>
    <row r="30" spans="2:11" ht="13.5" thickBot="1">
      <c r="B30" s="680" t="s">
        <v>564</v>
      </c>
      <c r="C30" s="679">
        <v>35000</v>
      </c>
      <c r="D30" s="681">
        <v>0</v>
      </c>
      <c r="E30" s="681">
        <v>0</v>
      </c>
      <c r="F30" s="682">
        <f>C30</f>
        <v>35000</v>
      </c>
      <c r="G30" s="10"/>
      <c r="H30" s="679">
        <f>'INFO PROYECTO'!F55</f>
        <v>99312.673744117099</v>
      </c>
      <c r="I30" s="681">
        <f>H30-K30</f>
        <v>64312.673744117099</v>
      </c>
      <c r="J30" s="681">
        <v>0</v>
      </c>
      <c r="K30" s="682">
        <f>F30</f>
        <v>35000</v>
      </c>
    </row>
    <row r="31" spans="2:11" ht="6.75" customHeight="1">
      <c r="G31" s="10"/>
    </row>
    <row r="32" spans="2:11">
      <c r="B32" s="10"/>
      <c r="C32" s="10"/>
      <c r="D32" s="10"/>
      <c r="E32" s="10"/>
      <c r="F32" s="10"/>
      <c r="G32" s="10"/>
      <c r="H32" s="10"/>
      <c r="I32" s="10"/>
      <c r="J32" s="10"/>
      <c r="K32" s="10"/>
    </row>
    <row r="33" spans="2:11">
      <c r="B33" s="11"/>
      <c r="C33" s="11"/>
      <c r="D33" s="11"/>
      <c r="E33" s="11"/>
      <c r="F33" s="11"/>
      <c r="G33" s="10"/>
      <c r="H33" s="11"/>
      <c r="I33" s="11"/>
      <c r="J33" s="11"/>
      <c r="K33" s="11"/>
    </row>
    <row r="34" spans="2:11">
      <c r="B34" s="11"/>
      <c r="C34" s="11"/>
      <c r="D34" s="11"/>
      <c r="E34" s="11"/>
      <c r="F34" s="11"/>
      <c r="G34" s="10"/>
      <c r="H34" s="11"/>
      <c r="I34" s="11"/>
      <c r="J34" s="11"/>
      <c r="K34" s="11"/>
    </row>
    <row r="35" spans="2:11">
      <c r="B35" s="11"/>
      <c r="C35" s="11"/>
      <c r="D35" s="11"/>
      <c r="E35" s="11"/>
      <c r="F35" s="11"/>
      <c r="G35" s="10"/>
      <c r="H35" s="11"/>
      <c r="I35" s="11"/>
      <c r="J35" s="11"/>
      <c r="K35" s="11"/>
    </row>
    <row r="36" spans="2:11">
      <c r="B36" s="11"/>
      <c r="C36" s="11"/>
      <c r="D36" s="11"/>
      <c r="E36" s="11"/>
      <c r="F36" s="11"/>
      <c r="G36" s="11"/>
      <c r="H36" s="11"/>
      <c r="I36" s="11"/>
      <c r="J36" s="11"/>
      <c r="K36" s="11"/>
    </row>
    <row r="37" spans="2:11">
      <c r="B37" s="11"/>
      <c r="C37" s="11"/>
      <c r="D37" s="11"/>
      <c r="E37" s="11"/>
      <c r="F37" s="11"/>
      <c r="G37" s="11"/>
      <c r="H37" s="11"/>
      <c r="I37" s="11"/>
      <c r="J37" s="11"/>
      <c r="K37" s="11"/>
    </row>
    <row r="38" spans="2:11">
      <c r="B38" s="11"/>
      <c r="C38" s="11"/>
      <c r="D38" s="11"/>
      <c r="E38" s="11"/>
      <c r="F38" s="11"/>
      <c r="G38" s="11"/>
      <c r="H38" s="11"/>
      <c r="I38" s="11"/>
      <c r="J38" s="11"/>
      <c r="K38" s="11"/>
    </row>
    <row r="39" spans="2:11">
      <c r="B39" s="11"/>
      <c r="C39" s="11"/>
      <c r="D39" s="11"/>
      <c r="E39" s="11"/>
      <c r="F39" s="11"/>
      <c r="G39" s="11"/>
      <c r="H39" s="11"/>
      <c r="I39" s="11"/>
      <c r="J39" s="11"/>
      <c r="K39" s="11"/>
    </row>
  </sheetData>
  <printOptions horizontalCentered="1" verticalCentered="1"/>
  <pageMargins left="0.98425196850393704" right="1.5748031496062993" top="1.3779527559055118" bottom="0.98425196850393704" header="0" footer="0"/>
  <pageSetup paperSize="9" scale="67" fitToHeight="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AO78"/>
  <sheetViews>
    <sheetView showGridLines="0" view="pageBreakPreview" zoomScale="60" zoomScaleNormal="70" workbookViewId="0">
      <selection activeCell="AL1" sqref="AL1"/>
    </sheetView>
  </sheetViews>
  <sheetFormatPr baseColWidth="10" defaultColWidth="11.42578125" defaultRowHeight="12.75"/>
  <cols>
    <col min="1" max="1" width="7" customWidth="1"/>
    <col min="2" max="2" width="62.7109375" customWidth="1"/>
    <col min="3" max="3" width="8.7109375" customWidth="1"/>
    <col min="4" max="4" width="6.85546875" bestFit="1" customWidth="1"/>
    <col min="5" max="6" width="7.5703125" customWidth="1"/>
    <col min="7" max="7" width="7.7109375" bestFit="1" customWidth="1"/>
    <col min="8" max="9" width="9.140625" customWidth="1"/>
    <col min="10" max="10" width="8.5703125" bestFit="1" customWidth="1"/>
    <col min="11" max="16" width="9" bestFit="1" customWidth="1"/>
    <col min="17" max="17" width="10.28515625" bestFit="1" customWidth="1"/>
    <col min="18" max="18" width="10.28515625" customWidth="1"/>
    <col min="19" max="19" width="10.28515625" bestFit="1" customWidth="1"/>
    <col min="20" max="26" width="9" bestFit="1" customWidth="1"/>
    <col min="27" max="27" width="8.5703125" bestFit="1" customWidth="1"/>
    <col min="28" max="28" width="10.5703125" bestFit="1" customWidth="1"/>
    <col min="29" max="33" width="9" bestFit="1" customWidth="1"/>
    <col min="34" max="34" width="12.140625" bestFit="1" customWidth="1"/>
    <col min="35" max="35" width="17.85546875" customWidth="1"/>
    <col min="36" max="36" width="17" customWidth="1"/>
  </cols>
  <sheetData>
    <row r="1" spans="1:41" ht="18">
      <c r="A1" s="5"/>
      <c r="B1" s="38"/>
      <c r="C1" s="356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10"/>
      <c r="AK1" s="10"/>
      <c r="AL1" s="10"/>
      <c r="AM1" s="10"/>
      <c r="AN1" s="10"/>
      <c r="AO1" s="10"/>
    </row>
    <row r="2" spans="1:41" ht="15.75">
      <c r="A2" s="5"/>
      <c r="B2" s="22" t="s">
        <v>745</v>
      </c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10"/>
      <c r="AK2" s="10"/>
      <c r="AL2" s="10"/>
      <c r="AM2" s="10"/>
      <c r="AN2" s="10"/>
      <c r="AO2" s="10"/>
    </row>
    <row r="3" spans="1:41">
      <c r="A3" s="5"/>
      <c r="B3" s="994" t="s">
        <v>31</v>
      </c>
      <c r="C3" s="39" t="s">
        <v>543</v>
      </c>
      <c r="D3" s="39"/>
      <c r="E3" s="39">
        <f>'FC 1'!I53</f>
        <v>4</v>
      </c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10"/>
      <c r="AK3" s="10"/>
      <c r="AL3" s="10"/>
      <c r="AM3" s="10"/>
      <c r="AN3" s="10"/>
      <c r="AO3" s="10"/>
    </row>
    <row r="4" spans="1:41">
      <c r="A4" s="5"/>
      <c r="B4" s="40" t="s">
        <v>403</v>
      </c>
      <c r="C4" s="41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10"/>
      <c r="AK4" s="10"/>
      <c r="AL4" s="10"/>
      <c r="AM4" s="10"/>
      <c r="AN4" s="10"/>
      <c r="AO4" s="10"/>
    </row>
    <row r="5" spans="1:41" ht="13.5" thickBot="1">
      <c r="A5" s="5"/>
      <c r="B5" s="40"/>
      <c r="C5" s="41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10"/>
      <c r="AK5" s="10"/>
      <c r="AL5" s="10"/>
      <c r="AM5" s="10"/>
      <c r="AN5" s="10"/>
      <c r="AO5" s="10"/>
    </row>
    <row r="6" spans="1:41" ht="13.5" thickBot="1">
      <c r="A6" s="5"/>
      <c r="B6" s="478" t="s">
        <v>455</v>
      </c>
      <c r="C6" s="95">
        <v>41791</v>
      </c>
      <c r="D6" s="95">
        <v>41821</v>
      </c>
      <c r="E6" s="95">
        <v>41852</v>
      </c>
      <c r="F6" s="95">
        <v>41883</v>
      </c>
      <c r="G6" s="95">
        <v>41913</v>
      </c>
      <c r="H6" s="95">
        <v>41944</v>
      </c>
      <c r="I6" s="95">
        <v>41974</v>
      </c>
      <c r="J6" s="95">
        <v>42005</v>
      </c>
      <c r="K6" s="95">
        <v>42036</v>
      </c>
      <c r="L6" s="95">
        <v>42064</v>
      </c>
      <c r="M6" s="670">
        <v>42095</v>
      </c>
      <c r="N6" s="95">
        <v>42125</v>
      </c>
      <c r="O6" s="95">
        <v>42156</v>
      </c>
      <c r="P6" s="95">
        <v>42186</v>
      </c>
      <c r="Q6" s="95">
        <v>42217</v>
      </c>
      <c r="R6" s="95">
        <v>42248</v>
      </c>
      <c r="S6" s="95">
        <v>42278</v>
      </c>
      <c r="T6" s="95">
        <v>42309</v>
      </c>
      <c r="U6" s="95">
        <v>42339</v>
      </c>
      <c r="V6" s="95">
        <v>42370</v>
      </c>
      <c r="W6" s="95">
        <v>42401</v>
      </c>
      <c r="X6" s="95">
        <v>42430</v>
      </c>
      <c r="Y6" s="95">
        <v>42461</v>
      </c>
      <c r="Z6" s="95">
        <v>42491</v>
      </c>
      <c r="AA6" s="95">
        <v>42522</v>
      </c>
      <c r="AB6" s="95">
        <v>42552</v>
      </c>
      <c r="AC6" s="95">
        <v>42583</v>
      </c>
      <c r="AD6" s="95">
        <v>42614</v>
      </c>
      <c r="AE6" s="95">
        <v>42644</v>
      </c>
      <c r="AF6" s="95">
        <v>42675</v>
      </c>
      <c r="AG6" s="95">
        <v>42705</v>
      </c>
      <c r="AH6" s="39"/>
      <c r="AI6" s="39"/>
      <c r="AJ6" s="10"/>
      <c r="AK6" s="10"/>
      <c r="AL6" s="10"/>
      <c r="AM6" s="10"/>
      <c r="AN6" s="10"/>
      <c r="AO6" s="10"/>
    </row>
    <row r="7" spans="1:41">
      <c r="A7" s="5"/>
      <c r="B7" s="91" t="s">
        <v>447</v>
      </c>
      <c r="C7" s="473"/>
      <c r="D7" s="471"/>
      <c r="E7" s="471"/>
      <c r="F7" s="471"/>
      <c r="G7" s="471"/>
      <c r="H7" s="472"/>
      <c r="I7" s="472"/>
      <c r="J7" s="472"/>
      <c r="K7" s="472"/>
      <c r="L7" s="472"/>
      <c r="M7" s="472"/>
      <c r="N7" s="472"/>
      <c r="O7" s="472"/>
      <c r="P7" s="472"/>
      <c r="Q7" s="472"/>
      <c r="R7" s="472"/>
      <c r="S7" s="472"/>
      <c r="T7" s="472"/>
      <c r="U7" s="472"/>
      <c r="V7" s="472"/>
      <c r="W7" s="472"/>
      <c r="X7" s="472"/>
      <c r="Y7" s="472"/>
      <c r="Z7" s="472"/>
      <c r="AA7" s="472"/>
      <c r="AB7" s="472"/>
      <c r="AC7" s="472"/>
      <c r="AD7" s="472"/>
      <c r="AE7" s="472"/>
      <c r="AF7" s="472"/>
      <c r="AG7" s="472"/>
      <c r="AH7" s="39"/>
      <c r="AI7" s="39"/>
      <c r="AJ7" s="10"/>
      <c r="AK7" s="10"/>
      <c r="AL7" s="10"/>
      <c r="AM7" s="10"/>
      <c r="AN7" s="10"/>
      <c r="AO7" s="10"/>
    </row>
    <row r="8" spans="1:41">
      <c r="A8" s="5"/>
      <c r="B8" s="90" t="s">
        <v>435</v>
      </c>
      <c r="C8" s="476"/>
      <c r="D8" s="470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10"/>
      <c r="AK8" s="10"/>
      <c r="AL8" s="10"/>
      <c r="AM8" s="10"/>
      <c r="AN8" s="10"/>
      <c r="AO8" s="10"/>
    </row>
    <row r="9" spans="1:41">
      <c r="A9" s="5"/>
      <c r="B9" s="90" t="s">
        <v>454</v>
      </c>
      <c r="C9" s="474"/>
      <c r="D9" s="39"/>
      <c r="E9" s="470"/>
      <c r="F9" s="470"/>
      <c r="G9" s="470"/>
      <c r="H9" s="470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10"/>
      <c r="AK9" s="10"/>
      <c r="AL9" s="10"/>
      <c r="AM9" s="10"/>
      <c r="AN9" s="10"/>
      <c r="AO9" s="10"/>
    </row>
    <row r="10" spans="1:41">
      <c r="A10" s="5"/>
      <c r="B10" s="90" t="s">
        <v>448</v>
      </c>
      <c r="C10" s="474"/>
      <c r="D10" s="39"/>
      <c r="E10" s="39"/>
      <c r="F10" s="470"/>
      <c r="G10" s="470"/>
      <c r="H10" s="470"/>
      <c r="I10" s="470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10"/>
      <c r="AK10" s="10"/>
      <c r="AL10" s="10"/>
      <c r="AM10" s="10"/>
      <c r="AN10" s="10"/>
      <c r="AO10" s="10"/>
    </row>
    <row r="11" spans="1:41">
      <c r="A11" s="5"/>
      <c r="B11" s="90" t="s">
        <v>449</v>
      </c>
      <c r="C11" s="474"/>
      <c r="D11" s="39"/>
      <c r="E11" s="39"/>
      <c r="F11" s="470"/>
      <c r="I11" s="39"/>
      <c r="J11" s="39"/>
      <c r="K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10"/>
      <c r="AK11" s="10"/>
      <c r="AL11" s="10"/>
      <c r="AM11" s="10"/>
      <c r="AN11" s="10"/>
      <c r="AO11" s="10"/>
    </row>
    <row r="12" spans="1:41">
      <c r="A12" s="5"/>
      <c r="B12" s="90" t="s">
        <v>409</v>
      </c>
      <c r="C12" s="474"/>
      <c r="D12" s="39"/>
      <c r="E12" s="39"/>
      <c r="F12" s="39"/>
      <c r="G12" s="470"/>
      <c r="H12" s="470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10"/>
      <c r="AK12" s="10"/>
      <c r="AL12" s="10"/>
      <c r="AM12" s="10"/>
      <c r="AN12" s="10"/>
      <c r="AO12" s="10"/>
    </row>
    <row r="13" spans="1:41">
      <c r="A13" s="5"/>
      <c r="B13" s="90" t="s">
        <v>450</v>
      </c>
      <c r="C13" s="474"/>
      <c r="D13" s="39"/>
      <c r="E13" s="39"/>
      <c r="F13" s="39"/>
      <c r="H13" s="39"/>
      <c r="J13" s="470"/>
      <c r="K13" s="470"/>
      <c r="L13" s="470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10"/>
      <c r="AK13" s="10"/>
      <c r="AL13" s="10"/>
      <c r="AM13" s="10"/>
      <c r="AN13" s="10"/>
      <c r="AO13" s="10"/>
    </row>
    <row r="14" spans="1:41">
      <c r="A14" s="5"/>
      <c r="B14" s="90" t="s">
        <v>96</v>
      </c>
      <c r="C14" s="474"/>
      <c r="D14" s="39"/>
      <c r="E14" s="39"/>
      <c r="F14" s="39"/>
      <c r="G14" s="39"/>
      <c r="H14" s="39"/>
      <c r="I14" s="39"/>
      <c r="J14" s="39"/>
      <c r="K14" s="39"/>
      <c r="L14" s="39"/>
      <c r="M14" s="470">
        <v>1</v>
      </c>
      <c r="N14" s="470">
        <v>2</v>
      </c>
      <c r="O14" s="470">
        <v>3</v>
      </c>
      <c r="P14" s="470">
        <v>4</v>
      </c>
      <c r="Q14" s="470">
        <v>5</v>
      </c>
      <c r="R14" s="470">
        <v>6</v>
      </c>
      <c r="S14" s="470">
        <v>7</v>
      </c>
      <c r="T14" s="470">
        <v>8</v>
      </c>
      <c r="U14" s="470">
        <v>9</v>
      </c>
      <c r="V14" s="470">
        <v>10</v>
      </c>
      <c r="W14" s="470">
        <v>11</v>
      </c>
      <c r="X14" s="470">
        <v>12</v>
      </c>
      <c r="Y14" s="470">
        <v>13</v>
      </c>
      <c r="Z14" s="470">
        <v>14</v>
      </c>
      <c r="AA14" s="39"/>
      <c r="AB14" s="39"/>
      <c r="AC14" s="39"/>
      <c r="AD14" s="39"/>
      <c r="AE14" s="39"/>
      <c r="AF14" s="39"/>
      <c r="AG14" s="39"/>
      <c r="AH14" s="39"/>
      <c r="AI14" s="39"/>
      <c r="AJ14" s="10"/>
      <c r="AK14" s="10"/>
      <c r="AL14" s="10"/>
      <c r="AM14" s="10"/>
      <c r="AN14" s="10"/>
      <c r="AO14" s="10"/>
    </row>
    <row r="15" spans="1:41">
      <c r="A15" s="5"/>
      <c r="B15" s="90" t="s">
        <v>451</v>
      </c>
      <c r="C15" s="474"/>
      <c r="D15" s="39"/>
      <c r="E15" s="470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10"/>
      <c r="AK15" s="10"/>
      <c r="AL15" s="10"/>
      <c r="AM15" s="10"/>
      <c r="AN15" s="10"/>
      <c r="AO15" s="10"/>
    </row>
    <row r="16" spans="1:41">
      <c r="A16" s="5"/>
      <c r="B16" s="90" t="s">
        <v>6</v>
      </c>
      <c r="C16" s="474"/>
      <c r="D16" s="39"/>
      <c r="E16" s="470"/>
      <c r="F16" s="470"/>
      <c r="G16" s="470"/>
      <c r="H16" s="470"/>
      <c r="I16" s="470"/>
      <c r="J16" s="470"/>
      <c r="K16" s="470"/>
      <c r="L16" s="470"/>
      <c r="M16" s="470"/>
      <c r="N16" s="470"/>
      <c r="O16" s="470"/>
      <c r="P16" s="470"/>
      <c r="Q16" s="470"/>
      <c r="R16" s="470"/>
      <c r="S16" s="470"/>
      <c r="T16" s="470"/>
      <c r="U16" s="470"/>
      <c r="V16" s="470"/>
      <c r="W16" s="470"/>
      <c r="X16" s="470"/>
      <c r="Y16" s="470"/>
      <c r="Z16" s="470"/>
      <c r="AA16" s="470"/>
      <c r="AB16" s="39"/>
      <c r="AC16" s="39"/>
      <c r="AD16" s="39"/>
      <c r="AE16" s="39"/>
      <c r="AF16" s="39"/>
      <c r="AG16" s="39"/>
      <c r="AH16" s="39"/>
      <c r="AI16" s="39"/>
      <c r="AJ16" s="10"/>
      <c r="AK16" s="10"/>
      <c r="AL16" s="10"/>
      <c r="AM16" s="10"/>
      <c r="AN16" s="10"/>
      <c r="AO16" s="10"/>
    </row>
    <row r="17" spans="1:41">
      <c r="A17" s="5"/>
      <c r="B17" s="90" t="s">
        <v>551</v>
      </c>
      <c r="C17" s="474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AA17" s="470"/>
      <c r="AB17" s="470"/>
      <c r="AC17" s="39"/>
      <c r="AD17" s="39"/>
      <c r="AH17" s="39"/>
      <c r="AI17" s="39"/>
      <c r="AJ17" s="10"/>
      <c r="AK17" s="10"/>
      <c r="AL17" s="10"/>
      <c r="AM17" s="10"/>
      <c r="AN17" s="10"/>
      <c r="AO17" s="10"/>
    </row>
    <row r="18" spans="1:41" ht="13.5" thickBot="1">
      <c r="A18" s="5"/>
      <c r="B18" s="468" t="s">
        <v>443</v>
      </c>
      <c r="C18" s="967"/>
      <c r="D18" s="647"/>
      <c r="E18" s="647"/>
      <c r="F18" s="647"/>
      <c r="G18" s="647"/>
      <c r="H18" s="647"/>
      <c r="I18" s="647"/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7"/>
      <c r="U18" s="647"/>
      <c r="V18" s="647"/>
      <c r="W18" s="647"/>
      <c r="X18" s="647"/>
      <c r="AA18" s="470"/>
      <c r="AB18" s="470"/>
      <c r="AC18" s="470"/>
      <c r="AD18" s="470"/>
      <c r="AH18" s="39"/>
      <c r="AI18" s="39"/>
      <c r="AJ18" s="10"/>
      <c r="AK18" s="10"/>
      <c r="AL18" s="10"/>
      <c r="AM18" s="10"/>
      <c r="AN18" s="10"/>
      <c r="AO18" s="10"/>
    </row>
    <row r="19" spans="1:41">
      <c r="A19" s="5"/>
      <c r="B19" s="91" t="s">
        <v>452</v>
      </c>
      <c r="C19" s="475"/>
      <c r="D19" s="472"/>
      <c r="E19" s="472"/>
      <c r="F19" s="604"/>
      <c r="G19" s="477"/>
      <c r="H19" s="477"/>
      <c r="I19" s="477"/>
      <c r="J19" s="477"/>
      <c r="K19" s="477"/>
      <c r="L19" s="477"/>
      <c r="M19" s="477"/>
      <c r="N19" s="477"/>
      <c r="O19" s="472"/>
      <c r="P19" s="472"/>
      <c r="Q19" s="472"/>
      <c r="R19" s="472"/>
      <c r="S19" s="472"/>
      <c r="T19" s="472"/>
      <c r="U19" s="472"/>
      <c r="V19" s="472"/>
      <c r="W19" s="472"/>
      <c r="X19" s="472"/>
      <c r="Y19" s="472"/>
      <c r="Z19" s="472"/>
      <c r="AA19" s="472"/>
      <c r="AB19" s="472"/>
      <c r="AC19" s="472"/>
      <c r="AD19" s="472"/>
      <c r="AE19" s="472"/>
      <c r="AF19" s="472"/>
      <c r="AG19" s="472"/>
      <c r="AH19" s="39"/>
      <c r="AI19" s="39"/>
      <c r="AJ19" s="10"/>
      <c r="AK19" s="10"/>
      <c r="AL19" s="10"/>
      <c r="AM19" s="10"/>
      <c r="AN19" s="10"/>
      <c r="AO19" s="10"/>
    </row>
    <row r="20" spans="1:41" ht="13.5" thickBot="1">
      <c r="A20" s="5"/>
      <c r="B20" s="468" t="s">
        <v>453</v>
      </c>
      <c r="C20" s="646"/>
      <c r="D20" s="647"/>
      <c r="E20" s="647"/>
      <c r="F20" s="647"/>
      <c r="G20" s="647"/>
      <c r="H20" s="647"/>
      <c r="I20" s="647"/>
      <c r="J20" s="647"/>
      <c r="K20" s="647"/>
      <c r="L20" s="647"/>
      <c r="M20" s="647"/>
      <c r="N20" s="647"/>
      <c r="O20" s="648"/>
      <c r="P20" s="648"/>
      <c r="Q20" s="648"/>
      <c r="R20" s="648"/>
      <c r="S20" s="648"/>
      <c r="T20" s="648"/>
      <c r="U20" s="648"/>
      <c r="V20" s="648"/>
      <c r="W20" s="648"/>
      <c r="X20" s="648"/>
      <c r="Y20" s="648"/>
      <c r="Z20" s="648"/>
      <c r="AA20" s="648"/>
      <c r="AB20" s="648"/>
      <c r="AC20" s="647"/>
      <c r="AD20" s="647"/>
      <c r="AE20" s="647"/>
      <c r="AF20" s="647"/>
      <c r="AG20" s="647"/>
      <c r="AH20" s="39"/>
      <c r="AI20" s="39"/>
      <c r="AJ20" s="10"/>
      <c r="AK20" s="10"/>
      <c r="AL20" s="10"/>
      <c r="AM20" s="10"/>
      <c r="AN20" s="10"/>
      <c r="AO20" s="10"/>
    </row>
    <row r="21" spans="1:41" ht="13.5" thickBot="1">
      <c r="A21" s="5"/>
      <c r="B21" s="40"/>
      <c r="C21" s="41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10"/>
      <c r="AK21" s="10"/>
      <c r="AL21" s="10"/>
      <c r="AM21" s="10"/>
      <c r="AN21" s="10"/>
      <c r="AO21" s="10"/>
    </row>
    <row r="22" spans="1:41" ht="13.5" thickBot="1">
      <c r="A22" s="6"/>
      <c r="B22" s="82"/>
      <c r="C22" s="95">
        <v>41791</v>
      </c>
      <c r="D22" s="95">
        <v>41821</v>
      </c>
      <c r="E22" s="95">
        <v>41852</v>
      </c>
      <c r="F22" s="95">
        <v>41883</v>
      </c>
      <c r="G22" s="95">
        <v>41913</v>
      </c>
      <c r="H22" s="95">
        <v>41944</v>
      </c>
      <c r="I22" s="95">
        <v>41974</v>
      </c>
      <c r="J22" s="95">
        <v>42005</v>
      </c>
      <c r="K22" s="95">
        <v>42036</v>
      </c>
      <c r="L22" s="95">
        <v>42064</v>
      </c>
      <c r="M22" s="670">
        <v>42095</v>
      </c>
      <c r="N22" s="95">
        <v>42125</v>
      </c>
      <c r="O22" s="95">
        <v>42156</v>
      </c>
      <c r="P22" s="95">
        <v>42186</v>
      </c>
      <c r="Q22" s="95">
        <v>42217</v>
      </c>
      <c r="R22" s="95">
        <v>42248</v>
      </c>
      <c r="S22" s="95">
        <v>42278</v>
      </c>
      <c r="T22" s="95">
        <v>42309</v>
      </c>
      <c r="U22" s="95">
        <v>42339</v>
      </c>
      <c r="V22" s="95">
        <v>42370</v>
      </c>
      <c r="W22" s="95">
        <v>42401</v>
      </c>
      <c r="X22" s="95">
        <v>42430</v>
      </c>
      <c r="Y22" s="95">
        <v>42461</v>
      </c>
      <c r="Z22" s="95">
        <v>42491</v>
      </c>
      <c r="AA22" s="95">
        <v>42522</v>
      </c>
      <c r="AB22" s="95">
        <v>42552</v>
      </c>
      <c r="AC22" s="95">
        <v>42583</v>
      </c>
      <c r="AD22" s="95">
        <v>42614</v>
      </c>
      <c r="AE22" s="95">
        <v>42644</v>
      </c>
      <c r="AF22" s="95">
        <v>42675</v>
      </c>
      <c r="AG22" s="95">
        <v>42705</v>
      </c>
      <c r="AH22" s="96" t="s">
        <v>7</v>
      </c>
      <c r="AI22" s="39"/>
      <c r="AJ22" s="10"/>
      <c r="AK22" s="10"/>
      <c r="AL22" s="10"/>
      <c r="AM22" s="10"/>
      <c r="AN22" s="10"/>
      <c r="AO22" s="10"/>
    </row>
    <row r="23" spans="1:41">
      <c r="A23" s="5"/>
      <c r="B23" s="83"/>
      <c r="C23" s="93"/>
      <c r="D23" s="94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74"/>
      <c r="AI23" s="39"/>
      <c r="AJ23" s="10"/>
      <c r="AK23" s="10"/>
      <c r="AL23" s="10"/>
      <c r="AM23" s="10"/>
      <c r="AN23" s="10"/>
      <c r="AO23" s="10"/>
    </row>
    <row r="24" spans="1:41">
      <c r="A24" s="965">
        <v>0</v>
      </c>
      <c r="B24" s="84" t="s">
        <v>524</v>
      </c>
      <c r="C24" s="93"/>
      <c r="D24" s="94"/>
      <c r="E24" s="94"/>
      <c r="F24" s="94"/>
      <c r="G24" s="94">
        <v>4</v>
      </c>
      <c r="H24" s="94">
        <f>IF(SUM($G21:G$21)&gt;=$A$24,MIN(($E$3-H21),MIN($F$3,$A$25-SUM($G24:G$24))),0)</f>
        <v>4</v>
      </c>
      <c r="I24" s="94">
        <f>IF(SUM($G21:H$21)&gt;=$A$24,MIN(($E$3-I21),MIN($F$3,$A$25-SUM($G24:H$24))),0)</f>
        <v>4</v>
      </c>
      <c r="J24" s="94">
        <f>IF(SUM($G21:I$21)&gt;=$A$24,MIN(($E$3-J21),MIN($F$3,$A$25-SUM($G24:I$24))),0)</f>
        <v>4</v>
      </c>
      <c r="K24" s="94">
        <f>IF(SUM($G21:J$21)&gt;=$A$24,MIN(($E$3-K21),MIN($F$3,$A$25-SUM($G24:J$24))),0)</f>
        <v>4</v>
      </c>
      <c r="L24" s="94">
        <f>IF(SUM($G21:K$21)&gt;=$A$24,MIN(($E$3-L21),MIN($F$3,$A$25-SUM($G24:K$24))),0)</f>
        <v>4</v>
      </c>
      <c r="M24" s="94">
        <f>IF(SUM($G21:L$21)&gt;=$A$24,MIN(($E$3-M21),MIN($F$3,$A$25-SUM($G24:L$24))),0)</f>
        <v>4</v>
      </c>
      <c r="N24" s="94">
        <f>IF(SUM($G21:M$21)&gt;=$A$24,MIN(($E$3-N21),MIN($F$3,$A$25-SUM($G24:M$24))),0)</f>
        <v>4</v>
      </c>
      <c r="O24" s="94">
        <f>IF(SUM($G21:N$21)&gt;=$A$24,MIN(($E$3-O21),MIN($F$3,$A$25-SUM($G24:N$24))),0)</f>
        <v>4</v>
      </c>
      <c r="P24" s="94">
        <f>IF(SUM($G21:O$21)&gt;=$A$24,MIN(($E$3-P21),MIN($F$3,$A$25-SUM($G24:O$24))),0)</f>
        <v>4</v>
      </c>
      <c r="Q24" s="94">
        <f>IF(SUM($G21:P$21)&gt;=$A$24,MIN(($E$3-Q21),MIN($F$3,$A$25-SUM($G24:P$24))),0)</f>
        <v>4</v>
      </c>
      <c r="R24" s="94">
        <f>IF(SUM($G21:Q$21)&gt;=$A$24,MIN(($E$3-R21),MIN($F$3,$A$25-SUM($G24:Q$24))),0)</f>
        <v>4</v>
      </c>
      <c r="S24" s="94">
        <f>IF(SUM($G21:R$21)&gt;=$A$24,MIN(($E$3-S21),MIN($F$3,$A$25-SUM($G24:R$24))),0)</f>
        <v>4</v>
      </c>
      <c r="T24" s="94">
        <f>IF(SUM($G21:S$21)&gt;=$A$24,MIN(($E$3-T21),MIN($F$3,$A$25-SUM($G24:S$24))),0)</f>
        <v>4</v>
      </c>
      <c r="U24" s="94">
        <f>IF(SUM($G21:T$21)&gt;=$A$24,MIN(($E$3-U21),MIN($F$3,$A$25-SUM($G24:T$24))),0)</f>
        <v>4</v>
      </c>
      <c r="V24" s="94">
        <f>IF(SUM($G21:U$21)&gt;=$A$24,MIN(($E$3-V21),MIN($F$3,$A$25-SUM($G24:U$24))),0)</f>
        <v>4</v>
      </c>
      <c r="W24" s="94">
        <f>IF(SUM($G21:V$21)&gt;=$A$24,MIN(($E$3-W21),MIN($F$3,$A$25-SUM($G24:V$24))),0)</f>
        <v>4</v>
      </c>
      <c r="X24" s="94">
        <f>IF(SUM($G21:W$21)&gt;=$A$24,MIN(($E$3-X21),MIN($F$3,$A$25-SUM($G24:W$24))),0)</f>
        <v>4</v>
      </c>
      <c r="Y24" s="94">
        <f>IF(SUM($G21:X$21)&gt;=$A$24,MIN(($E$3-Y21),MIN($F$3,$A$25-SUM($G24:X$24))),0)</f>
        <v>4</v>
      </c>
      <c r="Z24" s="94">
        <f>IF(SUM($G21:Y$21)&gt;=$A$24,MIN(($E$3-Z21),MIN($F$3,$A$25-SUM($G24:Y$24))),0)</f>
        <v>4</v>
      </c>
      <c r="AA24" s="94">
        <f>IF(SUM($G21:Z$21)&gt;=$A$24,MIN(($E$3-AA21),MIN($F$3,$A$25-SUM($G24:Z$24))),0)</f>
        <v>4</v>
      </c>
      <c r="AB24" s="94">
        <f>IF(SUM($G21:AA$21)&gt;=$A$24,MIN(($E$3-AB21),MIN($F$3,$A$25-SUM($G24:AA$24))),0)</f>
        <v>0</v>
      </c>
      <c r="AC24" s="94">
        <f>IF(SUM($G21:AB$21)&gt;=$A$24,MIN(($E$3-AC21),MIN($F$3,$A$25-SUM($G24:AB$24))),0)</f>
        <v>0</v>
      </c>
      <c r="AD24" s="94">
        <f>IF(SUM($G21:AC$21)&gt;=$A$24,MIN(($E$3-AD21),MIN($F$3,$A$25-SUM($G24:AC$24))),0)</f>
        <v>0</v>
      </c>
      <c r="AE24" s="94">
        <f>IF(SUM($G21:AD$21)&gt;=$A$24,MIN(($E$3-AE21),MIN($F$3,$A$25-SUM($G24:AD$24))),0)</f>
        <v>0</v>
      </c>
      <c r="AF24" s="94">
        <f>IF(SUM($G21:AE$21)&gt;=$A$24,MIN(($E$3-AF21),MIN($F$3,$A$25-SUM($G24:AE$24))),0)</f>
        <v>0</v>
      </c>
      <c r="AG24" s="94">
        <f>IF(SUM($G21:AF$21)&gt;=$A$24,MIN(($E$3-AG21),MIN($F$3,$A$25-SUM($G24:AF$24))),0)</f>
        <v>0</v>
      </c>
      <c r="AH24" s="85">
        <f>SUM(C24:AG24)</f>
        <v>84</v>
      </c>
      <c r="AI24" s="39"/>
      <c r="AJ24" s="10"/>
      <c r="AK24" s="10"/>
      <c r="AL24" s="10"/>
      <c r="AM24" s="10"/>
      <c r="AN24" s="10"/>
      <c r="AO24" s="10"/>
    </row>
    <row r="25" spans="1:41">
      <c r="A25" s="966">
        <f>'CUADRO DE VENTAS'!D200</f>
        <v>84</v>
      </c>
      <c r="B25" s="84" t="s">
        <v>220</v>
      </c>
      <c r="C25" s="42"/>
      <c r="D25" s="43"/>
      <c r="E25" s="43"/>
      <c r="F25" s="43">
        <v>0</v>
      </c>
      <c r="G25" s="43">
        <v>0</v>
      </c>
      <c r="H25" s="43">
        <f>IF(SUM($G21:G$21)&gt;=$A$24,MIN(($E$3-H21),MIN($F$3,$A$25-SUM($G25:G$25))),0)</f>
        <v>4</v>
      </c>
      <c r="I25" s="43">
        <f>IF(SUM($G21:H$21)&gt;=$A$24,MIN(($E$3-I21),MIN($F$3,$A$25-SUM($G25:H$25))),0)</f>
        <v>4</v>
      </c>
      <c r="J25" s="43">
        <f>IF(SUM($G21:I$21)&gt;=$A$24,MIN(($E$3-J21),MIN($F$3,$A$25-SUM($G25:I$25))),0)</f>
        <v>4</v>
      </c>
      <c r="K25" s="43">
        <f>IF(SUM($G21:J$21)&gt;=$A$24,MIN(($E$3-K21),MIN($F$3,$A$25-SUM($G25:J$25))),0)</f>
        <v>4</v>
      </c>
      <c r="L25" s="43">
        <f>IF(SUM($G21:K$21)&gt;=$A$24,MIN(($E$3-L21),MIN($F$3,$A$25-SUM($G25:K$25))),0)</f>
        <v>4</v>
      </c>
      <c r="M25" s="43">
        <f>IF(SUM($G21:L$21)&gt;=$A$24,MIN(($E$3-M21),MIN($F$3,$A$25-SUM($G25:L$25))),0)</f>
        <v>4</v>
      </c>
      <c r="N25" s="43">
        <f>IF(SUM($G21:M$21)&gt;=$A$24,MIN(($E$3-N21),MIN($F$3,$A$25-SUM($G25:M$25))),0)</f>
        <v>4</v>
      </c>
      <c r="O25" s="43">
        <f>IF(SUM($G21:N$21)&gt;=$A$24,MIN(($E$3-O21),MIN($F$3,$A$25-SUM($G25:N$25))),0)</f>
        <v>4</v>
      </c>
      <c r="P25" s="43">
        <f>IF(SUM($G21:O$21)&gt;=$A$24,MIN(($E$3-P21),MIN($F$3,$A$25-SUM($G25:O$25))),0)</f>
        <v>4</v>
      </c>
      <c r="Q25" s="43">
        <f>IF(SUM($G21:P$21)&gt;=$A$24,MIN(($E$3-Q21),MIN($F$3,$A$25-SUM($G25:P$25))),0)</f>
        <v>4</v>
      </c>
      <c r="R25" s="43">
        <f>IF(SUM($G21:Q$21)&gt;=$A$24,MIN(($E$3-R21),MIN($F$3,$A$25-SUM($G25:Q$25))),0)</f>
        <v>4</v>
      </c>
      <c r="S25" s="43">
        <f>IF(SUM($G21:R$21)&gt;=$A$24,MIN(($E$3-S21),MIN($F$3,$A$25-SUM($G25:R$25))),0)</f>
        <v>4</v>
      </c>
      <c r="T25" s="43">
        <f>IF(SUM($G21:S$21)&gt;=$A$24,MIN(($E$3-T21),MIN($F$3,$A$25-SUM($G25:S$25))),0)</f>
        <v>4</v>
      </c>
      <c r="U25" s="43">
        <f>IF(SUM($G21:T$21)&gt;=$A$24,MIN(($E$3-U21),MIN($F$3,$A$25-SUM($G25:T$25))),0)</f>
        <v>4</v>
      </c>
      <c r="V25" s="43">
        <f>IF(SUM($G21:U$21)&gt;=$A$24,MIN(($E$3-V21),MIN($F$3,$A$25-SUM($G25:U$25))),0)</f>
        <v>4</v>
      </c>
      <c r="W25" s="43">
        <f>IF(SUM($G21:V$21)&gt;=$A$24,MIN(($E$3-W21),MIN($F$3,$A$25-SUM($G25:V$25))),0)</f>
        <v>4</v>
      </c>
      <c r="X25" s="43">
        <f>IF(SUM($G21:W$21)&gt;=$A$24,MIN(($E$3-X21),MIN($F$3,$A$25-SUM($G25:W$25))),0)</f>
        <v>4</v>
      </c>
      <c r="Y25" s="43">
        <f>IF(SUM($G21:X$21)&gt;=$A$24,MIN(($E$3-Y21),MIN($F$3,$A$25-SUM($G25:X$25))),0)</f>
        <v>4</v>
      </c>
      <c r="Z25" s="43">
        <f>IF(SUM($G21:Y$21)&gt;=$A$24,MIN(($E$3-Z21),MIN($F$3,$A$25-SUM($G25:Y$25))),0)</f>
        <v>4</v>
      </c>
      <c r="AA25" s="43">
        <f>IF(SUM($G21:Z$21)&gt;=$A$24,MIN(($E$3-AA21),MIN($F$3,$A$25-SUM($G25:Z$25))),0)</f>
        <v>4</v>
      </c>
      <c r="AB25" s="43">
        <f>IF(SUM($G21:AA$21)&gt;=$A$24,MIN(($E$3-AB21),MIN($F$3,$A$25-SUM($G25:AA$25))),0)</f>
        <v>4</v>
      </c>
      <c r="AC25" s="43">
        <f>IF(SUM($G21:AB$21)&gt;=$A$24,MIN(($E$3-AC21),MIN($F$3,$A$25-SUM($G25:AB$25))),0)</f>
        <v>0</v>
      </c>
      <c r="AD25" s="43">
        <f>IF(SUM($G21:AC$21)&gt;=$A$24,MIN(($E$3-AD21),MIN($F$3,$A$25-SUM($G25:AC$25))),0)</f>
        <v>0</v>
      </c>
      <c r="AE25" s="43">
        <f>IF(SUM($G21:AD$21)&gt;=$A$24,MIN(($E$3-AE21),MIN($F$3,$A$25-SUM($G25:AD$25))),0)</f>
        <v>0</v>
      </c>
      <c r="AF25" s="43">
        <f>IF(SUM($G21:AE$21)&gt;=$A$24,MIN(($E$3-AF21),MIN($F$3,$A$25-SUM($G25:AE$25))),0)</f>
        <v>0</v>
      </c>
      <c r="AG25" s="43">
        <f>IF(SUM($G21:AF$21)&gt;=$A$24,MIN(($E$3-AG21),MIN($F$3,$A$25-SUM($G25:AF$25))),0)</f>
        <v>0</v>
      </c>
      <c r="AH25" s="85">
        <f t="shared" ref="AH25:AH29" si="0">SUM(C25:AG25)</f>
        <v>84</v>
      </c>
      <c r="AI25" s="587"/>
      <c r="AJ25" s="10"/>
      <c r="AK25" s="10"/>
      <c r="AL25" s="10"/>
      <c r="AM25" s="10"/>
      <c r="AN25" s="10"/>
      <c r="AO25" s="10"/>
    </row>
    <row r="26" spans="1:41">
      <c r="A26" s="966">
        <f>'CUADRO DE VENTAS'!D207</f>
        <v>54</v>
      </c>
      <c r="B26" s="84" t="s">
        <v>502</v>
      </c>
      <c r="C26" s="86"/>
      <c r="D26" s="87"/>
      <c r="E26" s="87"/>
      <c r="F26" s="87"/>
      <c r="G26" s="87"/>
      <c r="H26" s="87"/>
      <c r="I26" s="87"/>
      <c r="J26" s="87">
        <v>3</v>
      </c>
      <c r="K26" s="87">
        <f>J26</f>
        <v>3</v>
      </c>
      <c r="L26" s="87">
        <f t="shared" ref="L26:AA26" si="1">K26</f>
        <v>3</v>
      </c>
      <c r="M26" s="87">
        <f t="shared" si="1"/>
        <v>3</v>
      </c>
      <c r="N26" s="87">
        <f t="shared" si="1"/>
        <v>3</v>
      </c>
      <c r="O26" s="87">
        <f t="shared" si="1"/>
        <v>3</v>
      </c>
      <c r="P26" s="87">
        <f t="shared" si="1"/>
        <v>3</v>
      </c>
      <c r="Q26" s="87">
        <f t="shared" si="1"/>
        <v>3</v>
      </c>
      <c r="R26" s="87">
        <f t="shared" si="1"/>
        <v>3</v>
      </c>
      <c r="S26" s="87">
        <f t="shared" si="1"/>
        <v>3</v>
      </c>
      <c r="T26" s="87">
        <f t="shared" si="1"/>
        <v>3</v>
      </c>
      <c r="U26" s="87">
        <f t="shared" si="1"/>
        <v>3</v>
      </c>
      <c r="V26" s="87">
        <f t="shared" si="1"/>
        <v>3</v>
      </c>
      <c r="W26" s="87">
        <f t="shared" si="1"/>
        <v>3</v>
      </c>
      <c r="X26" s="87">
        <f t="shared" si="1"/>
        <v>3</v>
      </c>
      <c r="Y26" s="87">
        <f t="shared" si="1"/>
        <v>3</v>
      </c>
      <c r="Z26" s="87">
        <f t="shared" si="1"/>
        <v>3</v>
      </c>
      <c r="AA26" s="87">
        <f t="shared" si="1"/>
        <v>3</v>
      </c>
      <c r="AB26" s="87"/>
      <c r="AC26" s="87"/>
      <c r="AD26" s="87"/>
      <c r="AE26" s="87"/>
      <c r="AF26" s="87"/>
      <c r="AG26" s="87"/>
      <c r="AH26" s="85">
        <f t="shared" si="0"/>
        <v>54</v>
      </c>
      <c r="AI26" s="587">
        <f>54-AH26</f>
        <v>0</v>
      </c>
      <c r="AJ26" s="10"/>
      <c r="AK26" s="10"/>
      <c r="AL26" s="10"/>
      <c r="AM26" s="10"/>
      <c r="AN26" s="10"/>
      <c r="AO26" s="10"/>
    </row>
    <row r="27" spans="1:41">
      <c r="A27" s="966">
        <f>'CUADRO DE VENTAS'!D208</f>
        <v>8</v>
      </c>
      <c r="B27" s="84" t="s">
        <v>503</v>
      </c>
      <c r="C27" s="86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>
        <v>8</v>
      </c>
      <c r="AC27" s="87"/>
      <c r="AD27" s="87"/>
      <c r="AE27" s="87"/>
      <c r="AF27" s="87"/>
      <c r="AG27" s="87"/>
      <c r="AH27" s="85">
        <f t="shared" si="0"/>
        <v>8</v>
      </c>
      <c r="AI27" s="587">
        <f>8-AH27</f>
        <v>0</v>
      </c>
      <c r="AJ27" s="10"/>
      <c r="AK27" s="10"/>
      <c r="AL27" s="10"/>
      <c r="AM27" s="10"/>
      <c r="AN27" s="10"/>
      <c r="AO27" s="10"/>
    </row>
    <row r="28" spans="1:41">
      <c r="A28" s="966">
        <f>'CUADRO DE VENTAS'!D210</f>
        <v>24</v>
      </c>
      <c r="B28" s="84" t="s">
        <v>446</v>
      </c>
      <c r="C28" s="86"/>
      <c r="D28" s="87"/>
      <c r="E28" s="87"/>
      <c r="F28" s="87"/>
      <c r="G28" s="87"/>
      <c r="H28" s="87"/>
      <c r="I28" s="87"/>
      <c r="J28" s="87">
        <v>1</v>
      </c>
      <c r="K28" s="87">
        <f>J28</f>
        <v>1</v>
      </c>
      <c r="L28" s="87">
        <f t="shared" ref="L28:W28" si="2">K28</f>
        <v>1</v>
      </c>
      <c r="M28" s="87">
        <f t="shared" si="2"/>
        <v>1</v>
      </c>
      <c r="N28" s="87">
        <f t="shared" si="2"/>
        <v>1</v>
      </c>
      <c r="O28" s="87">
        <f t="shared" si="2"/>
        <v>1</v>
      </c>
      <c r="P28" s="87">
        <f t="shared" si="2"/>
        <v>1</v>
      </c>
      <c r="Q28" s="87">
        <f t="shared" si="2"/>
        <v>1</v>
      </c>
      <c r="R28" s="87">
        <f t="shared" si="2"/>
        <v>1</v>
      </c>
      <c r="S28" s="87">
        <f t="shared" si="2"/>
        <v>1</v>
      </c>
      <c r="T28" s="87">
        <f t="shared" si="2"/>
        <v>1</v>
      </c>
      <c r="U28" s="87">
        <f t="shared" si="2"/>
        <v>1</v>
      </c>
      <c r="V28" s="87">
        <f t="shared" si="2"/>
        <v>1</v>
      </c>
      <c r="W28" s="87">
        <f t="shared" si="2"/>
        <v>1</v>
      </c>
      <c r="X28" s="87">
        <v>2</v>
      </c>
      <c r="Y28" s="87">
        <f t="shared" ref="Y28:AB28" si="3">X28</f>
        <v>2</v>
      </c>
      <c r="Z28" s="87">
        <f t="shared" si="3"/>
        <v>2</v>
      </c>
      <c r="AA28" s="87">
        <f t="shared" si="3"/>
        <v>2</v>
      </c>
      <c r="AB28" s="87">
        <f t="shared" si="3"/>
        <v>2</v>
      </c>
      <c r="AC28" s="87"/>
      <c r="AD28" s="87"/>
      <c r="AE28" s="87"/>
      <c r="AF28" s="87"/>
      <c r="AG28" s="87"/>
      <c r="AH28" s="85">
        <f t="shared" si="0"/>
        <v>24</v>
      </c>
      <c r="AI28" s="587">
        <f>24-AH28</f>
        <v>0</v>
      </c>
      <c r="AJ28" s="10"/>
      <c r="AK28" s="10"/>
      <c r="AL28" s="10"/>
      <c r="AM28" s="10"/>
      <c r="AN28" s="10"/>
      <c r="AO28" s="10"/>
    </row>
    <row r="29" spans="1:41" ht="13.5" thickBot="1">
      <c r="A29" s="966">
        <f>'CUADRO DE VENTAS'!D203</f>
        <v>8</v>
      </c>
      <c r="B29" s="84" t="s">
        <v>500</v>
      </c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>
        <v>8</v>
      </c>
      <c r="AC29" s="28"/>
      <c r="AD29" s="28"/>
      <c r="AE29" s="28"/>
      <c r="AF29" s="28"/>
      <c r="AG29" s="28"/>
      <c r="AH29" s="85">
        <f t="shared" si="0"/>
        <v>8</v>
      </c>
      <c r="AI29" s="587">
        <f>8-AH29</f>
        <v>0</v>
      </c>
      <c r="AJ29" s="10"/>
      <c r="AK29" s="10"/>
      <c r="AL29" s="10"/>
      <c r="AM29" s="10"/>
      <c r="AN29" s="10"/>
      <c r="AO29" s="10"/>
    </row>
    <row r="30" spans="1:41" ht="13.5" thickBot="1">
      <c r="A30" s="4"/>
      <c r="B30" s="88" t="s">
        <v>32</v>
      </c>
      <c r="C30" s="81">
        <f t="shared" ref="C30:G30" si="4">SUM(C23:C29)</f>
        <v>0</v>
      </c>
      <c r="D30" s="81">
        <f t="shared" si="4"/>
        <v>0</v>
      </c>
      <c r="E30" s="81">
        <f t="shared" si="4"/>
        <v>0</v>
      </c>
      <c r="F30" s="81">
        <f t="shared" si="4"/>
        <v>0</v>
      </c>
      <c r="G30" s="81">
        <f t="shared" si="4"/>
        <v>4</v>
      </c>
      <c r="H30" s="81">
        <f>SUM(H23:H29)</f>
        <v>8</v>
      </c>
      <c r="I30" s="81">
        <f t="shared" ref="I30:AG30" si="5">SUM(I23:I29)</f>
        <v>8</v>
      </c>
      <c r="J30" s="81">
        <f t="shared" si="5"/>
        <v>12</v>
      </c>
      <c r="K30" s="81">
        <f t="shared" si="5"/>
        <v>12</v>
      </c>
      <c r="L30" s="81">
        <f t="shared" si="5"/>
        <v>12</v>
      </c>
      <c r="M30" s="81">
        <f t="shared" si="5"/>
        <v>12</v>
      </c>
      <c r="N30" s="81">
        <f t="shared" si="5"/>
        <v>12</v>
      </c>
      <c r="O30" s="81">
        <f t="shared" si="5"/>
        <v>12</v>
      </c>
      <c r="P30" s="81">
        <f t="shared" si="5"/>
        <v>12</v>
      </c>
      <c r="Q30" s="81">
        <f t="shared" si="5"/>
        <v>12</v>
      </c>
      <c r="R30" s="81">
        <f t="shared" si="5"/>
        <v>12</v>
      </c>
      <c r="S30" s="81">
        <f t="shared" si="5"/>
        <v>12</v>
      </c>
      <c r="T30" s="81">
        <f t="shared" si="5"/>
        <v>12</v>
      </c>
      <c r="U30" s="81">
        <f t="shared" si="5"/>
        <v>12</v>
      </c>
      <c r="V30" s="81">
        <f t="shared" si="5"/>
        <v>12</v>
      </c>
      <c r="W30" s="81">
        <f t="shared" si="5"/>
        <v>12</v>
      </c>
      <c r="X30" s="81">
        <f t="shared" si="5"/>
        <v>13</v>
      </c>
      <c r="Y30" s="81">
        <f t="shared" si="5"/>
        <v>13</v>
      </c>
      <c r="Z30" s="81">
        <f t="shared" si="5"/>
        <v>13</v>
      </c>
      <c r="AA30" s="81">
        <f t="shared" si="5"/>
        <v>13</v>
      </c>
      <c r="AB30" s="81">
        <f t="shared" si="5"/>
        <v>22</v>
      </c>
      <c r="AC30" s="81">
        <f t="shared" si="5"/>
        <v>0</v>
      </c>
      <c r="AD30" s="81">
        <f t="shared" si="5"/>
        <v>0</v>
      </c>
      <c r="AE30" s="81">
        <f t="shared" si="5"/>
        <v>0</v>
      </c>
      <c r="AF30" s="81">
        <f t="shared" si="5"/>
        <v>0</v>
      </c>
      <c r="AG30" s="81">
        <f t="shared" si="5"/>
        <v>0</v>
      </c>
      <c r="AH30" s="89">
        <f>SUM(AH25:AH29)</f>
        <v>178</v>
      </c>
      <c r="AI30" s="39"/>
      <c r="AJ30" s="10"/>
      <c r="AK30" s="10"/>
      <c r="AL30" s="10"/>
      <c r="AM30" s="10"/>
      <c r="AN30" s="10"/>
      <c r="AO30" s="10"/>
    </row>
    <row r="31" spans="1:41">
      <c r="A31" s="5"/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10"/>
      <c r="AK31" s="10"/>
      <c r="AL31" s="10"/>
      <c r="AM31" s="10"/>
      <c r="AN31" s="10"/>
      <c r="AO31" s="10"/>
    </row>
    <row r="32" spans="1:41">
      <c r="A32" s="5"/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>
        <f>SUM(I25:AA25)</f>
        <v>76</v>
      </c>
      <c r="AB32" s="28"/>
      <c r="AC32" s="28"/>
      <c r="AD32" s="28"/>
      <c r="AE32" s="28"/>
      <c r="AF32" s="28"/>
      <c r="AG32" s="28"/>
      <c r="AH32" s="28"/>
      <c r="AJ32" s="10"/>
      <c r="AK32" s="10"/>
      <c r="AL32" s="10"/>
      <c r="AM32" s="10"/>
      <c r="AN32" s="10"/>
      <c r="AO32" s="10"/>
    </row>
    <row r="33" spans="1:41">
      <c r="A33" s="5"/>
      <c r="B33" s="649" t="s">
        <v>33</v>
      </c>
      <c r="C33" s="28"/>
      <c r="D33" s="28"/>
      <c r="E33" s="28"/>
      <c r="F33" s="28"/>
      <c r="G33" s="28"/>
      <c r="H33" s="28"/>
      <c r="I33" s="28"/>
      <c r="J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C33" s="28"/>
      <c r="AD33" s="28"/>
      <c r="AE33" s="28"/>
      <c r="AF33" s="28"/>
      <c r="AG33" s="28"/>
      <c r="AH33" s="28"/>
      <c r="AI33" s="28"/>
      <c r="AJ33" s="10"/>
      <c r="AK33" s="10"/>
      <c r="AL33" s="10"/>
      <c r="AM33" s="10"/>
      <c r="AN33" s="10"/>
      <c r="AO33" s="10"/>
    </row>
    <row r="34" spans="1:41" ht="13.5" thickBot="1">
      <c r="A34" s="5"/>
      <c r="B34" s="44" t="s">
        <v>59</v>
      </c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39"/>
      <c r="AH34" s="39"/>
      <c r="AI34" s="39"/>
      <c r="AJ34" s="10"/>
      <c r="AK34" s="10"/>
      <c r="AL34" s="10"/>
      <c r="AM34" s="10"/>
      <c r="AN34" s="10"/>
      <c r="AO34" s="10"/>
    </row>
    <row r="35" spans="1:41" ht="15.75" customHeight="1" thickBot="1">
      <c r="A35" s="6"/>
      <c r="B35" s="72"/>
      <c r="C35" s="95">
        <f t="shared" ref="C35:AG35" si="6">C22</f>
        <v>41791</v>
      </c>
      <c r="D35" s="95">
        <f t="shared" si="6"/>
        <v>41821</v>
      </c>
      <c r="E35" s="95">
        <f t="shared" si="6"/>
        <v>41852</v>
      </c>
      <c r="F35" s="95">
        <f t="shared" si="6"/>
        <v>41883</v>
      </c>
      <c r="G35" s="95">
        <f t="shared" si="6"/>
        <v>41913</v>
      </c>
      <c r="H35" s="95">
        <f t="shared" si="6"/>
        <v>41944</v>
      </c>
      <c r="I35" s="95">
        <f t="shared" si="6"/>
        <v>41974</v>
      </c>
      <c r="J35" s="95">
        <f t="shared" si="6"/>
        <v>42005</v>
      </c>
      <c r="K35" s="95">
        <f t="shared" si="6"/>
        <v>42036</v>
      </c>
      <c r="L35" s="95">
        <f t="shared" si="6"/>
        <v>42064</v>
      </c>
      <c r="M35" s="670">
        <f t="shared" si="6"/>
        <v>42095</v>
      </c>
      <c r="N35" s="95">
        <f t="shared" si="6"/>
        <v>42125</v>
      </c>
      <c r="O35" s="95">
        <f t="shared" si="6"/>
        <v>42156</v>
      </c>
      <c r="P35" s="95">
        <f t="shared" si="6"/>
        <v>42186</v>
      </c>
      <c r="Q35" s="95">
        <f t="shared" si="6"/>
        <v>42217</v>
      </c>
      <c r="R35" s="95">
        <f t="shared" si="6"/>
        <v>42248</v>
      </c>
      <c r="S35" s="95">
        <f t="shared" si="6"/>
        <v>42278</v>
      </c>
      <c r="T35" s="95">
        <f t="shared" si="6"/>
        <v>42309</v>
      </c>
      <c r="U35" s="95">
        <f t="shared" si="6"/>
        <v>42339</v>
      </c>
      <c r="V35" s="95">
        <f t="shared" si="6"/>
        <v>42370</v>
      </c>
      <c r="W35" s="95">
        <f t="shared" si="6"/>
        <v>42401</v>
      </c>
      <c r="X35" s="95">
        <f t="shared" si="6"/>
        <v>42430</v>
      </c>
      <c r="Y35" s="95">
        <f t="shared" si="6"/>
        <v>42461</v>
      </c>
      <c r="Z35" s="95">
        <f t="shared" si="6"/>
        <v>42491</v>
      </c>
      <c r="AA35" s="95">
        <f t="shared" si="6"/>
        <v>42522</v>
      </c>
      <c r="AB35" s="95">
        <f t="shared" si="6"/>
        <v>42552</v>
      </c>
      <c r="AC35" s="95">
        <f t="shared" si="6"/>
        <v>42583</v>
      </c>
      <c r="AD35" s="95">
        <f t="shared" si="6"/>
        <v>42614</v>
      </c>
      <c r="AE35" s="95">
        <f t="shared" si="6"/>
        <v>42644</v>
      </c>
      <c r="AF35" s="95">
        <f t="shared" si="6"/>
        <v>42675</v>
      </c>
      <c r="AG35" s="95">
        <f t="shared" si="6"/>
        <v>42705</v>
      </c>
      <c r="AH35" s="96" t="s">
        <v>7</v>
      </c>
      <c r="AI35" s="39"/>
      <c r="AJ35" s="10"/>
      <c r="AK35" s="10"/>
      <c r="AL35" s="10"/>
      <c r="AM35" s="10"/>
      <c r="AN35" s="10"/>
      <c r="AO35" s="10"/>
    </row>
    <row r="36" spans="1:41">
      <c r="A36" s="5"/>
      <c r="B36" s="73"/>
      <c r="C36" s="490"/>
      <c r="D36" s="490"/>
      <c r="E36" s="490"/>
      <c r="F36" s="490"/>
      <c r="G36" s="490"/>
      <c r="H36" s="490"/>
      <c r="I36" s="490"/>
      <c r="J36" s="490"/>
      <c r="K36" s="490"/>
      <c r="L36" s="490"/>
      <c r="M36" s="490"/>
      <c r="N36" s="490"/>
      <c r="O36" s="490"/>
      <c r="P36" s="490"/>
      <c r="Q36" s="490"/>
      <c r="R36" s="490"/>
      <c r="S36" s="490"/>
      <c r="T36" s="490"/>
      <c r="U36" s="490"/>
      <c r="V36" s="490"/>
      <c r="W36" s="490"/>
      <c r="X36" s="490"/>
      <c r="Y36" s="490"/>
      <c r="Z36" s="490"/>
      <c r="AA36" s="490"/>
      <c r="AB36" s="564"/>
      <c r="AC36" s="564"/>
      <c r="AD36" s="564"/>
      <c r="AE36" s="564"/>
      <c r="AF36" s="564"/>
      <c r="AG36" s="564"/>
      <c r="AH36" s="585"/>
      <c r="AI36" s="28"/>
      <c r="AJ36" s="10"/>
      <c r="AK36" s="10"/>
      <c r="AL36" s="10"/>
      <c r="AM36" s="10"/>
      <c r="AN36" s="10"/>
      <c r="AO36" s="10"/>
    </row>
    <row r="37" spans="1:41">
      <c r="A37" s="5"/>
      <c r="B37" s="74" t="s">
        <v>221</v>
      </c>
      <c r="C37" s="357"/>
      <c r="D37" s="357"/>
      <c r="E37" s="357"/>
      <c r="F37" s="357"/>
      <c r="G37" s="357"/>
      <c r="H37" s="357"/>
      <c r="I37" s="357"/>
      <c r="J37" s="357"/>
      <c r="K37" s="357"/>
      <c r="L37" s="357"/>
      <c r="M37" s="357"/>
      <c r="N37" s="357"/>
      <c r="O37" s="357"/>
      <c r="P37" s="357"/>
      <c r="Q37" s="357"/>
      <c r="R37" s="357"/>
      <c r="S37" s="357"/>
      <c r="T37" s="357"/>
      <c r="U37" s="357"/>
      <c r="V37" s="357"/>
      <c r="W37" s="357"/>
      <c r="X37" s="357"/>
      <c r="Y37" s="357"/>
      <c r="Z37" s="357"/>
      <c r="AA37" s="357"/>
      <c r="AB37" s="357"/>
      <c r="AC37" s="357"/>
      <c r="AD37" s="357"/>
      <c r="AE37" s="357"/>
      <c r="AF37" s="357"/>
      <c r="AG37" s="357"/>
      <c r="AH37" s="586"/>
      <c r="AI37" s="28"/>
      <c r="AJ37" s="34"/>
      <c r="AK37" s="10"/>
      <c r="AL37" s="10"/>
      <c r="AM37" s="10"/>
      <c r="AN37" s="10"/>
      <c r="AO37" s="10"/>
    </row>
    <row r="38" spans="1:41">
      <c r="A38" s="5"/>
      <c r="B38" s="608" t="s">
        <v>524</v>
      </c>
      <c r="C38" s="357"/>
      <c r="D38" s="357"/>
      <c r="E38" s="357"/>
      <c r="F38" s="357"/>
      <c r="G38" s="357">
        <f t="shared" ref="G38:H38" si="7">G24*$C$58</f>
        <v>1000</v>
      </c>
      <c r="H38" s="357">
        <f t="shared" si="7"/>
        <v>1000</v>
      </c>
      <c r="I38" s="357">
        <f t="shared" ref="I38:AC38" si="8">I24*$C$58</f>
        <v>1000</v>
      </c>
      <c r="J38" s="357">
        <f t="shared" si="8"/>
        <v>1000</v>
      </c>
      <c r="K38" s="357">
        <f t="shared" si="8"/>
        <v>1000</v>
      </c>
      <c r="L38" s="357">
        <f t="shared" si="8"/>
        <v>1000</v>
      </c>
      <c r="M38" s="357">
        <f t="shared" si="8"/>
        <v>1000</v>
      </c>
      <c r="N38" s="357">
        <f t="shared" si="8"/>
        <v>1000</v>
      </c>
      <c r="O38" s="357">
        <f t="shared" si="8"/>
        <v>1000</v>
      </c>
      <c r="P38" s="357">
        <f t="shared" si="8"/>
        <v>1000</v>
      </c>
      <c r="Q38" s="357">
        <f t="shared" si="8"/>
        <v>1000</v>
      </c>
      <c r="R38" s="357">
        <f t="shared" si="8"/>
        <v>1000</v>
      </c>
      <c r="S38" s="357">
        <f t="shared" si="8"/>
        <v>1000</v>
      </c>
      <c r="T38" s="357">
        <f t="shared" si="8"/>
        <v>1000</v>
      </c>
      <c r="U38" s="357">
        <f t="shared" si="8"/>
        <v>1000</v>
      </c>
      <c r="V38" s="357">
        <f t="shared" si="8"/>
        <v>1000</v>
      </c>
      <c r="W38" s="357">
        <f t="shared" si="8"/>
        <v>1000</v>
      </c>
      <c r="X38" s="357">
        <f t="shared" si="8"/>
        <v>1000</v>
      </c>
      <c r="Y38" s="357">
        <f t="shared" si="8"/>
        <v>1000</v>
      </c>
      <c r="Z38" s="357">
        <f t="shared" si="8"/>
        <v>1000</v>
      </c>
      <c r="AA38" s="357">
        <f t="shared" si="8"/>
        <v>1000</v>
      </c>
      <c r="AB38" s="357">
        <f t="shared" si="8"/>
        <v>0</v>
      </c>
      <c r="AC38" s="357">
        <f t="shared" si="8"/>
        <v>0</v>
      </c>
      <c r="AD38" s="357"/>
      <c r="AE38" s="357"/>
      <c r="AF38" s="357"/>
      <c r="AG38" s="357"/>
      <c r="AH38" s="586">
        <f>SUM(C38:AG38)</f>
        <v>21000</v>
      </c>
      <c r="AI38" s="600">
        <f>(84*250)-AH38</f>
        <v>0</v>
      </c>
      <c r="AJ38" s="34"/>
      <c r="AK38" s="10"/>
      <c r="AL38" s="10"/>
      <c r="AM38" s="10"/>
      <c r="AN38" s="10"/>
      <c r="AO38" s="10"/>
    </row>
    <row r="39" spans="1:41">
      <c r="A39" s="5"/>
      <c r="B39" s="608" t="s">
        <v>525</v>
      </c>
      <c r="C39" s="357"/>
      <c r="D39" s="357"/>
      <c r="E39" s="357"/>
      <c r="F39" s="357"/>
      <c r="G39" s="357">
        <f>+(G25*(('CUADRO DE VENTAS'!$G$200+'CUADRO DE VENTAS'!$H$200)/'CUADRO DE VENTAS'!$D$200)*$C$59)-(G25*$C$58)</f>
        <v>0</v>
      </c>
      <c r="H39" s="357">
        <f>+(H25*(('CUADRO DE VENTAS'!$G$200+'CUADRO DE VENTAS'!$H$200)/'CUADRO DE VENTAS'!$D$200)*$C$59)-(H25*$C$58)</f>
        <v>30824.464831804253</v>
      </c>
      <c r="I39" s="357">
        <f>+(I25*(('CUADRO DE VENTAS'!$G$200+'CUADRO DE VENTAS'!$H$200)/'CUADRO DE VENTAS'!$D$200)*$C$59)-(I25*$C$58)</f>
        <v>30824.464831804253</v>
      </c>
      <c r="J39" s="357">
        <f>+(J25*(('CUADRO DE VENTAS'!$G$200+'CUADRO DE VENTAS'!$H$200)/'CUADRO DE VENTAS'!$D$200)*$C$59)-(J25*$C$58)</f>
        <v>30824.464831804253</v>
      </c>
      <c r="K39" s="357">
        <f>+(K25*(('CUADRO DE VENTAS'!$G$200+'CUADRO DE VENTAS'!$H$200)/'CUADRO DE VENTAS'!$D$200)*$C$59)-(K25*$C$58)</f>
        <v>30824.464831804253</v>
      </c>
      <c r="L39" s="357">
        <f>+(L25*(('CUADRO DE VENTAS'!$G$200+'CUADRO DE VENTAS'!$H$200)/'CUADRO DE VENTAS'!$D$200)*$C$59)-(L25*$C$58)</f>
        <v>30824.464831804253</v>
      </c>
      <c r="M39" s="357">
        <f>+(M25*(('CUADRO DE VENTAS'!$G$200+'CUADRO DE VENTAS'!$H$200)/'CUADRO DE VENTAS'!$D$200)*$C$59)-(M25*$C$58)</f>
        <v>30824.464831804253</v>
      </c>
      <c r="N39" s="357">
        <f>+(N25*(('CUADRO DE VENTAS'!$G$200+'CUADRO DE VENTAS'!$H$200)/'CUADRO DE VENTAS'!$D$200)*$C$59)-(N25*$C$58)</f>
        <v>30824.464831804253</v>
      </c>
      <c r="O39" s="357">
        <f>+(O25*(('CUADRO DE VENTAS'!$G$200+'CUADRO DE VENTAS'!$H$200)/'CUADRO DE VENTAS'!$D$200)*$C$59)-(O25*$C$58)</f>
        <v>30824.464831804253</v>
      </c>
      <c r="P39" s="357">
        <f>+(P25*(('CUADRO DE VENTAS'!$G$200+'CUADRO DE VENTAS'!$H$200)/'CUADRO DE VENTAS'!$D$200)*$C$59)-(P25*$C$58)</f>
        <v>30824.464831804253</v>
      </c>
      <c r="Q39" s="357">
        <f>+(Q25*(('CUADRO DE VENTAS'!$G$200+'CUADRO DE VENTAS'!$H$200)/'CUADRO DE VENTAS'!$D$200)*$C$59)-(Q25*$C$58)</f>
        <v>30824.464831804253</v>
      </c>
      <c r="R39" s="357">
        <f>+(R25*(('CUADRO DE VENTAS'!$G$200+'CUADRO DE VENTAS'!$H$200)/'CUADRO DE VENTAS'!$D$200)*$C$59)-(R25*$C$58)</f>
        <v>30824.464831804253</v>
      </c>
      <c r="S39" s="357">
        <f>+(S25*(('CUADRO DE VENTAS'!$G$200+'CUADRO DE VENTAS'!$H$200)/'CUADRO DE VENTAS'!$D$200)*$C$59)-(S25*$C$58)</f>
        <v>30824.464831804253</v>
      </c>
      <c r="T39" s="357">
        <f>+(T25*(('CUADRO DE VENTAS'!$G$200+'CUADRO DE VENTAS'!$H$200)/'CUADRO DE VENTAS'!$D$200)*$C$59)-(T25*$C$58)</f>
        <v>30824.464831804253</v>
      </c>
      <c r="U39" s="357">
        <f>+(U25*(('CUADRO DE VENTAS'!$G$200+'CUADRO DE VENTAS'!$H$200)/'CUADRO DE VENTAS'!$D$200)*$C$59)-(U25*$C$58)</f>
        <v>30824.464831804253</v>
      </c>
      <c r="V39" s="357">
        <f>+(V25*(('CUADRO DE VENTAS'!$G$200+'CUADRO DE VENTAS'!$H$200)/'CUADRO DE VENTAS'!$D$200)*$C$59)-(V25*$C$58)</f>
        <v>30824.464831804253</v>
      </c>
      <c r="W39" s="357">
        <f>+(W25*(('CUADRO DE VENTAS'!$G$200+'CUADRO DE VENTAS'!$H$200)/'CUADRO DE VENTAS'!$D$200)*$C$59)-(W25*$C$58)</f>
        <v>30824.464831804253</v>
      </c>
      <c r="X39" s="357">
        <f>+(X25*(('CUADRO DE VENTAS'!$G$200+'CUADRO DE VENTAS'!$H$200)/'CUADRO DE VENTAS'!$D$200)*$C$59)-(X25*$C$58)</f>
        <v>30824.464831804253</v>
      </c>
      <c r="Y39" s="357">
        <f>+(Y25*(('CUADRO DE VENTAS'!$G$200+'CUADRO DE VENTAS'!$H$200)/'CUADRO DE VENTAS'!$D$200)*$C$59)-(Y25*$C$58)</f>
        <v>30824.464831804253</v>
      </c>
      <c r="Z39" s="357">
        <f>+(Z25*(('CUADRO DE VENTAS'!$G$200+'CUADRO DE VENTAS'!$H$200)/'CUADRO DE VENTAS'!$D$200)*$C$59)-(Z25*$C$58)</f>
        <v>30824.464831804253</v>
      </c>
      <c r="AA39" s="357">
        <f>+(AA25*(('CUADRO DE VENTAS'!$G$200+'CUADRO DE VENTAS'!$H$200)/'CUADRO DE VENTAS'!$D$200)*$C$59)-(AA25*$C$58)</f>
        <v>30824.464831804253</v>
      </c>
      <c r="AB39" s="357">
        <f>+(AB25*(('CUADRO DE VENTAS'!$G$200+'CUADRO DE VENTAS'!$H$200)/'CUADRO DE VENTAS'!$D$200)*$C$59)-(AB25*$C$58)</f>
        <v>30824.464831804253</v>
      </c>
      <c r="AC39" s="357">
        <f>+(AC25*(('CUADRO DE VENTAS'!$G$200+'CUADRO DE VENTAS'!$H$200)/'CUADRO DE VENTAS'!$D$200)*$C$59)-(AC25*$C$58)</f>
        <v>0</v>
      </c>
      <c r="AD39" s="357">
        <f>+(AD25*(('CUADRO DE VENTAS'!$G$200+'CUADRO DE VENTAS'!$H$200)/'CUADRO DE VENTAS'!$D$200)*$C$59)-(AD25*$C$58)</f>
        <v>0</v>
      </c>
      <c r="AE39" s="357">
        <f>+(AE25*(('CUADRO DE VENTAS'!$G$200+'CUADRO DE VENTAS'!$H$200)/'CUADRO DE VENTAS'!$D$200)*$C$59)-(AE25*$C$58)</f>
        <v>0</v>
      </c>
      <c r="AF39" s="357">
        <f>+(AF25*(('CUADRO DE VENTAS'!$G$200+'CUADRO DE VENTAS'!$H$200)/'CUADRO DE VENTAS'!$D$200)*$C$59)-(AF25*$C$58)</f>
        <v>0</v>
      </c>
      <c r="AG39" s="357"/>
      <c r="AH39" s="586">
        <f>SUM(C39:AG39)</f>
        <v>647313.76146788953</v>
      </c>
      <c r="AI39" s="28">
        <f>(('CUADRO DE VENTAS'!H93+'CUADRO DE VENTAS'!I93)*10%)-(84*250)-AH39</f>
        <v>0</v>
      </c>
      <c r="AJ39" s="34"/>
      <c r="AK39" s="10"/>
      <c r="AL39" s="10"/>
      <c r="AM39" s="10"/>
      <c r="AN39" s="10"/>
      <c r="AO39" s="10"/>
    </row>
    <row r="40" spans="1:41">
      <c r="A40" s="5"/>
      <c r="B40" s="74" t="s">
        <v>505</v>
      </c>
      <c r="C40" s="357"/>
      <c r="D40" s="357"/>
      <c r="E40" s="357"/>
      <c r="F40" s="357"/>
      <c r="G40" s="357"/>
      <c r="H40" s="357"/>
      <c r="I40" s="357"/>
      <c r="J40" s="357"/>
      <c r="K40" s="357"/>
      <c r="L40" s="357"/>
      <c r="M40" s="357"/>
      <c r="N40" s="357"/>
      <c r="O40" s="357"/>
      <c r="P40" s="357"/>
      <c r="Q40" s="357"/>
      <c r="R40" s="357"/>
      <c r="S40" s="357"/>
      <c r="T40" s="357"/>
      <c r="U40" s="357"/>
      <c r="V40" s="357"/>
      <c r="W40" s="357"/>
      <c r="X40" s="357"/>
      <c r="Y40" s="357"/>
      <c r="Z40" s="357"/>
      <c r="AA40" s="357"/>
      <c r="AB40" s="357"/>
      <c r="AC40" s="357"/>
      <c r="AD40" s="357"/>
      <c r="AE40" s="357"/>
      <c r="AF40" s="357"/>
      <c r="AG40" s="357"/>
      <c r="AH40" s="586"/>
      <c r="AI40" s="28"/>
      <c r="AJ40" s="34"/>
      <c r="AK40" s="10"/>
      <c r="AL40" s="10"/>
      <c r="AM40" s="10"/>
      <c r="AN40" s="10"/>
      <c r="AO40" s="10"/>
    </row>
    <row r="41" spans="1:41">
      <c r="A41" s="5"/>
      <c r="B41" s="608" t="s">
        <v>525</v>
      </c>
      <c r="C41" s="357"/>
      <c r="D41" s="357"/>
      <c r="E41" s="357"/>
      <c r="F41" s="357"/>
      <c r="G41" s="357">
        <f>+(G26*('CUADRO DE VENTAS'!$G$207+'CUADRO DE VENTAS'!$H$207)/('CUADRO DE VENTAS'!$D$207)*$C$59)</f>
        <v>0</v>
      </c>
      <c r="H41" s="357">
        <f>+(H26*('CUADRO DE VENTAS'!$G$207+'CUADRO DE VENTAS'!$H$207)/('CUADRO DE VENTAS'!$D$207)*$C$59)</f>
        <v>0</v>
      </c>
      <c r="I41" s="357">
        <f>+(I26*('CUADRO DE VENTAS'!$G$207+'CUADRO DE VENTAS'!$H$207)/('CUADRO DE VENTAS'!$D$207)*$C$59)</f>
        <v>0</v>
      </c>
      <c r="J41" s="357">
        <f>+(J26*('CUADRO DE VENTAS'!$G$207+'CUADRO DE VENTAS'!$H$207)/('CUADRO DE VENTAS'!$D$207)*$C$59)</f>
        <v>2744.6483180428168</v>
      </c>
      <c r="K41" s="357">
        <f>+(K26*('CUADRO DE VENTAS'!$G$207+'CUADRO DE VENTAS'!$H$207)/('CUADRO DE VENTAS'!$D$207)*$C$59)</f>
        <v>2744.6483180428168</v>
      </c>
      <c r="L41" s="357">
        <f>+(L26*('CUADRO DE VENTAS'!$G$207+'CUADRO DE VENTAS'!$H$207)/('CUADRO DE VENTAS'!$D$207)*$C$59)</f>
        <v>2744.6483180428168</v>
      </c>
      <c r="M41" s="357">
        <f>+(M26*('CUADRO DE VENTAS'!$G$207+'CUADRO DE VENTAS'!$H$207)/('CUADRO DE VENTAS'!$D$207)*$C$59)</f>
        <v>2744.6483180428168</v>
      </c>
      <c r="N41" s="357">
        <f>+(N26*('CUADRO DE VENTAS'!$G$207+'CUADRO DE VENTAS'!$H$207)/('CUADRO DE VENTAS'!$D$207)*$C$59)</f>
        <v>2744.6483180428168</v>
      </c>
      <c r="O41" s="357">
        <f>+(O26*('CUADRO DE VENTAS'!$G$207+'CUADRO DE VENTAS'!$H$207)/('CUADRO DE VENTAS'!$D$207)*$C$59)</f>
        <v>2744.6483180428168</v>
      </c>
      <c r="P41" s="357">
        <f>+(P26*('CUADRO DE VENTAS'!$G$207+'CUADRO DE VENTAS'!$H$207)/('CUADRO DE VENTAS'!$D$207)*$C$59)</f>
        <v>2744.6483180428168</v>
      </c>
      <c r="Q41" s="357">
        <f>+(Q26*('CUADRO DE VENTAS'!$G$207+'CUADRO DE VENTAS'!$H$207)/('CUADRO DE VENTAS'!$D$207)*$C$59)</f>
        <v>2744.6483180428168</v>
      </c>
      <c r="R41" s="357">
        <f>+(R26*('CUADRO DE VENTAS'!$G$207+'CUADRO DE VENTAS'!$H$207)/('CUADRO DE VENTAS'!$D$207)*$C$59)</f>
        <v>2744.6483180428168</v>
      </c>
      <c r="S41" s="357">
        <f>+(S26*('CUADRO DE VENTAS'!$G$207+'CUADRO DE VENTAS'!$H$207)/('CUADRO DE VENTAS'!$D$207)*$C$59)</f>
        <v>2744.6483180428168</v>
      </c>
      <c r="T41" s="357">
        <f>+(T26*('CUADRO DE VENTAS'!$G$207+'CUADRO DE VENTAS'!$H$207)/('CUADRO DE VENTAS'!$D$207)*$C$59)</f>
        <v>2744.6483180428168</v>
      </c>
      <c r="U41" s="357">
        <f>+(U26*('CUADRO DE VENTAS'!$G$207+'CUADRO DE VENTAS'!$H$207)/('CUADRO DE VENTAS'!$D$207)*$C$59)</f>
        <v>2744.6483180428168</v>
      </c>
      <c r="V41" s="357">
        <f>+(V26*('CUADRO DE VENTAS'!$G$207+'CUADRO DE VENTAS'!$H$207)/('CUADRO DE VENTAS'!$D$207)*$C$59)</f>
        <v>2744.6483180428168</v>
      </c>
      <c r="W41" s="357">
        <f>+(W26*('CUADRO DE VENTAS'!$G$207+'CUADRO DE VENTAS'!$H$207)/('CUADRO DE VENTAS'!$D$207)*$C$59)</f>
        <v>2744.6483180428168</v>
      </c>
      <c r="X41" s="357">
        <f>+(X26*('CUADRO DE VENTAS'!$G$207+'CUADRO DE VENTAS'!$H$207)/('CUADRO DE VENTAS'!$D$207)*$C$59)</f>
        <v>2744.6483180428168</v>
      </c>
      <c r="Y41" s="357">
        <f>+(Y26*('CUADRO DE VENTAS'!$G$207+'CUADRO DE VENTAS'!$H$207)/('CUADRO DE VENTAS'!$D$207)*$C$59)</f>
        <v>2744.6483180428168</v>
      </c>
      <c r="Z41" s="357">
        <f>+(Z26*('CUADRO DE VENTAS'!$G$207+'CUADRO DE VENTAS'!$H$207)/('CUADRO DE VENTAS'!$D$207)*$C$59)</f>
        <v>2744.6483180428168</v>
      </c>
      <c r="AA41" s="357">
        <f>+(AA26*('CUADRO DE VENTAS'!$G$207+'CUADRO DE VENTAS'!$H$207)/('CUADRO DE VENTAS'!$D$207)*$C$59)</f>
        <v>2744.6483180428168</v>
      </c>
      <c r="AB41" s="357">
        <f>+(AB26*('CUADRO DE VENTAS'!$G$207+'CUADRO DE VENTAS'!$H$207)/('CUADRO DE VENTAS'!$D$207)*$C$59)</f>
        <v>0</v>
      </c>
      <c r="AC41" s="357">
        <f>+(AC26*('CUADRO DE VENTAS'!$G$207+'CUADRO DE VENTAS'!$H$207)/('CUADRO DE VENTAS'!$D$207)*$C$59)</f>
        <v>0</v>
      </c>
      <c r="AD41" s="357">
        <f>+(AD26*('CUADRO DE VENTAS'!$G$207+'CUADRO DE VENTAS'!$H$207)/('CUADRO DE VENTAS'!$D$207)*$C$59)</f>
        <v>0</v>
      </c>
      <c r="AE41" s="357">
        <f>+(AE26*('CUADRO DE VENTAS'!$G$207+'CUADRO DE VENTAS'!$H$207)/('CUADRO DE VENTAS'!$D$207)*$C$59)</f>
        <v>0</v>
      </c>
      <c r="AF41" s="357">
        <f>+(AF26*('CUADRO DE VENTAS'!$G$207+'CUADRO DE VENTAS'!$H$207)/('CUADRO DE VENTAS'!$D$207)*$C$59)</f>
        <v>0</v>
      </c>
      <c r="AG41" s="357"/>
      <c r="AH41" s="586">
        <f>SUM(C41:AG41)</f>
        <v>49403.66972477072</v>
      </c>
      <c r="AI41" s="28">
        <f>('CUADRO DE VENTAS'!G207+'CUADRO DE VENTAS'!H207)*0.1-AH41</f>
        <v>0</v>
      </c>
      <c r="AJ41" s="34"/>
      <c r="AK41" s="10"/>
      <c r="AL41" s="10"/>
      <c r="AM41" s="10"/>
      <c r="AN41" s="10"/>
      <c r="AO41" s="10"/>
    </row>
    <row r="42" spans="1:41">
      <c r="A42" s="5"/>
      <c r="B42" s="74" t="s">
        <v>504</v>
      </c>
      <c r="C42" s="357"/>
      <c r="D42" s="357"/>
      <c r="E42" s="357"/>
      <c r="F42" s="357"/>
      <c r="G42" s="357"/>
      <c r="AH42" s="586"/>
      <c r="AJ42" s="34"/>
      <c r="AK42" s="10"/>
      <c r="AL42" s="10"/>
      <c r="AM42" s="10"/>
      <c r="AN42" s="10"/>
      <c r="AO42" s="10"/>
    </row>
    <row r="43" spans="1:41">
      <c r="A43" s="5"/>
      <c r="B43" s="608" t="s">
        <v>705</v>
      </c>
      <c r="C43" s="357"/>
      <c r="D43" s="357"/>
      <c r="E43" s="357"/>
      <c r="F43" s="357"/>
      <c r="G43" s="357"/>
      <c r="H43" s="357">
        <f>H27*('CUADRO DE VENTAS'!$G$207+'CUADRO DE VENTAS'!$H$207)/'CUADRO DE VENTAS'!$D$208</f>
        <v>0</v>
      </c>
      <c r="I43" s="357">
        <f>I27*('CUADRO DE VENTAS'!$G$207+'CUADRO DE VENTAS'!$H$207)/'CUADRO DE VENTAS'!$D$208</f>
        <v>0</v>
      </c>
      <c r="J43" s="357">
        <f>J27*('CUADRO DE VENTAS'!$G$207+'CUADRO DE VENTAS'!$H$207)/'CUADRO DE VENTAS'!$D$208</f>
        <v>0</v>
      </c>
      <c r="K43" s="357">
        <f>K27*('CUADRO DE VENTAS'!$G$207+'CUADRO DE VENTAS'!$H$207)/'CUADRO DE VENTAS'!$D$208</f>
        <v>0</v>
      </c>
      <c r="L43" s="357">
        <f>L27*('CUADRO DE VENTAS'!$G$207+'CUADRO DE VENTAS'!$H$207)/'CUADRO DE VENTAS'!$D$208</f>
        <v>0</v>
      </c>
      <c r="M43" s="357">
        <f>M27*('CUADRO DE VENTAS'!$G$207+'CUADRO DE VENTAS'!$H$207)/'CUADRO DE VENTAS'!$D$208</f>
        <v>0</v>
      </c>
      <c r="N43" s="357">
        <f>N27*('CUADRO DE VENTAS'!$G$207+'CUADRO DE VENTAS'!$H$207)/'CUADRO DE VENTAS'!$D$208</f>
        <v>0</v>
      </c>
      <c r="O43" s="357">
        <f>O27*('CUADRO DE VENTAS'!$G$207+'CUADRO DE VENTAS'!$H$207)/'CUADRO DE VENTAS'!$D$208</f>
        <v>0</v>
      </c>
      <c r="P43" s="357">
        <f>P27*('CUADRO DE VENTAS'!$G$207+'CUADRO DE VENTAS'!$H$207)/'CUADRO DE VENTAS'!$D$208</f>
        <v>0</v>
      </c>
      <c r="Q43" s="357">
        <f>Q27*('CUADRO DE VENTAS'!$G$207+'CUADRO DE VENTAS'!$H$207)/'CUADRO DE VENTAS'!$D$208</f>
        <v>0</v>
      </c>
      <c r="R43" s="357">
        <f>R27*('CUADRO DE VENTAS'!$G$207+'CUADRO DE VENTAS'!$H$207)/'CUADRO DE VENTAS'!$D$208</f>
        <v>0</v>
      </c>
      <c r="S43" s="357">
        <f>S27*('CUADRO DE VENTAS'!$G$207+'CUADRO DE VENTAS'!$H$207)/'CUADRO DE VENTAS'!$D$208</f>
        <v>0</v>
      </c>
      <c r="T43" s="357">
        <f>T27*('CUADRO DE VENTAS'!$G$207+'CUADRO DE VENTAS'!$H$207)/'CUADRO DE VENTAS'!$D$208</f>
        <v>0</v>
      </c>
      <c r="U43" s="357">
        <f>U27*('CUADRO DE VENTAS'!$G$207+'CUADRO DE VENTAS'!$H$207)/'CUADRO DE VENTAS'!$D$208</f>
        <v>0</v>
      </c>
      <c r="V43" s="357">
        <f>V27*('CUADRO DE VENTAS'!$G$207+'CUADRO DE VENTAS'!$H$207)/'CUADRO DE VENTAS'!$D$208</f>
        <v>0</v>
      </c>
      <c r="W43" s="357">
        <f>W27*('CUADRO DE VENTAS'!$G$207+'CUADRO DE VENTAS'!$H$207)/'CUADRO DE VENTAS'!$D$208</f>
        <v>0</v>
      </c>
      <c r="X43" s="357">
        <f>X27*('CUADRO DE VENTAS'!$G$207+'CUADRO DE VENTAS'!$H$207)/'CUADRO DE VENTAS'!$D$208</f>
        <v>0</v>
      </c>
      <c r="Y43" s="357">
        <f>Y27*('CUADRO DE VENTAS'!$G$207+'CUADRO DE VENTAS'!$H$207)/'CUADRO DE VENTAS'!$D$208</f>
        <v>0</v>
      </c>
      <c r="Z43" s="357">
        <f>Z27*('CUADRO DE VENTAS'!$G$207+'CUADRO DE VENTAS'!$H$207)/'CUADRO DE VENTAS'!$D$208</f>
        <v>0</v>
      </c>
      <c r="AA43" s="357">
        <f>AA27*('CUADRO DE VENTAS'!$G$207+'CUADRO DE VENTAS'!$H$207)/'CUADRO DE VENTAS'!$D$208</f>
        <v>0</v>
      </c>
      <c r="AB43" s="357">
        <f>AB27*('CUADRO DE VENTAS'!$G$208+'CUADRO DE VENTAS'!$H$208)/'CUADRO DE VENTAS'!$D$208</f>
        <v>63761.467889908243</v>
      </c>
      <c r="AC43" s="357">
        <f>AC27*('CUADRO DE VENTAS'!$G$207+'CUADRO DE VENTAS'!$H$207)/'CUADRO DE VENTAS'!$D$208</f>
        <v>0</v>
      </c>
      <c r="AD43" s="357"/>
      <c r="AE43" s="357"/>
      <c r="AF43" s="357"/>
      <c r="AG43" s="357"/>
      <c r="AH43" s="586">
        <f>SUM(C43:AG43)</f>
        <v>63761.467889908243</v>
      </c>
      <c r="AI43" s="28">
        <f>('CUADRO DE VENTAS'!G208+'CUADRO DE VENTAS'!H208)-AH43</f>
        <v>0</v>
      </c>
      <c r="AJ43" s="34"/>
      <c r="AK43" s="10"/>
      <c r="AL43" s="10"/>
      <c r="AM43" s="10"/>
      <c r="AN43" s="10"/>
      <c r="AO43" s="10"/>
    </row>
    <row r="44" spans="1:41">
      <c r="A44" s="5"/>
      <c r="B44" s="74" t="s">
        <v>456</v>
      </c>
      <c r="C44" s="357"/>
      <c r="D44" s="357"/>
      <c r="E44" s="357"/>
      <c r="F44" s="357"/>
      <c r="G44" s="357"/>
      <c r="H44" s="357"/>
      <c r="I44" s="357"/>
      <c r="J44" s="357"/>
      <c r="K44" s="357"/>
      <c r="L44" s="357"/>
      <c r="M44" s="357"/>
      <c r="N44" s="357"/>
      <c r="O44" s="357"/>
      <c r="P44" s="357"/>
      <c r="Q44" s="357"/>
      <c r="R44" s="357"/>
      <c r="S44" s="357"/>
      <c r="T44" s="357"/>
      <c r="U44" s="357"/>
      <c r="V44" s="357"/>
      <c r="W44" s="357"/>
      <c r="X44" s="357"/>
      <c r="Y44" s="357"/>
      <c r="Z44" s="357"/>
      <c r="AA44" s="357"/>
      <c r="AB44" s="357"/>
      <c r="AC44" s="357"/>
      <c r="AD44" s="357"/>
      <c r="AE44" s="357"/>
      <c r="AF44" s="357"/>
      <c r="AG44" s="357"/>
      <c r="AH44" s="586"/>
      <c r="AI44" s="28"/>
      <c r="AJ44" s="34"/>
      <c r="AK44" s="10"/>
      <c r="AL44" s="10"/>
      <c r="AM44" s="10"/>
      <c r="AN44" s="10"/>
      <c r="AO44" s="10"/>
    </row>
    <row r="45" spans="1:41">
      <c r="A45" s="5"/>
      <c r="B45" s="608" t="s">
        <v>525</v>
      </c>
      <c r="C45" s="357"/>
      <c r="D45" s="357"/>
      <c r="E45" s="357"/>
      <c r="F45" s="357"/>
      <c r="G45" s="357">
        <f>+(G28*('CUADRO DE VENTAS'!$G$210+'CUADRO DE VENTAS'!$H$210)/('CUADRO DE VENTAS'!$D$210)*$C$59)</f>
        <v>0</v>
      </c>
      <c r="H45" s="357">
        <f>+(H28*('CUADRO DE VENTAS'!$G$210+'CUADRO DE VENTAS'!$H$210)/('CUADRO DE VENTAS'!$D$210)*$C$59)</f>
        <v>0</v>
      </c>
      <c r="I45" s="357">
        <f>+(I28*('CUADRO DE VENTAS'!$G$210+'CUADRO DE VENTAS'!$H$210)/('CUADRO DE VENTAS'!$D$210)*$C$59)</f>
        <v>0</v>
      </c>
      <c r="J45" s="357">
        <f>+(J28*('CUADRO DE VENTAS'!$G$210+'CUADRO DE VENTAS'!$H$210)/('CUADRO DE VENTAS'!$D$210)*$C$59)</f>
        <v>275.22935779816527</v>
      </c>
      <c r="K45" s="357">
        <f>+(K28*('CUADRO DE VENTAS'!$G$210+'CUADRO DE VENTAS'!$H$210)/('CUADRO DE VENTAS'!$D$210)*$C$59)</f>
        <v>275.22935779816527</v>
      </c>
      <c r="L45" s="357">
        <f>+(L28*('CUADRO DE VENTAS'!$G$210+'CUADRO DE VENTAS'!$H$210)/('CUADRO DE VENTAS'!$D$210)*$C$59)</f>
        <v>275.22935779816527</v>
      </c>
      <c r="M45" s="357">
        <f>+(M28*('CUADRO DE VENTAS'!$G$210+'CUADRO DE VENTAS'!$H$210)/('CUADRO DE VENTAS'!$D$210)*$C$59)</f>
        <v>275.22935779816527</v>
      </c>
      <c r="N45" s="357">
        <f>+(N28*('CUADRO DE VENTAS'!$G$210+'CUADRO DE VENTAS'!$H$210)/('CUADRO DE VENTAS'!$D$210)*$C$59)</f>
        <v>275.22935779816527</v>
      </c>
      <c r="O45" s="357">
        <f>+(O28*('CUADRO DE VENTAS'!$G$210+'CUADRO DE VENTAS'!$H$210)/('CUADRO DE VENTAS'!$D$210)*$C$59)</f>
        <v>275.22935779816527</v>
      </c>
      <c r="P45" s="357">
        <f>+(P28*('CUADRO DE VENTAS'!$G$210+'CUADRO DE VENTAS'!$H$210)/('CUADRO DE VENTAS'!$D$210)*$C$59)</f>
        <v>275.22935779816527</v>
      </c>
      <c r="Q45" s="357">
        <f>+(Q28*('CUADRO DE VENTAS'!$G$210+'CUADRO DE VENTAS'!$H$210)/('CUADRO DE VENTAS'!$D$210)*$C$59)</f>
        <v>275.22935779816527</v>
      </c>
      <c r="R45" s="357">
        <f>+(R28*('CUADRO DE VENTAS'!$G$210+'CUADRO DE VENTAS'!$H$210)/('CUADRO DE VENTAS'!$D$210)*$C$59)</f>
        <v>275.22935779816527</v>
      </c>
      <c r="S45" s="357">
        <f>+(S28*('CUADRO DE VENTAS'!$G$210+'CUADRO DE VENTAS'!$H$210)/('CUADRO DE VENTAS'!$D$210)*$C$59)</f>
        <v>275.22935779816527</v>
      </c>
      <c r="T45" s="357">
        <f>+(T28*('CUADRO DE VENTAS'!$G$210+'CUADRO DE VENTAS'!$H$210)/('CUADRO DE VENTAS'!$D$210)*$C$59)</f>
        <v>275.22935779816527</v>
      </c>
      <c r="U45" s="357">
        <f>+(U28*('CUADRO DE VENTAS'!$G$210+'CUADRO DE VENTAS'!$H$210)/('CUADRO DE VENTAS'!$D$210)*$C$59)</f>
        <v>275.22935779816527</v>
      </c>
      <c r="V45" s="357">
        <f>+(V28*('CUADRO DE VENTAS'!$G$210+'CUADRO DE VENTAS'!$H$210)/('CUADRO DE VENTAS'!$D$210)*$C$59)</f>
        <v>275.22935779816527</v>
      </c>
      <c r="W45" s="357">
        <f>+(W28*('CUADRO DE VENTAS'!$G$210+'CUADRO DE VENTAS'!$H$210)/('CUADRO DE VENTAS'!$D$210)*$C$59)</f>
        <v>275.22935779816527</v>
      </c>
      <c r="X45" s="357">
        <f>+(X28*('CUADRO DE VENTAS'!$G$210+'CUADRO DE VENTAS'!$H$210)/('CUADRO DE VENTAS'!$D$210)*$C$59)</f>
        <v>550.45871559633053</v>
      </c>
      <c r="Y45" s="357">
        <f>+(Y28*('CUADRO DE VENTAS'!$G$210+'CUADRO DE VENTAS'!$H$210)/('CUADRO DE VENTAS'!$D$210)*$C$59)</f>
        <v>550.45871559633053</v>
      </c>
      <c r="Z45" s="357">
        <f>+(Z28*('CUADRO DE VENTAS'!$G$210+'CUADRO DE VENTAS'!$H$210)/('CUADRO DE VENTAS'!$D$210)*$C$59)</f>
        <v>550.45871559633053</v>
      </c>
      <c r="AA45" s="357">
        <f>+(AA28*('CUADRO DE VENTAS'!$G$210+'CUADRO DE VENTAS'!$H$210)/('CUADRO DE VENTAS'!$D$210)*$C$59)</f>
        <v>550.45871559633053</v>
      </c>
      <c r="AB45" s="357">
        <f>+(AB28*('CUADRO DE VENTAS'!$G$210+'CUADRO DE VENTAS'!$H$210)/('CUADRO DE VENTAS'!$D$210)*$C$59)</f>
        <v>550.45871559633053</v>
      </c>
      <c r="AC45" s="357">
        <f>+(AC28*('CUADRO DE VENTAS'!$G$210+'CUADRO DE VENTAS'!$H$210)/('CUADRO DE VENTAS'!$D$210)*$C$59)</f>
        <v>0</v>
      </c>
      <c r="AD45" s="357">
        <f>+(AD28*('CUADRO DE VENTAS'!$G$210+'CUADRO DE VENTAS'!$H$210)/('CUADRO DE VENTAS'!$D$210)*$C$59)</f>
        <v>0</v>
      </c>
      <c r="AE45" s="357">
        <f>+(AE28*('CUADRO DE VENTAS'!$G$210+'CUADRO DE VENTAS'!$H$210)/('CUADRO DE VENTAS'!$D$210)*$C$59)</f>
        <v>0</v>
      </c>
      <c r="AF45" s="357">
        <f>+(AF28*('CUADRO DE VENTAS'!$G$210+'CUADRO DE VENTAS'!$H$210)/('CUADRO DE VENTAS'!$D$210)*$C$59)</f>
        <v>0</v>
      </c>
      <c r="AG45" s="357"/>
      <c r="AH45" s="586">
        <f>SUM(C45:AG45)</f>
        <v>6605.5045871559687</v>
      </c>
      <c r="AI45" s="28">
        <f>('CUADRO DE VENTAS'!G210+'CUADRO DE VENTAS'!H210)*0.1-AH45</f>
        <v>0</v>
      </c>
      <c r="AJ45" s="34"/>
      <c r="AK45" s="10"/>
      <c r="AL45" s="10"/>
      <c r="AM45" s="10"/>
      <c r="AN45" s="10"/>
      <c r="AO45" s="10"/>
    </row>
    <row r="46" spans="1:41">
      <c r="A46" s="5"/>
      <c r="B46" s="74" t="s">
        <v>501</v>
      </c>
      <c r="C46" s="357"/>
      <c r="D46" s="357"/>
      <c r="E46" s="357"/>
      <c r="F46" s="357"/>
      <c r="G46" s="357"/>
      <c r="H46" s="357"/>
      <c r="I46" s="357"/>
      <c r="J46" s="357"/>
      <c r="K46" s="357"/>
      <c r="L46" s="357"/>
      <c r="M46" s="357"/>
      <c r="N46" s="357"/>
      <c r="O46" s="357"/>
      <c r="P46" s="357"/>
      <c r="Q46" s="357"/>
      <c r="R46" s="357"/>
      <c r="S46" s="357"/>
      <c r="T46" s="357"/>
      <c r="U46" s="357"/>
      <c r="V46" s="357"/>
      <c r="W46" s="357"/>
      <c r="X46" s="357"/>
      <c r="Y46" s="357"/>
      <c r="Z46" s="357"/>
      <c r="AA46" s="357"/>
      <c r="AB46" s="357"/>
      <c r="AC46" s="357"/>
      <c r="AD46" s="357"/>
      <c r="AE46" s="357"/>
      <c r="AF46" s="357"/>
      <c r="AG46" s="357"/>
      <c r="AH46" s="586"/>
      <c r="AI46" s="28"/>
      <c r="AJ46" s="34"/>
      <c r="AK46" s="10"/>
      <c r="AL46" s="10"/>
      <c r="AM46" s="10"/>
      <c r="AN46" s="10"/>
      <c r="AO46" s="10"/>
    </row>
    <row r="47" spans="1:41">
      <c r="A47" s="5"/>
      <c r="B47" s="608" t="s">
        <v>705</v>
      </c>
      <c r="C47" s="357"/>
      <c r="D47" s="357"/>
      <c r="E47" s="357"/>
      <c r="F47" s="357"/>
      <c r="G47" s="357"/>
      <c r="H47" s="357">
        <f>H29*('CUADRO DE VENTAS'!$G$203+'CUADRO DE VENTAS'!$H$203)/'CUADRO DE VENTAS'!$D$203</f>
        <v>0</v>
      </c>
      <c r="I47" s="357">
        <f>I29*('CUADRO DE VENTAS'!$G$203+'CUADRO DE VENTAS'!$H$203)/'CUADRO DE VENTAS'!$D$203</f>
        <v>0</v>
      </c>
      <c r="J47" s="357">
        <f>J29*('CUADRO DE VENTAS'!$G$203+'CUADRO DE VENTAS'!$H$203)/'CUADRO DE VENTAS'!$D$203</f>
        <v>0</v>
      </c>
      <c r="K47" s="357">
        <f>K29*('CUADRO DE VENTAS'!$G$203+'CUADRO DE VENTAS'!$H$203)/'CUADRO DE VENTAS'!$D$203</f>
        <v>0</v>
      </c>
      <c r="L47" s="357">
        <f>L29*('CUADRO DE VENTAS'!$G$203+'CUADRO DE VENTAS'!$H$203)/'CUADRO DE VENTAS'!$D$203</f>
        <v>0</v>
      </c>
      <c r="M47" s="357">
        <f>M29*('CUADRO DE VENTAS'!$G$203+'CUADRO DE VENTAS'!$H$203)/'CUADRO DE VENTAS'!$D$203</f>
        <v>0</v>
      </c>
      <c r="N47" s="357">
        <f>N29*('CUADRO DE VENTAS'!$G$203+'CUADRO DE VENTAS'!$H$203)/'CUADRO DE VENTAS'!$D$203</f>
        <v>0</v>
      </c>
      <c r="O47" s="357">
        <f>O29*('CUADRO DE VENTAS'!$G$203+'CUADRO DE VENTAS'!$H$203)/'CUADRO DE VENTAS'!$D$203</f>
        <v>0</v>
      </c>
      <c r="P47" s="357">
        <f>P29*('CUADRO DE VENTAS'!$G$203+'CUADRO DE VENTAS'!$H$203)/'CUADRO DE VENTAS'!$D$203</f>
        <v>0</v>
      </c>
      <c r="Q47" s="357">
        <f>Q29*('CUADRO DE VENTAS'!$G$203+'CUADRO DE VENTAS'!$H$203)/'CUADRO DE VENTAS'!$D$203</f>
        <v>0</v>
      </c>
      <c r="R47" s="357">
        <f>R29*('CUADRO DE VENTAS'!$G$203+'CUADRO DE VENTAS'!$H$203)/'CUADRO DE VENTAS'!$D$203</f>
        <v>0</v>
      </c>
      <c r="S47" s="357">
        <f>S29*('CUADRO DE VENTAS'!$G$203+'CUADRO DE VENTAS'!$H$203)/'CUADRO DE VENTAS'!$D$203</f>
        <v>0</v>
      </c>
      <c r="T47" s="357">
        <f>T29*('CUADRO DE VENTAS'!$G$203+'CUADRO DE VENTAS'!$H$203)/'CUADRO DE VENTAS'!$D$203</f>
        <v>0</v>
      </c>
      <c r="U47" s="357">
        <f>U29*('CUADRO DE VENTAS'!$G$203+'CUADRO DE VENTAS'!$H$203)/'CUADRO DE VENTAS'!$D$203</f>
        <v>0</v>
      </c>
      <c r="V47" s="357">
        <f>V29*('CUADRO DE VENTAS'!$G$203+'CUADRO DE VENTAS'!$H$203)/'CUADRO DE VENTAS'!$D$203</f>
        <v>0</v>
      </c>
      <c r="W47" s="357">
        <f>W29*('CUADRO DE VENTAS'!$G$203+'CUADRO DE VENTAS'!$H$203)/'CUADRO DE VENTAS'!$D$203</f>
        <v>0</v>
      </c>
      <c r="X47" s="357">
        <f>X29*('CUADRO DE VENTAS'!$G$203+'CUADRO DE VENTAS'!$H$203)/'CUADRO DE VENTAS'!$D$203</f>
        <v>0</v>
      </c>
      <c r="Y47" s="357">
        <f>Y29*('CUADRO DE VENTAS'!$G$203+'CUADRO DE VENTAS'!$H$203)/'CUADRO DE VENTAS'!$D$203</f>
        <v>0</v>
      </c>
      <c r="Z47" s="357">
        <f>Z29*('CUADRO DE VENTAS'!$G$203+'CUADRO DE VENTAS'!$H$203)/'CUADRO DE VENTAS'!$D$203</f>
        <v>0</v>
      </c>
      <c r="AA47" s="357">
        <f>AA29*('CUADRO DE VENTAS'!$G$203+'CUADRO DE VENTAS'!$H$203)/'CUADRO DE VENTAS'!$D$203</f>
        <v>0</v>
      </c>
      <c r="AB47" s="357">
        <f>AB29*('CUADRO DE VENTAS'!$G$203+'CUADRO DE VENTAS'!$H$203)/'CUADRO DE VENTAS'!$D$203</f>
        <v>415302.752293578</v>
      </c>
      <c r="AC47" s="357">
        <f>AC29*('CUADRO DE VENTAS'!$G$203+'CUADRO DE VENTAS'!$H$203)/'CUADRO DE VENTAS'!$D$203</f>
        <v>0</v>
      </c>
      <c r="AD47" s="357"/>
      <c r="AE47" s="357"/>
      <c r="AF47" s="357"/>
      <c r="AG47" s="357"/>
      <c r="AH47" s="586">
        <f>SUM(C47:AG47)</f>
        <v>415302.752293578</v>
      </c>
      <c r="AI47" s="28">
        <f>'CUADRO DE VENTAS'!G203+'CUADRO DE VENTAS'!H203-AH47</f>
        <v>0</v>
      </c>
      <c r="AJ47" s="34"/>
      <c r="AK47" s="10"/>
      <c r="AL47" s="10"/>
      <c r="AM47" s="10"/>
      <c r="AN47" s="10"/>
      <c r="AO47" s="10"/>
    </row>
    <row r="48" spans="1:41" s="168" customFormat="1">
      <c r="A48" s="949"/>
      <c r="B48" s="85" t="s">
        <v>709</v>
      </c>
      <c r="C48" s="950">
        <f>C77</f>
        <v>0</v>
      </c>
      <c r="D48" s="950">
        <f>D77</f>
        <v>0</v>
      </c>
      <c r="E48" s="950">
        <f t="shared" ref="E48:X48" si="9">E77</f>
        <v>0</v>
      </c>
      <c r="F48" s="950">
        <f t="shared" si="9"/>
        <v>0</v>
      </c>
      <c r="G48" s="950">
        <f t="shared" si="9"/>
        <v>0</v>
      </c>
      <c r="H48" s="950">
        <f>H77</f>
        <v>0</v>
      </c>
      <c r="I48" s="950">
        <f t="shared" si="9"/>
        <v>0</v>
      </c>
      <c r="J48" s="950">
        <f t="shared" si="9"/>
        <v>0</v>
      </c>
      <c r="K48" s="950">
        <f t="shared" si="9"/>
        <v>0</v>
      </c>
      <c r="L48" s="950">
        <f t="shared" si="9"/>
        <v>0</v>
      </c>
      <c r="M48" s="950">
        <f t="shared" si="9"/>
        <v>0</v>
      </c>
      <c r="N48" s="950">
        <f t="shared" si="9"/>
        <v>0</v>
      </c>
      <c r="O48" s="950">
        <f t="shared" si="9"/>
        <v>0</v>
      </c>
      <c r="P48" s="950">
        <f t="shared" si="9"/>
        <v>0</v>
      </c>
      <c r="Q48" s="950">
        <f>Q77</f>
        <v>175189.62671256284</v>
      </c>
      <c r="R48" s="950">
        <f t="shared" si="9"/>
        <v>309596.49888968811</v>
      </c>
      <c r="S48" s="950">
        <f t="shared" si="9"/>
        <v>346874.14320968813</v>
      </c>
      <c r="T48" s="950">
        <f t="shared" si="9"/>
        <v>346874.14320968813</v>
      </c>
      <c r="U48" s="950">
        <f t="shared" si="9"/>
        <v>541109.10048968811</v>
      </c>
      <c r="V48" s="950">
        <f t="shared" si="9"/>
        <v>541109.10048968811</v>
      </c>
      <c r="W48" s="950">
        <f t="shared" si="9"/>
        <v>371312.00299635471</v>
      </c>
      <c r="X48" s="950">
        <f t="shared" si="9"/>
        <v>291079.97363855655</v>
      </c>
      <c r="Y48" s="950"/>
      <c r="Z48" s="950"/>
      <c r="AA48" s="950"/>
      <c r="AB48" s="950">
        <f>'CUADRO DE VENTAS'!G212-'Flujo Ingresos'!AI48</f>
        <v>3511761.8323824275</v>
      </c>
      <c r="AC48" s="950"/>
      <c r="AD48" s="950">
        <f>A25*1000</f>
        <v>84000</v>
      </c>
      <c r="AE48" s="950"/>
      <c r="AF48" s="950"/>
      <c r="AG48" s="950"/>
      <c r="AH48" s="586">
        <f>SUM(C48:AG48)</f>
        <v>6518906.4220183417</v>
      </c>
      <c r="AI48" s="649">
        <f>SUM(AH36:AH47)+AD48+SUM(C48:AA48)</f>
        <v>4210531.7455992177</v>
      </c>
      <c r="AJ48" s="951"/>
    </row>
    <row r="49" spans="1:41" ht="13.5" thickBot="1">
      <c r="A49" s="5"/>
      <c r="B49" s="74"/>
      <c r="C49" s="357"/>
      <c r="D49" s="357"/>
      <c r="E49" s="357"/>
      <c r="F49" s="357"/>
      <c r="G49" s="357"/>
      <c r="H49" s="357"/>
      <c r="I49" s="357"/>
      <c r="J49" s="357"/>
      <c r="K49" s="357"/>
      <c r="L49" s="357"/>
      <c r="M49" s="357"/>
      <c r="N49" s="357"/>
      <c r="O49" s="357"/>
      <c r="P49" s="357"/>
      <c r="Q49" s="357"/>
      <c r="R49" s="357"/>
      <c r="S49" s="357"/>
      <c r="T49" s="357"/>
      <c r="U49" s="357"/>
      <c r="V49" s="357"/>
      <c r="W49" s="357"/>
      <c r="X49" s="357"/>
      <c r="Y49" s="357"/>
      <c r="Z49" s="357"/>
      <c r="AA49" s="357"/>
      <c r="AB49" s="357"/>
      <c r="AC49" s="357"/>
      <c r="AD49" s="357"/>
      <c r="AE49" s="357"/>
      <c r="AF49" s="357"/>
      <c r="AG49" s="357"/>
      <c r="AH49" s="586"/>
      <c r="AI49" s="28"/>
      <c r="AJ49" s="34"/>
      <c r="AK49" s="10"/>
      <c r="AL49" s="10"/>
      <c r="AM49" s="10"/>
      <c r="AN49" s="10"/>
      <c r="AO49" s="10"/>
    </row>
    <row r="50" spans="1:41" ht="13.5" thickBot="1">
      <c r="A50" s="2"/>
      <c r="B50" s="80" t="s">
        <v>34</v>
      </c>
      <c r="C50" s="921">
        <f>SUM(C37:C49)</f>
        <v>0</v>
      </c>
      <c r="D50" s="921">
        <f>SUM(D37:D49)</f>
        <v>0</v>
      </c>
      <c r="E50" s="921">
        <f t="shared" ref="E50:AG50" si="10">SUM(E37:E49)</f>
        <v>0</v>
      </c>
      <c r="F50" s="921">
        <f t="shared" si="10"/>
        <v>0</v>
      </c>
      <c r="G50" s="921">
        <f t="shared" si="10"/>
        <v>1000</v>
      </c>
      <c r="H50" s="921">
        <f t="shared" si="10"/>
        <v>31824.464831804253</v>
      </c>
      <c r="I50" s="921">
        <f t="shared" si="10"/>
        <v>31824.464831804253</v>
      </c>
      <c r="J50" s="921">
        <f t="shared" si="10"/>
        <v>34844.342507645233</v>
      </c>
      <c r="K50" s="921">
        <f t="shared" si="10"/>
        <v>34844.342507645233</v>
      </c>
      <c r="L50" s="921">
        <f t="shared" si="10"/>
        <v>34844.342507645233</v>
      </c>
      <c r="M50" s="921">
        <f t="shared" si="10"/>
        <v>34844.342507645233</v>
      </c>
      <c r="N50" s="921">
        <f t="shared" si="10"/>
        <v>34844.342507645233</v>
      </c>
      <c r="O50" s="921">
        <f t="shared" si="10"/>
        <v>34844.342507645233</v>
      </c>
      <c r="P50" s="921">
        <f t="shared" si="10"/>
        <v>34844.342507645233</v>
      </c>
      <c r="Q50" s="921">
        <f t="shared" si="10"/>
        <v>210033.96922020806</v>
      </c>
      <c r="R50" s="921">
        <f t="shared" si="10"/>
        <v>344440.84139733337</v>
      </c>
      <c r="S50" s="921">
        <f t="shared" si="10"/>
        <v>381718.48571733339</v>
      </c>
      <c r="T50" s="921">
        <f t="shared" si="10"/>
        <v>381718.48571733339</v>
      </c>
      <c r="U50" s="921">
        <f t="shared" si="10"/>
        <v>575953.44299733336</v>
      </c>
      <c r="V50" s="921">
        <f t="shared" si="10"/>
        <v>575953.44299733336</v>
      </c>
      <c r="W50" s="921">
        <f t="shared" si="10"/>
        <v>406156.34550399997</v>
      </c>
      <c r="X50" s="921">
        <f t="shared" si="10"/>
        <v>326199.54550399992</v>
      </c>
      <c r="Y50" s="921">
        <f t="shared" si="10"/>
        <v>35119.571865443402</v>
      </c>
      <c r="Z50" s="921">
        <f t="shared" si="10"/>
        <v>35119.571865443402</v>
      </c>
      <c r="AA50" s="921">
        <f t="shared" si="10"/>
        <v>35119.571865443402</v>
      </c>
      <c r="AB50" s="921">
        <f t="shared" si="10"/>
        <v>4022200.9761133143</v>
      </c>
      <c r="AC50" s="921">
        <f t="shared" si="10"/>
        <v>0</v>
      </c>
      <c r="AD50" s="921">
        <f t="shared" si="10"/>
        <v>84000</v>
      </c>
      <c r="AE50" s="921">
        <f t="shared" si="10"/>
        <v>0</v>
      </c>
      <c r="AF50" s="921">
        <f t="shared" si="10"/>
        <v>0</v>
      </c>
      <c r="AG50" s="921">
        <f t="shared" si="10"/>
        <v>0</v>
      </c>
      <c r="AH50" s="922">
        <f>SUM(C50:AG50)</f>
        <v>7722293.5779816452</v>
      </c>
      <c r="AI50" s="28">
        <f>'CUADRO DE VENTAS'!G212-AH50</f>
        <v>0</v>
      </c>
      <c r="AJ50" s="10"/>
      <c r="AK50" s="10"/>
      <c r="AL50" s="10"/>
      <c r="AM50" s="10"/>
      <c r="AN50" s="10"/>
      <c r="AO50" s="10"/>
    </row>
    <row r="51" spans="1:41" ht="13.5" thickBot="1">
      <c r="A51" s="7"/>
      <c r="B51" s="28"/>
      <c r="C51" s="28"/>
      <c r="D51" s="357"/>
      <c r="E51" s="357"/>
      <c r="F51" s="357"/>
      <c r="G51" s="357"/>
      <c r="H51" s="357"/>
      <c r="I51" s="357"/>
      <c r="J51" s="357"/>
      <c r="K51" s="357"/>
      <c r="L51" s="357"/>
      <c r="M51" s="357"/>
      <c r="N51" s="357"/>
      <c r="O51" s="357"/>
      <c r="P51" s="357"/>
      <c r="Q51" s="357"/>
      <c r="R51" s="357"/>
      <c r="S51" s="357"/>
      <c r="T51" s="357"/>
      <c r="U51" s="357"/>
      <c r="V51" s="357"/>
      <c r="W51" s="357"/>
      <c r="X51" s="357"/>
      <c r="Y51" s="357"/>
      <c r="Z51" s="357"/>
      <c r="AA51" s="357"/>
      <c r="AB51" s="357"/>
      <c r="AC51" s="357"/>
      <c r="AD51" s="357"/>
      <c r="AE51" s="357"/>
      <c r="AF51" s="357"/>
      <c r="AG51" s="357"/>
      <c r="AH51" s="357"/>
      <c r="AI51" s="28"/>
      <c r="AJ51" s="10"/>
      <c r="AK51" s="10"/>
      <c r="AL51" s="10"/>
      <c r="AM51" s="10"/>
      <c r="AN51" s="10"/>
      <c r="AO51" s="10"/>
    </row>
    <row r="52" spans="1:41" ht="13.5" thickBot="1">
      <c r="A52" s="5"/>
      <c r="B52" s="80" t="s">
        <v>3</v>
      </c>
      <c r="C52" s="81">
        <f>C50*0.18/2</f>
        <v>0</v>
      </c>
      <c r="D52" s="358">
        <f t="shared" ref="D52:E52" si="11">D50*0.18/2</f>
        <v>0</v>
      </c>
      <c r="E52" s="358">
        <f t="shared" si="11"/>
        <v>0</v>
      </c>
      <c r="F52" s="358">
        <f>F50*0.18/2</f>
        <v>0</v>
      </c>
      <c r="G52" s="358">
        <f>G50*0.18/2</f>
        <v>90</v>
      </c>
      <c r="H52" s="358">
        <f t="shared" ref="H52:AG52" si="12">H50*0.18/2</f>
        <v>2864.2018348623828</v>
      </c>
      <c r="I52" s="358">
        <f t="shared" si="12"/>
        <v>2864.2018348623828</v>
      </c>
      <c r="J52" s="358">
        <f t="shared" si="12"/>
        <v>3135.9908256880708</v>
      </c>
      <c r="K52" s="358">
        <f t="shared" si="12"/>
        <v>3135.9908256880708</v>
      </c>
      <c r="L52" s="358">
        <f t="shared" si="12"/>
        <v>3135.9908256880708</v>
      </c>
      <c r="M52" s="358">
        <f t="shared" si="12"/>
        <v>3135.9908256880708</v>
      </c>
      <c r="N52" s="358">
        <f t="shared" si="12"/>
        <v>3135.9908256880708</v>
      </c>
      <c r="O52" s="358">
        <f t="shared" si="12"/>
        <v>3135.9908256880708</v>
      </c>
      <c r="P52" s="358">
        <f t="shared" si="12"/>
        <v>3135.9908256880708</v>
      </c>
      <c r="Q52" s="358">
        <f t="shared" si="12"/>
        <v>18903.057229818725</v>
      </c>
      <c r="R52" s="358">
        <f t="shared" si="12"/>
        <v>30999.67572576</v>
      </c>
      <c r="S52" s="358">
        <f t="shared" si="12"/>
        <v>34354.663714560003</v>
      </c>
      <c r="T52" s="358">
        <f t="shared" si="12"/>
        <v>34354.663714560003</v>
      </c>
      <c r="U52" s="358">
        <f t="shared" si="12"/>
        <v>51835.80986976</v>
      </c>
      <c r="V52" s="358">
        <f t="shared" si="12"/>
        <v>51835.80986976</v>
      </c>
      <c r="W52" s="358">
        <f t="shared" si="12"/>
        <v>36554.071095359999</v>
      </c>
      <c r="X52" s="358">
        <f t="shared" si="12"/>
        <v>29357.959095359991</v>
      </c>
      <c r="Y52" s="358">
        <f t="shared" si="12"/>
        <v>3160.7614678899063</v>
      </c>
      <c r="Z52" s="358">
        <f t="shared" si="12"/>
        <v>3160.7614678899063</v>
      </c>
      <c r="AA52" s="358">
        <f t="shared" si="12"/>
        <v>3160.7614678899063</v>
      </c>
      <c r="AB52" s="358">
        <f>AB50*0.18/2</f>
        <v>361998.08785019827</v>
      </c>
      <c r="AC52" s="358">
        <f t="shared" si="12"/>
        <v>0</v>
      </c>
      <c r="AD52" s="358">
        <f t="shared" si="12"/>
        <v>7560</v>
      </c>
      <c r="AE52" s="358">
        <f t="shared" si="12"/>
        <v>0</v>
      </c>
      <c r="AF52" s="358">
        <f t="shared" si="12"/>
        <v>0</v>
      </c>
      <c r="AG52" s="358">
        <f t="shared" si="12"/>
        <v>0</v>
      </c>
      <c r="AH52" s="937">
        <f>AH50*0.18/2</f>
        <v>695006.42201834801</v>
      </c>
      <c r="AI52" s="28">
        <f>AH50*0.18/2-AH52</f>
        <v>0</v>
      </c>
      <c r="AJ52" s="10"/>
      <c r="AK52" s="10"/>
      <c r="AL52" s="10"/>
      <c r="AM52" s="10"/>
      <c r="AN52" s="10"/>
      <c r="AO52" s="10"/>
    </row>
    <row r="53" spans="1:41" ht="13.5" thickBot="1">
      <c r="A53" s="7"/>
      <c r="B53" s="28"/>
      <c r="C53" s="28"/>
      <c r="D53" s="357"/>
      <c r="E53" s="357"/>
      <c r="F53" s="357"/>
      <c r="G53" s="357"/>
      <c r="H53" s="357"/>
      <c r="I53" s="357"/>
      <c r="J53" s="357"/>
      <c r="K53" s="357"/>
      <c r="L53" s="357"/>
      <c r="M53" s="357"/>
      <c r="N53" s="357"/>
      <c r="O53" s="357"/>
      <c r="P53" s="357"/>
      <c r="Q53" s="357"/>
      <c r="R53" s="357"/>
      <c r="S53" s="357"/>
      <c r="T53" s="357"/>
      <c r="U53" s="357"/>
      <c r="V53" s="357"/>
      <c r="W53" s="357"/>
      <c r="X53" s="357"/>
      <c r="Y53" s="357"/>
      <c r="Z53" s="357"/>
      <c r="AA53" s="357"/>
      <c r="AB53" s="357"/>
      <c r="AC53" s="357"/>
      <c r="AD53" s="357"/>
      <c r="AE53" s="357"/>
      <c r="AF53" s="357"/>
      <c r="AG53" s="357"/>
      <c r="AH53" s="357"/>
      <c r="AI53" s="28"/>
      <c r="AJ53" s="10"/>
      <c r="AK53" s="10"/>
      <c r="AL53" s="10"/>
      <c r="AM53" s="10"/>
      <c r="AN53" s="10"/>
      <c r="AO53" s="10"/>
    </row>
    <row r="54" spans="1:41" ht="13.5" thickBot="1">
      <c r="A54" s="5"/>
      <c r="B54" s="80" t="s">
        <v>35</v>
      </c>
      <c r="C54" s="81">
        <f t="shared" ref="C54:D54" si="13">C50+C52</f>
        <v>0</v>
      </c>
      <c r="D54" s="358">
        <f t="shared" si="13"/>
        <v>0</v>
      </c>
      <c r="E54" s="358">
        <f>E50+E52</f>
        <v>0</v>
      </c>
      <c r="F54" s="358">
        <f>F50+F52</f>
        <v>0</v>
      </c>
      <c r="G54" s="358">
        <f t="shared" ref="G54:AC54" si="14">G50+G52</f>
        <v>1090</v>
      </c>
      <c r="H54" s="358">
        <f t="shared" si="14"/>
        <v>34688.666666666635</v>
      </c>
      <c r="I54" s="358">
        <f t="shared" si="14"/>
        <v>34688.666666666635</v>
      </c>
      <c r="J54" s="358">
        <f t="shared" si="14"/>
        <v>37980.333333333307</v>
      </c>
      <c r="K54" s="358">
        <f t="shared" si="14"/>
        <v>37980.333333333307</v>
      </c>
      <c r="L54" s="358">
        <f t="shared" si="14"/>
        <v>37980.333333333307</v>
      </c>
      <c r="M54" s="358">
        <f t="shared" si="14"/>
        <v>37980.333333333307</v>
      </c>
      <c r="N54" s="358">
        <f t="shared" si="14"/>
        <v>37980.333333333307</v>
      </c>
      <c r="O54" s="358">
        <f t="shared" si="14"/>
        <v>37980.333333333307</v>
      </c>
      <c r="P54" s="358">
        <f t="shared" si="14"/>
        <v>37980.333333333307</v>
      </c>
      <c r="Q54" s="358">
        <f t="shared" si="14"/>
        <v>228937.02645002678</v>
      </c>
      <c r="R54" s="358">
        <f t="shared" si="14"/>
        <v>375440.51712309336</v>
      </c>
      <c r="S54" s="358">
        <f t="shared" si="14"/>
        <v>416073.14943189337</v>
      </c>
      <c r="T54" s="358">
        <f t="shared" si="14"/>
        <v>416073.14943189337</v>
      </c>
      <c r="U54" s="358">
        <f t="shared" si="14"/>
        <v>627789.25286709331</v>
      </c>
      <c r="V54" s="358">
        <f t="shared" si="14"/>
        <v>627789.25286709331</v>
      </c>
      <c r="W54" s="358">
        <f t="shared" si="14"/>
        <v>442710.41659935995</v>
      </c>
      <c r="X54" s="358">
        <f t="shared" si="14"/>
        <v>355557.50459935993</v>
      </c>
      <c r="Y54" s="358">
        <f t="shared" si="14"/>
        <v>38280.333333333307</v>
      </c>
      <c r="Z54" s="358">
        <f t="shared" si="14"/>
        <v>38280.333333333307</v>
      </c>
      <c r="AA54" s="358">
        <f t="shared" si="14"/>
        <v>38280.333333333307</v>
      </c>
      <c r="AB54" s="358">
        <f t="shared" si="14"/>
        <v>4384199.0639635129</v>
      </c>
      <c r="AC54" s="358">
        <f t="shared" si="14"/>
        <v>0</v>
      </c>
      <c r="AD54" s="358">
        <f>AD50+AD52</f>
        <v>91560</v>
      </c>
      <c r="AE54" s="358">
        <f t="shared" ref="AE54:AG54" si="15">AE50+AE52</f>
        <v>0</v>
      </c>
      <c r="AF54" s="358">
        <f t="shared" si="15"/>
        <v>0</v>
      </c>
      <c r="AG54" s="358">
        <f t="shared" si="15"/>
        <v>0</v>
      </c>
      <c r="AH54" s="359">
        <f>SUM(C54:AG54)</f>
        <v>8417299.9999999925</v>
      </c>
      <c r="AI54" s="28">
        <f>'Flujo Ingresos'!J203-'Flujo Ingresos'!AH53</f>
        <v>0</v>
      </c>
      <c r="AJ54" s="34"/>
      <c r="AK54" s="10"/>
      <c r="AL54" s="10"/>
      <c r="AM54" s="10"/>
      <c r="AN54" s="10"/>
      <c r="AO54" s="10"/>
    </row>
    <row r="55" spans="1:41">
      <c r="A55" s="5"/>
      <c r="B55" s="28" t="s">
        <v>548</v>
      </c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10"/>
      <c r="AK55" s="10"/>
      <c r="AL55" s="10"/>
      <c r="AM55" s="10"/>
      <c r="AN55" s="10"/>
      <c r="AO55" s="10"/>
    </row>
    <row r="56" spans="1:41" ht="13.5" thickBot="1">
      <c r="B56" s="10"/>
      <c r="C56" s="146"/>
      <c r="D56" s="146"/>
      <c r="E56" s="146"/>
      <c r="F56" s="146"/>
      <c r="G56" s="146"/>
      <c r="H56" s="146"/>
      <c r="I56" s="146"/>
      <c r="J56" s="146"/>
      <c r="K56" s="146"/>
      <c r="L56" s="146"/>
      <c r="M56" s="146"/>
      <c r="N56" s="146"/>
      <c r="O56" s="146"/>
      <c r="P56" s="146"/>
      <c r="Q56" s="146"/>
      <c r="R56" s="146"/>
      <c r="S56" s="146"/>
      <c r="T56" s="146"/>
      <c r="U56" s="146"/>
      <c r="V56" s="146"/>
      <c r="W56" s="146"/>
      <c r="X56" s="146"/>
      <c r="Y56" s="146"/>
      <c r="Z56" s="146"/>
      <c r="AA56" s="146"/>
      <c r="AH56" s="10"/>
      <c r="AI56" s="10"/>
      <c r="AJ56" s="10"/>
      <c r="AK56" s="10"/>
      <c r="AL56" s="10"/>
      <c r="AM56" s="10"/>
      <c r="AN56" s="10"/>
      <c r="AO56" s="10"/>
    </row>
    <row r="57" spans="1:41" ht="13.5" thickBot="1">
      <c r="B57" s="68" t="s">
        <v>460</v>
      </c>
      <c r="C57" s="71"/>
      <c r="D57" s="45"/>
      <c r="E57" s="4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H57" s="15"/>
      <c r="AI57" s="15"/>
      <c r="AJ57" s="15"/>
      <c r="AK57" s="15"/>
      <c r="AL57" s="15"/>
      <c r="AM57" s="15"/>
      <c r="AN57" s="15"/>
      <c r="AO57" s="15"/>
    </row>
    <row r="58" spans="1:41">
      <c r="B58" s="12" t="s">
        <v>60</v>
      </c>
      <c r="C58" s="46">
        <v>250</v>
      </c>
      <c r="D58" s="45"/>
      <c r="E58" s="45"/>
      <c r="F58" s="15"/>
      <c r="G58" s="15"/>
      <c r="H58" s="588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H58" s="15"/>
      <c r="AI58" s="15"/>
      <c r="AJ58" s="15"/>
      <c r="AK58" s="15"/>
      <c r="AL58" s="15"/>
      <c r="AM58" s="15"/>
      <c r="AN58" s="15"/>
      <c r="AO58" s="15"/>
    </row>
    <row r="59" spans="1:41">
      <c r="B59" s="12" t="s">
        <v>58</v>
      </c>
      <c r="C59" s="47">
        <v>0.1</v>
      </c>
      <c r="D59" s="45"/>
      <c r="E59" s="4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H59" s="15"/>
      <c r="AI59" s="15"/>
      <c r="AJ59" s="15"/>
      <c r="AK59" s="15"/>
      <c r="AL59" s="15"/>
      <c r="AM59" s="15"/>
      <c r="AN59" s="15"/>
      <c r="AO59" s="15"/>
    </row>
    <row r="60" spans="1:41">
      <c r="B60" s="12" t="s">
        <v>62</v>
      </c>
      <c r="C60" s="48">
        <v>30</v>
      </c>
      <c r="D60" s="45"/>
      <c r="E60" s="4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H60" s="15"/>
      <c r="AI60" s="15"/>
      <c r="AJ60" s="15"/>
      <c r="AK60" s="15"/>
      <c r="AL60" s="15"/>
      <c r="AM60" s="15"/>
      <c r="AN60" s="15"/>
      <c r="AO60" s="15"/>
    </row>
    <row r="61" spans="1:41">
      <c r="B61" s="12" t="s">
        <v>63</v>
      </c>
      <c r="C61" s="1003">
        <v>60</v>
      </c>
      <c r="D61" s="45"/>
      <c r="E61" s="4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</row>
    <row r="62" spans="1:41">
      <c r="B62" s="12" t="s">
        <v>61</v>
      </c>
      <c r="C62" s="47">
        <v>0</v>
      </c>
      <c r="D62" s="45"/>
      <c r="E62" s="4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</row>
    <row r="63" spans="1:41">
      <c r="B63" s="14" t="s">
        <v>65</v>
      </c>
      <c r="C63" s="48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</row>
    <row r="64" spans="1:41" ht="13.5" thickBot="1">
      <c r="B64" s="13" t="s">
        <v>64</v>
      </c>
      <c r="C64" s="49">
        <v>90</v>
      </c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</row>
    <row r="65" spans="1:41" hidden="1"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68"/>
      <c r="AI65" s="15"/>
      <c r="AJ65" s="15"/>
      <c r="AK65" s="15"/>
      <c r="AL65" s="15"/>
      <c r="AM65" s="15"/>
      <c r="AN65" s="15"/>
      <c r="AO65" s="15"/>
    </row>
    <row r="66" spans="1:41" hidden="1">
      <c r="C66" s="361">
        <f t="shared" ref="C66:P66" si="16">C37*1.09</f>
        <v>0</v>
      </c>
      <c r="D66" s="361">
        <f t="shared" si="16"/>
        <v>0</v>
      </c>
      <c r="E66" s="361">
        <f t="shared" si="16"/>
        <v>0</v>
      </c>
      <c r="F66" s="361">
        <f t="shared" si="16"/>
        <v>0</v>
      </c>
      <c r="G66" s="361">
        <f t="shared" si="16"/>
        <v>0</v>
      </c>
      <c r="H66" s="361">
        <f t="shared" si="16"/>
        <v>0</v>
      </c>
      <c r="I66" s="361">
        <f t="shared" si="16"/>
        <v>0</v>
      </c>
      <c r="J66" s="361">
        <f t="shared" si="16"/>
        <v>0</v>
      </c>
      <c r="K66" s="361">
        <f t="shared" si="16"/>
        <v>0</v>
      </c>
      <c r="L66" s="361">
        <f t="shared" si="16"/>
        <v>0</v>
      </c>
      <c r="M66" s="361">
        <f t="shared" si="16"/>
        <v>0</v>
      </c>
      <c r="N66" s="361">
        <f t="shared" si="16"/>
        <v>0</v>
      </c>
      <c r="O66" s="361">
        <f t="shared" si="16"/>
        <v>0</v>
      </c>
      <c r="P66" s="361">
        <f t="shared" si="16"/>
        <v>0</v>
      </c>
      <c r="Q66" s="361"/>
      <c r="R66" s="361"/>
      <c r="S66" s="361"/>
      <c r="T66" s="361"/>
      <c r="U66" s="361"/>
      <c r="V66" s="361"/>
      <c r="W66" s="361"/>
      <c r="X66" s="361"/>
      <c r="Y66" s="361"/>
      <c r="Z66" s="361"/>
      <c r="AA66" s="361"/>
      <c r="AB66" s="361"/>
      <c r="AC66" s="361"/>
      <c r="AD66" s="361"/>
      <c r="AE66" s="361"/>
      <c r="AF66" s="361"/>
      <c r="AG66" s="361"/>
      <c r="AH66" s="361"/>
    </row>
    <row r="67" spans="1:41" hidden="1">
      <c r="C67" s="361" t="e">
        <f>(C40+#REF!)*1.09</f>
        <v>#REF!</v>
      </c>
      <c r="D67" s="361" t="e">
        <f>(D40+#REF!)*1.09</f>
        <v>#REF!</v>
      </c>
      <c r="E67" s="361" t="e">
        <f>(E40+#REF!)*1.09</f>
        <v>#REF!</v>
      </c>
      <c r="F67" s="361" t="e">
        <f>(F40+#REF!)*1.09</f>
        <v>#REF!</v>
      </c>
      <c r="G67" s="361" t="e">
        <f>(G40+#REF!)*1.09</f>
        <v>#REF!</v>
      </c>
      <c r="H67" s="361" t="e">
        <f>(#REF!+#REF!)*1.09</f>
        <v>#REF!</v>
      </c>
      <c r="I67" s="361" t="e">
        <f>(H40+#REF!)*1.09</f>
        <v>#REF!</v>
      </c>
      <c r="J67" s="361" t="e">
        <f>(J40+#REF!)*1.09</f>
        <v>#REF!</v>
      </c>
      <c r="K67" s="361" t="e">
        <f>(K40+#REF!)*1.09</f>
        <v>#REF!</v>
      </c>
      <c r="L67" s="361" t="e">
        <f>(L40+#REF!)*1.09</f>
        <v>#REF!</v>
      </c>
      <c r="M67" s="361" t="e">
        <f>(M40+#REF!)*1.09</f>
        <v>#REF!</v>
      </c>
      <c r="N67" s="361" t="e">
        <f>(N40+#REF!)*1.09</f>
        <v>#REF!</v>
      </c>
      <c r="O67" s="361" t="e">
        <f>(O40+#REF!)*1.09</f>
        <v>#REF!</v>
      </c>
      <c r="P67" s="361" t="e">
        <f>(P40+#REF!)*1.09</f>
        <v>#REF!</v>
      </c>
      <c r="Q67" s="361"/>
      <c r="R67" s="361"/>
      <c r="S67" s="361"/>
      <c r="T67" s="361"/>
      <c r="U67" s="361"/>
      <c r="V67" s="361"/>
      <c r="W67" s="361"/>
      <c r="X67" s="361"/>
      <c r="Y67" s="361"/>
      <c r="Z67" s="361"/>
      <c r="AA67" s="361"/>
      <c r="AB67" s="361"/>
      <c r="AC67" s="361"/>
      <c r="AD67" s="361"/>
      <c r="AE67" s="361"/>
      <c r="AF67" s="361"/>
      <c r="AG67" s="361"/>
      <c r="AH67" s="361"/>
    </row>
    <row r="68" spans="1:41" hidden="1">
      <c r="C68" s="361" t="e">
        <f>#REF!*1.09</f>
        <v>#REF!</v>
      </c>
      <c r="D68" s="361" t="e">
        <f>#REF!*1.09</f>
        <v>#REF!</v>
      </c>
      <c r="E68" s="361" t="e">
        <f>#REF!*1.09</f>
        <v>#REF!</v>
      </c>
      <c r="F68" s="361" t="e">
        <f>#REF!*1.09</f>
        <v>#REF!</v>
      </c>
      <c r="G68" s="361" t="e">
        <f>#REF!*1.09</f>
        <v>#REF!</v>
      </c>
      <c r="H68" s="361" t="e">
        <f>#REF!*1.09</f>
        <v>#REF!</v>
      </c>
      <c r="I68" s="361" t="e">
        <f>#REF!*1.09</f>
        <v>#REF!</v>
      </c>
      <c r="J68" s="361" t="e">
        <f>#REF!*1.09</f>
        <v>#REF!</v>
      </c>
      <c r="K68" s="361" t="e">
        <f>#REF!*1.09</f>
        <v>#REF!</v>
      </c>
      <c r="L68" s="361" t="e">
        <f>#REF!*1.09</f>
        <v>#REF!</v>
      </c>
      <c r="M68" s="361" t="e">
        <f>#REF!*1.09</f>
        <v>#REF!</v>
      </c>
      <c r="N68" s="361" t="e">
        <f>#REF!*1.09</f>
        <v>#REF!</v>
      </c>
      <c r="O68" s="361" t="e">
        <f>#REF!*1.09</f>
        <v>#REF!</v>
      </c>
      <c r="P68" s="361" t="e">
        <f>#REF!*1.09</f>
        <v>#REF!</v>
      </c>
      <c r="Q68" s="361"/>
      <c r="R68" s="361"/>
      <c r="S68" s="361"/>
      <c r="T68" s="361"/>
      <c r="U68" s="361"/>
      <c r="V68" s="361"/>
      <c r="W68" s="361"/>
      <c r="X68" s="361"/>
      <c r="Y68" s="361"/>
      <c r="Z68" s="361"/>
      <c r="AA68" s="361"/>
      <c r="AB68" s="361"/>
      <c r="AC68" s="361"/>
      <c r="AD68" s="361"/>
      <c r="AE68" s="361"/>
      <c r="AF68" s="361"/>
      <c r="AG68" s="361"/>
      <c r="AH68" s="361"/>
    </row>
    <row r="69" spans="1:41" hidden="1">
      <c r="C69" s="361"/>
      <c r="D69" s="361"/>
      <c r="E69" s="361"/>
      <c r="F69" s="361"/>
      <c r="G69" s="361"/>
      <c r="H69" s="361"/>
      <c r="I69" s="361"/>
      <c r="J69" s="361"/>
      <c r="K69" s="361"/>
      <c r="L69" s="361"/>
      <c r="M69" s="361"/>
      <c r="N69" s="361"/>
      <c r="O69" s="361"/>
      <c r="P69" s="361"/>
      <c r="Q69" s="361"/>
      <c r="R69" s="361"/>
      <c r="S69" s="361"/>
      <c r="T69" s="361"/>
      <c r="U69" s="361"/>
      <c r="V69" s="361"/>
      <c r="W69" s="361"/>
      <c r="X69" s="361"/>
      <c r="Y69" s="361"/>
      <c r="Z69" s="361"/>
      <c r="AA69" s="361"/>
      <c r="AB69" s="361"/>
      <c r="AC69" s="361"/>
      <c r="AD69" s="361"/>
      <c r="AE69" s="361"/>
      <c r="AF69" s="361"/>
      <c r="AG69" s="361"/>
      <c r="AH69" s="389"/>
    </row>
    <row r="70" spans="1:41">
      <c r="B70" s="379"/>
    </row>
    <row r="71" spans="1:41">
      <c r="B71" s="516" t="s">
        <v>706</v>
      </c>
      <c r="AC71" s="925"/>
    </row>
    <row r="72" spans="1:41" ht="13.5" thickBot="1"/>
    <row r="73" spans="1:41" ht="13.5" thickBot="1">
      <c r="B73" s="936" t="s">
        <v>717</v>
      </c>
      <c r="C73" s="924">
        <f>'EGRESOS DETALLADO'!J128+'EGRESOS DETALLADO'!J129</f>
        <v>0</v>
      </c>
      <c r="D73" s="924">
        <f>'EGRESOS DETALLADO'!K128+'EGRESOS DETALLADO'!K129</f>
        <v>0</v>
      </c>
      <c r="E73" s="924">
        <f>'EGRESOS DETALLADO'!L128+'EGRESOS DETALLADO'!L129</f>
        <v>0</v>
      </c>
      <c r="F73" s="924">
        <f>'EGRESOS DETALLADO'!M128+'EGRESOS DETALLADO'!M129</f>
        <v>0</v>
      </c>
      <c r="G73" s="924">
        <f>'EGRESOS DETALLADO'!N128+'EGRESOS DETALLADO'!N129</f>
        <v>0</v>
      </c>
      <c r="H73" s="924">
        <f>'EGRESOS DETALLADO'!O128+'EGRESOS DETALLADO'!O129</f>
        <v>0</v>
      </c>
      <c r="I73" s="924">
        <f>'EGRESOS DETALLADO'!P128+'EGRESOS DETALLADO'!P129</f>
        <v>0</v>
      </c>
      <c r="J73" s="924">
        <f>'EGRESOS DETALLADO'!Q128+'EGRESOS DETALLADO'!Q129</f>
        <v>0</v>
      </c>
      <c r="K73" s="924">
        <f>'EGRESOS DETALLADO'!R128+'EGRESOS DETALLADO'!R129</f>
        <v>0</v>
      </c>
      <c r="L73" s="924">
        <f>'EGRESOS DETALLADO'!S128+'EGRESOS DETALLADO'!S129</f>
        <v>0</v>
      </c>
      <c r="M73" s="924">
        <f>'EGRESOS DETALLADO'!T128+'EGRESOS DETALLADO'!T129</f>
        <v>0</v>
      </c>
      <c r="N73" s="924">
        <f>'EGRESOS DETALLADO'!U128+'EGRESOS DETALLADO'!U129</f>
        <v>0</v>
      </c>
      <c r="O73" s="924">
        <f>'EGRESOS DETALLADO'!V128+'EGRESOS DETALLADO'!V129</f>
        <v>0</v>
      </c>
      <c r="P73" s="924">
        <f>'EGRESOS DETALLADO'!W128+'EGRESOS DETALLADO'!W129</f>
        <v>130138.91287999984</v>
      </c>
      <c r="Q73" s="924">
        <f>'EGRESOS DETALLADO'!X128+'EGRESOS DETALLADO'!X129</f>
        <v>388454.38355733338</v>
      </c>
      <c r="R73" s="924">
        <f>'EGRESOS DETALLADO'!Y128+'EGRESOS DETALLADO'!Y129</f>
        <v>344440.84139733337</v>
      </c>
      <c r="S73" s="924">
        <f>'EGRESOS DETALLADO'!Z128+'EGRESOS DETALLADO'!Z129</f>
        <v>381718.48571733339</v>
      </c>
      <c r="T73" s="924">
        <f>'EGRESOS DETALLADO'!AA128+'EGRESOS DETALLADO'!AA129</f>
        <v>381718.48571733339</v>
      </c>
      <c r="U73" s="924">
        <f>'EGRESOS DETALLADO'!AB128+'EGRESOS DETALLADO'!AB129</f>
        <v>575953.44299733336</v>
      </c>
      <c r="V73" s="924">
        <f>'EGRESOS DETALLADO'!AC128+'EGRESOS DETALLADO'!AC129</f>
        <v>575953.44299733336</v>
      </c>
      <c r="W73" s="924">
        <f>'EGRESOS DETALLADO'!AD128+'EGRESOS DETALLADO'!AD129</f>
        <v>406156.34550399997</v>
      </c>
      <c r="X73" s="924">
        <f>'EGRESOS DETALLADO'!AE128+'EGRESOS DETALLADO'!AE129</f>
        <v>326199.54550399998</v>
      </c>
      <c r="Y73" s="924">
        <f>'EGRESOS DETALLADO'!AF128+'EGRESOS DETALLADO'!AF129</f>
        <v>285485.47686399997</v>
      </c>
      <c r="Z73" s="924">
        <f>'EGRESOS DETALLADO'!AG128+'EGRESOS DETALLADO'!AG129</f>
        <v>314692.83686400001</v>
      </c>
      <c r="AA73" s="924">
        <f>'EGRESOS DETALLADO'!AH128+'EGRESOS DETALLADO'!AH129</f>
        <v>18767.900000000001</v>
      </c>
      <c r="AB73" s="924">
        <f>'EGRESOS DETALLADO'!AI128+'EGRESOS DETALLADO'!AI129</f>
        <v>53767.9</v>
      </c>
      <c r="AC73" s="924">
        <f>'EGRESOS DETALLADO'!AJ128+'EGRESOS DETALLADO'!AJ129</f>
        <v>0</v>
      </c>
      <c r="AD73" s="924">
        <f>'EGRESOS DETALLADO'!AK128+'EGRESOS DETALLADO'!AK129</f>
        <v>0</v>
      </c>
      <c r="AE73" s="924">
        <f>'EGRESOS DETALLADO'!AL128+'EGRESOS DETALLADO'!AL129</f>
        <v>0</v>
      </c>
      <c r="AF73" s="924">
        <f>'EGRESOS DETALLADO'!AM128+'EGRESOS DETALLADO'!AM129</f>
        <v>0</v>
      </c>
      <c r="AG73" s="924">
        <f>'EGRESOS DETALLADO'!AN128+'EGRESOS DETALLADO'!AN129</f>
        <v>0</v>
      </c>
      <c r="AH73" s="923">
        <f>SUM(C73:AG73)</f>
        <v>4183448</v>
      </c>
      <c r="AI73" s="939">
        <f>'ESTRUCTURA FIN'!F13-'Flujo Ingresos'!AH73+35000</f>
        <v>-1631604</v>
      </c>
    </row>
    <row r="74" spans="1:41" s="379" customFormat="1">
      <c r="A74" s="5"/>
      <c r="B74" s="933" t="s">
        <v>707</v>
      </c>
      <c r="C74" s="934">
        <f>SUM(C38:C47)</f>
        <v>0</v>
      </c>
      <c r="D74" s="934">
        <f>SUM(D38:D47)</f>
        <v>0</v>
      </c>
      <c r="E74" s="934">
        <f>SUM(E38:E47)</f>
        <v>0</v>
      </c>
      <c r="F74" s="934">
        <f>SUM(F38:F47)</f>
        <v>0</v>
      </c>
      <c r="G74" s="934">
        <f>SUM(G38:G47)</f>
        <v>1000</v>
      </c>
      <c r="H74" s="934">
        <f t="shared" ref="H74:AG74" si="17">SUM(H38:H47)</f>
        <v>31824.464831804253</v>
      </c>
      <c r="I74" s="934">
        <f t="shared" si="17"/>
        <v>31824.464831804253</v>
      </c>
      <c r="J74" s="934">
        <f t="shared" si="17"/>
        <v>34844.342507645233</v>
      </c>
      <c r="K74" s="934">
        <f t="shared" si="17"/>
        <v>34844.342507645233</v>
      </c>
      <c r="L74" s="934">
        <f t="shared" si="17"/>
        <v>34844.342507645233</v>
      </c>
      <c r="M74" s="934">
        <f t="shared" si="17"/>
        <v>34844.342507645233</v>
      </c>
      <c r="N74" s="934">
        <f t="shared" si="17"/>
        <v>34844.342507645233</v>
      </c>
      <c r="O74" s="934">
        <f t="shared" si="17"/>
        <v>34844.342507645233</v>
      </c>
      <c r="P74" s="934">
        <f t="shared" si="17"/>
        <v>34844.342507645233</v>
      </c>
      <c r="Q74" s="934">
        <f t="shared" si="17"/>
        <v>34844.342507645233</v>
      </c>
      <c r="R74" s="934">
        <f t="shared" si="17"/>
        <v>34844.342507645233</v>
      </c>
      <c r="S74" s="934">
        <f t="shared" si="17"/>
        <v>34844.342507645233</v>
      </c>
      <c r="T74" s="934">
        <f t="shared" si="17"/>
        <v>34844.342507645233</v>
      </c>
      <c r="U74" s="934">
        <f t="shared" si="17"/>
        <v>34844.342507645233</v>
      </c>
      <c r="V74" s="934">
        <f t="shared" si="17"/>
        <v>34844.342507645233</v>
      </c>
      <c r="W74" s="934">
        <f t="shared" si="17"/>
        <v>34844.342507645233</v>
      </c>
      <c r="X74" s="934">
        <f t="shared" si="17"/>
        <v>35119.571865443402</v>
      </c>
      <c r="Y74" s="934">
        <f t="shared" si="17"/>
        <v>35119.571865443402</v>
      </c>
      <c r="Z74" s="934">
        <f t="shared" si="17"/>
        <v>35119.571865443402</v>
      </c>
      <c r="AA74" s="934">
        <f t="shared" si="17"/>
        <v>35119.571865443402</v>
      </c>
      <c r="AB74" s="934">
        <f t="shared" si="17"/>
        <v>510439.1437308868</v>
      </c>
      <c r="AC74" s="934">
        <f t="shared" si="17"/>
        <v>0</v>
      </c>
      <c r="AD74" s="934">
        <f t="shared" si="17"/>
        <v>0</v>
      </c>
      <c r="AE74" s="934">
        <f t="shared" si="17"/>
        <v>0</v>
      </c>
      <c r="AF74" s="934">
        <f t="shared" si="17"/>
        <v>0</v>
      </c>
      <c r="AG74" s="934">
        <f t="shared" si="17"/>
        <v>0</v>
      </c>
      <c r="AH74" s="938">
        <f>SUM(C74:AG74)</f>
        <v>1203387.1559633021</v>
      </c>
      <c r="AI74" s="939">
        <f>(('CUADRO DE VENTAS'!H200+'CUADRO DE VENTAS'!G200+'CUADRO DE VENTAS'!G207+'CUADRO DE VENTAS'!H207+'CUADRO DE VENTAS'!G210+'CUADRO DE VENTAS'!H210)*0.1)+'CUADRO DE VENTAS'!G203+'CUADRO DE VENTAS'!H203+'CUADRO DE VENTAS'!G208+'CUADRO DE VENTAS'!H208-AH74</f>
        <v>0</v>
      </c>
      <c r="AJ74" s="940"/>
      <c r="AK74" s="368"/>
      <c r="AL74" s="368"/>
      <c r="AM74" s="368"/>
      <c r="AN74" s="368"/>
      <c r="AO74" s="368"/>
    </row>
    <row r="75" spans="1:41" s="379" customFormat="1" ht="13.5" thickBot="1">
      <c r="B75" s="935" t="s">
        <v>710</v>
      </c>
      <c r="C75" s="941">
        <f>C73-C74</f>
        <v>0</v>
      </c>
      <c r="D75" s="941">
        <f t="shared" ref="D75:F75" si="18">D73-D74</f>
        <v>0</v>
      </c>
      <c r="E75" s="941">
        <f t="shared" si="18"/>
        <v>0</v>
      </c>
      <c r="F75" s="941">
        <f t="shared" si="18"/>
        <v>0</v>
      </c>
      <c r="G75" s="941">
        <f>G73-G74</f>
        <v>-1000</v>
      </c>
      <c r="H75" s="941">
        <f t="shared" ref="H75" si="19">H73-H74</f>
        <v>-31824.464831804253</v>
      </c>
      <c r="I75" s="941">
        <f t="shared" ref="I75" si="20">I73-I74</f>
        <v>-31824.464831804253</v>
      </c>
      <c r="J75" s="941">
        <f t="shared" ref="J75" si="21">J73-J74</f>
        <v>-34844.342507645233</v>
      </c>
      <c r="K75" s="941">
        <f t="shared" ref="K75" si="22">K73-K74</f>
        <v>-34844.342507645233</v>
      </c>
      <c r="L75" s="941">
        <f t="shared" ref="L75" si="23">L73-L74</f>
        <v>-34844.342507645233</v>
      </c>
      <c r="M75" s="941">
        <f t="shared" ref="M75" si="24">M73-M74</f>
        <v>-34844.342507645233</v>
      </c>
      <c r="N75" s="941">
        <f t="shared" ref="N75" si="25">N73-N74</f>
        <v>-34844.342507645233</v>
      </c>
      <c r="O75" s="941">
        <f t="shared" ref="O75" si="26">O73-O74</f>
        <v>-34844.342507645233</v>
      </c>
      <c r="P75" s="941">
        <f t="shared" ref="P75" si="27">P73-P74</f>
        <v>95294.570372354618</v>
      </c>
      <c r="Q75" s="941">
        <f t="shared" ref="Q75" si="28">Q73-Q74</f>
        <v>353610.04104968812</v>
      </c>
      <c r="R75" s="941">
        <f t="shared" ref="R75" si="29">R73-R74</f>
        <v>309596.49888968811</v>
      </c>
      <c r="S75" s="941">
        <f t="shared" ref="S75" si="30">S73-S74</f>
        <v>346874.14320968813</v>
      </c>
      <c r="T75" s="941">
        <f t="shared" ref="T75" si="31">T73-T74</f>
        <v>346874.14320968813</v>
      </c>
      <c r="U75" s="941">
        <f t="shared" ref="U75" si="32">U73-U74</f>
        <v>541109.10048968811</v>
      </c>
      <c r="V75" s="941">
        <f t="shared" ref="V75" si="33">V73-V74</f>
        <v>541109.10048968811</v>
      </c>
      <c r="W75" s="941">
        <f t="shared" ref="W75" si="34">W73-W74</f>
        <v>371312.00299635471</v>
      </c>
      <c r="X75" s="941">
        <f t="shared" ref="X75" si="35">X73-X74</f>
        <v>291079.97363855655</v>
      </c>
      <c r="Y75" s="941">
        <f t="shared" ref="Y75" si="36">Y73-Y74</f>
        <v>250365.90499855657</v>
      </c>
      <c r="Z75" s="941">
        <f t="shared" ref="Z75" si="37">Z73-Z74</f>
        <v>279573.26499855658</v>
      </c>
      <c r="AA75" s="941">
        <f t="shared" ref="AA75" si="38">AA73-AA74</f>
        <v>-16351.671865443401</v>
      </c>
      <c r="AB75" s="941">
        <f t="shared" ref="AB75" si="39">AB73-AB74</f>
        <v>-456671.24373088678</v>
      </c>
      <c r="AC75" s="941">
        <f t="shared" ref="AC75" si="40">AC73-AC74</f>
        <v>0</v>
      </c>
      <c r="AD75" s="941">
        <f t="shared" ref="AD75" si="41">AD73-AD74</f>
        <v>0</v>
      </c>
      <c r="AE75" s="941">
        <f t="shared" ref="AE75" si="42">AE73-AE74</f>
        <v>0</v>
      </c>
      <c r="AF75" s="941">
        <f t="shared" ref="AF75" si="43">AF73-AF74</f>
        <v>0</v>
      </c>
      <c r="AG75" s="941">
        <f t="shared" ref="AG75" si="44">AG73-AG74</f>
        <v>0</v>
      </c>
      <c r="AH75" s="942">
        <f>SUM(C75:AG75)</f>
        <v>2980060.8440366979</v>
      </c>
    </row>
    <row r="76" spans="1:41" s="379" customFormat="1">
      <c r="B76" s="944" t="s">
        <v>711</v>
      </c>
      <c r="C76" s="971">
        <f>IF(C75&lt;0,-C75,0)</f>
        <v>0</v>
      </c>
      <c r="D76" s="971">
        <f>MAX(-D75+C76,0)</f>
        <v>0</v>
      </c>
      <c r="E76" s="971">
        <f t="shared" ref="E76:AB76" si="45">MAX(-E75+D76,0)</f>
        <v>0</v>
      </c>
      <c r="F76" s="971">
        <f t="shared" si="45"/>
        <v>0</v>
      </c>
      <c r="G76" s="971">
        <f t="shared" si="45"/>
        <v>1000</v>
      </c>
      <c r="H76" s="971">
        <f t="shared" si="45"/>
        <v>32824.464831804253</v>
      </c>
      <c r="I76" s="971">
        <f>MAX(-I75+H76,0)</f>
        <v>64648.929663608506</v>
      </c>
      <c r="J76" s="971">
        <f t="shared" si="45"/>
        <v>99493.272171253746</v>
      </c>
      <c r="K76" s="971">
        <f t="shared" si="45"/>
        <v>134337.61467889897</v>
      </c>
      <c r="L76" s="971">
        <f t="shared" si="45"/>
        <v>169181.9571865442</v>
      </c>
      <c r="M76" s="971">
        <f t="shared" si="45"/>
        <v>204026.29969418942</v>
      </c>
      <c r="N76" s="971">
        <f t="shared" si="45"/>
        <v>238870.64220183465</v>
      </c>
      <c r="O76" s="971">
        <f t="shared" si="45"/>
        <v>273714.9847094799</v>
      </c>
      <c r="P76" s="971">
        <f t="shared" si="45"/>
        <v>178420.41433712529</v>
      </c>
      <c r="Q76" s="971">
        <f t="shared" si="45"/>
        <v>0</v>
      </c>
      <c r="R76" s="971">
        <f t="shared" si="45"/>
        <v>0</v>
      </c>
      <c r="S76" s="971">
        <f t="shared" si="45"/>
        <v>0</v>
      </c>
      <c r="T76" s="971">
        <f t="shared" si="45"/>
        <v>0</v>
      </c>
      <c r="U76" s="971">
        <f t="shared" si="45"/>
        <v>0</v>
      </c>
      <c r="V76" s="971">
        <f t="shared" si="45"/>
        <v>0</v>
      </c>
      <c r="W76" s="971">
        <f t="shared" si="45"/>
        <v>0</v>
      </c>
      <c r="X76" s="971">
        <f t="shared" si="45"/>
        <v>0</v>
      </c>
      <c r="Y76" s="971">
        <f t="shared" si="45"/>
        <v>0</v>
      </c>
      <c r="Z76" s="971">
        <f t="shared" si="45"/>
        <v>0</v>
      </c>
      <c r="AA76" s="971">
        <f t="shared" si="45"/>
        <v>16351.671865443401</v>
      </c>
      <c r="AB76" s="971">
        <f t="shared" si="45"/>
        <v>473022.91559633019</v>
      </c>
      <c r="AC76" s="971">
        <f>MAX(-AC75+AB76,0)</f>
        <v>473022.91559633019</v>
      </c>
      <c r="AD76" s="971">
        <f t="shared" ref="AD76:AG76" si="46">MAX(-AD75+AC76,0)</f>
        <v>473022.91559633019</v>
      </c>
      <c r="AE76" s="971">
        <f t="shared" si="46"/>
        <v>473022.91559633019</v>
      </c>
      <c r="AF76" s="971">
        <f t="shared" si="46"/>
        <v>473022.91559633019</v>
      </c>
      <c r="AG76" s="971">
        <f t="shared" si="46"/>
        <v>473022.91559633019</v>
      </c>
      <c r="AH76" s="938"/>
    </row>
    <row r="77" spans="1:41" s="945" customFormat="1" ht="13.5" thickBot="1">
      <c r="B77" s="972" t="s">
        <v>708</v>
      </c>
      <c r="C77" s="973"/>
      <c r="D77" s="973">
        <f>IF(D76&gt;0,0,D75-C76)</f>
        <v>0</v>
      </c>
      <c r="E77" s="973">
        <f t="shared" ref="E77:M77" si="47">IF(E76&gt;0,0,E75-D76)</f>
        <v>0</v>
      </c>
      <c r="F77" s="973">
        <f t="shared" si="47"/>
        <v>0</v>
      </c>
      <c r="G77" s="973">
        <f t="shared" si="47"/>
        <v>0</v>
      </c>
      <c r="H77" s="973">
        <f t="shared" si="47"/>
        <v>0</v>
      </c>
      <c r="I77" s="973">
        <f t="shared" si="47"/>
        <v>0</v>
      </c>
      <c r="J77" s="973">
        <f t="shared" si="47"/>
        <v>0</v>
      </c>
      <c r="K77" s="973">
        <f t="shared" si="47"/>
        <v>0</v>
      </c>
      <c r="L77" s="973">
        <f t="shared" si="47"/>
        <v>0</v>
      </c>
      <c r="M77" s="973">
        <f t="shared" si="47"/>
        <v>0</v>
      </c>
      <c r="N77" s="973">
        <f t="shared" ref="N77" si="48">IF(N76&gt;0,0,N75-M76)</f>
        <v>0</v>
      </c>
      <c r="O77" s="973">
        <f t="shared" ref="O77" si="49">IF(O76&gt;0,0,O75-N76)</f>
        <v>0</v>
      </c>
      <c r="P77" s="973">
        <f t="shared" ref="P77" si="50">IF(P76&gt;0,0,P75-O76)</f>
        <v>0</v>
      </c>
      <c r="Q77" s="973">
        <f>IF(Q76&gt;0,0,Q75-P76)</f>
        <v>175189.62671256284</v>
      </c>
      <c r="R77" s="973">
        <f t="shared" ref="R77" si="51">IF(R76&gt;0,0,R75-Q76)</f>
        <v>309596.49888968811</v>
      </c>
      <c r="S77" s="973">
        <f t="shared" ref="S77" si="52">IF(S76&gt;0,0,S75-R76)</f>
        <v>346874.14320968813</v>
      </c>
      <c r="T77" s="973">
        <f t="shared" ref="T77" si="53">IF(T76&gt;0,0,T75-S76)</f>
        <v>346874.14320968813</v>
      </c>
      <c r="U77" s="973">
        <f t="shared" ref="U77:V77" si="54">IF(U76&gt;0,0,U75-T76)</f>
        <v>541109.10048968811</v>
      </c>
      <c r="V77" s="973">
        <f t="shared" si="54"/>
        <v>541109.10048968811</v>
      </c>
      <c r="W77" s="973">
        <f t="shared" ref="W77" si="55">IF(W76&gt;0,0,W75-V76)</f>
        <v>371312.00299635471</v>
      </c>
      <c r="X77" s="973">
        <f t="shared" ref="X77" si="56">IF(X76&gt;0,0,X75-W76)</f>
        <v>291079.97363855655</v>
      </c>
      <c r="Y77" s="973">
        <f t="shared" ref="Y77" si="57">IF(Y76&gt;0,0,Y75-X76)</f>
        <v>250365.90499855657</v>
      </c>
      <c r="Z77" s="973">
        <f t="shared" ref="Z77" si="58">IF(Z76&gt;0,0,Z75-Y76)</f>
        <v>279573.26499855658</v>
      </c>
      <c r="AA77" s="973">
        <f t="shared" ref="AA77" si="59">IF(AA76&gt;0,0,AA75-Z76)</f>
        <v>0</v>
      </c>
      <c r="AB77" s="973">
        <f t="shared" ref="AB77" si="60">IF(AB76&gt;0,0,AB75-AA76)</f>
        <v>0</v>
      </c>
      <c r="AC77" s="973">
        <f t="shared" ref="AC77" si="61">IF(AC76&gt;0,0,AC75-AB76)</f>
        <v>0</v>
      </c>
      <c r="AD77" s="973">
        <f t="shared" ref="AD77" si="62">IF(AD76&gt;0,0,AD75-AC76)</f>
        <v>0</v>
      </c>
      <c r="AE77" s="973">
        <f>IF(AE76&gt;0,0,AE75-AD76)</f>
        <v>0</v>
      </c>
      <c r="AF77" s="973">
        <f t="shared" ref="AF77" si="63">IF(AF76&gt;0,0,AF75-AE76)</f>
        <v>0</v>
      </c>
      <c r="AG77" s="973">
        <f t="shared" ref="AG77" si="64">IF(AG76&gt;0,0,AG75-AF76)</f>
        <v>0</v>
      </c>
      <c r="AH77" s="974">
        <f>SUM(C77:AG77)</f>
        <v>3453083.7596330279</v>
      </c>
    </row>
    <row r="78" spans="1:41">
      <c r="AG78" s="600"/>
    </row>
  </sheetData>
  <phoneticPr fontId="24" type="noConversion"/>
  <conditionalFormatting sqref="C73:AG73">
    <cfRule type="cellIs" dxfId="2" priority="1" operator="greaterThan">
      <formula>0</formula>
    </cfRule>
  </conditionalFormatting>
  <printOptions horizontalCentered="1" verticalCentered="1"/>
  <pageMargins left="1.3779527559055118" right="0.98425196850393704" top="1.5748031496062993" bottom="0.98425196850393704" header="0" footer="0"/>
  <pageSetup paperSize="8" scale="38" orientation="landscape" r:id="rId1"/>
  <headerFooter scaleWithDoc="0"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2:AO50"/>
  <sheetViews>
    <sheetView showGridLines="0" view="pageBreakPreview" zoomScale="60" zoomScaleNormal="70" workbookViewId="0">
      <selection activeCell="AJ40" sqref="AJ40"/>
    </sheetView>
  </sheetViews>
  <sheetFormatPr baseColWidth="10" defaultColWidth="11.42578125" defaultRowHeight="12.75" outlineLevelCol="1"/>
  <cols>
    <col min="1" max="1" width="2.7109375" customWidth="1"/>
    <col min="2" max="2" width="43" customWidth="1"/>
    <col min="3" max="5" width="9.5703125" bestFit="1" customWidth="1" outlineLevel="1"/>
    <col min="6" max="6" width="10.5703125" bestFit="1" customWidth="1"/>
    <col min="7" max="7" width="9.5703125" bestFit="1" customWidth="1"/>
    <col min="8" max="8" width="12.140625" bestFit="1" customWidth="1"/>
    <col min="9" max="9" width="9.5703125" bestFit="1" customWidth="1"/>
    <col min="10" max="10" width="8.42578125" bestFit="1" customWidth="1"/>
    <col min="11" max="11" width="10.5703125" bestFit="1" customWidth="1"/>
    <col min="12" max="13" width="9.5703125" bestFit="1" customWidth="1"/>
    <col min="14" max="26" width="10.5703125" bestFit="1" customWidth="1"/>
    <col min="27" max="27" width="9.5703125" bestFit="1" customWidth="1"/>
    <col min="28" max="28" width="10.5703125" bestFit="1" customWidth="1"/>
    <col min="29" max="29" width="8.42578125" bestFit="1" customWidth="1"/>
    <col min="30" max="30" width="7" bestFit="1" customWidth="1"/>
    <col min="31" max="31" width="6.5703125" bestFit="1" customWidth="1"/>
    <col min="32" max="32" width="7.28515625" bestFit="1" customWidth="1"/>
    <col min="33" max="33" width="6.28515625" bestFit="1" customWidth="1"/>
    <col min="34" max="34" width="13.28515625" bestFit="1" customWidth="1"/>
    <col min="35" max="35" width="15" customWidth="1"/>
    <col min="36" max="36" width="11.85546875" bestFit="1" customWidth="1"/>
  </cols>
  <sheetData>
    <row r="2" spans="1:41" ht="18">
      <c r="A2" s="1"/>
      <c r="B2" s="22" t="s">
        <v>747</v>
      </c>
      <c r="C2" s="356"/>
      <c r="D2" s="50"/>
      <c r="E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1"/>
      <c r="V2" s="51"/>
      <c r="W2" s="10"/>
    </row>
    <row r="3" spans="1:41" ht="16.5" thickBot="1">
      <c r="A3" s="1"/>
      <c r="B3" s="52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1"/>
      <c r="V3" s="51"/>
      <c r="W3" s="10"/>
    </row>
    <row r="4" spans="1:41" ht="13.5" thickBot="1">
      <c r="A4" s="5"/>
      <c r="B4" s="478" t="s">
        <v>455</v>
      </c>
      <c r="C4" s="95">
        <v>41791</v>
      </c>
      <c r="D4" s="95">
        <v>41821</v>
      </c>
      <c r="E4" s="95">
        <v>41852</v>
      </c>
      <c r="F4" s="95">
        <v>41883</v>
      </c>
      <c r="G4" s="95">
        <v>41913</v>
      </c>
      <c r="H4" s="95">
        <v>41944</v>
      </c>
      <c r="I4" s="95">
        <v>41974</v>
      </c>
      <c r="J4" s="95">
        <v>42005</v>
      </c>
      <c r="K4" s="95">
        <v>42036</v>
      </c>
      <c r="L4" s="95">
        <v>42064</v>
      </c>
      <c r="M4" s="95">
        <v>42095</v>
      </c>
      <c r="N4" s="95">
        <v>42125</v>
      </c>
      <c r="O4" s="95">
        <v>42156</v>
      </c>
      <c r="P4" s="95">
        <v>42186</v>
      </c>
      <c r="Q4" s="95">
        <v>42217</v>
      </c>
      <c r="R4" s="95">
        <v>42248</v>
      </c>
      <c r="S4" s="95">
        <v>42278</v>
      </c>
      <c r="T4" s="95">
        <v>42309</v>
      </c>
      <c r="U4" s="95">
        <v>42339</v>
      </c>
      <c r="V4" s="95">
        <v>42370</v>
      </c>
      <c r="W4" s="95">
        <v>42401</v>
      </c>
      <c r="X4" s="95">
        <v>42430</v>
      </c>
      <c r="Y4" s="95">
        <v>42461</v>
      </c>
      <c r="Z4" s="95">
        <v>42491</v>
      </c>
      <c r="AA4" s="95">
        <v>42522</v>
      </c>
      <c r="AB4" s="95">
        <v>42552</v>
      </c>
      <c r="AC4" s="95">
        <v>42583</v>
      </c>
      <c r="AD4" s="95">
        <v>42614</v>
      </c>
      <c r="AE4" s="95">
        <v>42644</v>
      </c>
      <c r="AF4" s="95">
        <v>42675</v>
      </c>
      <c r="AG4" s="95">
        <v>42705</v>
      </c>
      <c r="AH4" s="39"/>
      <c r="AI4" s="39"/>
      <c r="AJ4" s="10"/>
      <c r="AK4" s="10"/>
      <c r="AL4" s="10"/>
      <c r="AM4" s="10"/>
      <c r="AN4" s="10"/>
      <c r="AO4" s="10"/>
    </row>
    <row r="5" spans="1:41">
      <c r="A5" s="5"/>
      <c r="B5" s="91" t="s">
        <v>447</v>
      </c>
      <c r="C5" s="473"/>
      <c r="D5" s="471"/>
      <c r="E5" s="471"/>
      <c r="F5" s="471"/>
      <c r="G5" s="471"/>
      <c r="H5" s="472"/>
      <c r="I5" s="472"/>
      <c r="J5" s="472"/>
      <c r="K5" s="472"/>
      <c r="L5" s="472"/>
      <c r="M5" s="472"/>
      <c r="N5" s="472"/>
      <c r="O5" s="472"/>
      <c r="P5" s="472"/>
      <c r="Q5" s="472"/>
      <c r="R5" s="472"/>
      <c r="S5" s="472"/>
      <c r="T5" s="472"/>
      <c r="U5" s="472"/>
      <c r="V5" s="472"/>
      <c r="W5" s="472"/>
      <c r="X5" s="472"/>
      <c r="Y5" s="472"/>
      <c r="Z5" s="472"/>
      <c r="AA5" s="472"/>
      <c r="AB5" s="472"/>
      <c r="AC5" s="472"/>
      <c r="AD5" s="472"/>
      <c r="AE5" s="472"/>
      <c r="AF5" s="472"/>
      <c r="AG5" s="472"/>
      <c r="AH5" s="39"/>
      <c r="AI5" s="39"/>
      <c r="AJ5" s="10"/>
      <c r="AK5" s="10"/>
      <c r="AL5" s="10"/>
      <c r="AM5" s="10"/>
      <c r="AN5" s="10"/>
      <c r="AO5" s="10"/>
    </row>
    <row r="6" spans="1:41">
      <c r="A6" s="5"/>
      <c r="B6" s="90" t="s">
        <v>435</v>
      </c>
      <c r="C6" s="476"/>
      <c r="D6" s="470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10"/>
      <c r="AK6" s="10"/>
      <c r="AL6" s="10"/>
      <c r="AM6" s="10"/>
      <c r="AN6" s="10"/>
      <c r="AO6" s="10"/>
    </row>
    <row r="7" spans="1:41">
      <c r="A7" s="5"/>
      <c r="B7" s="90" t="s">
        <v>454</v>
      </c>
      <c r="C7" s="474"/>
      <c r="D7" s="39"/>
      <c r="E7" s="470"/>
      <c r="F7" s="470"/>
      <c r="G7" s="470"/>
      <c r="H7" s="470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10"/>
      <c r="AK7" s="10"/>
      <c r="AL7" s="10"/>
      <c r="AM7" s="10"/>
      <c r="AN7" s="10"/>
      <c r="AO7" s="10"/>
    </row>
    <row r="8" spans="1:41">
      <c r="A8" s="5"/>
      <c r="B8" s="90" t="s">
        <v>448</v>
      </c>
      <c r="C8" s="474"/>
      <c r="D8" s="39"/>
      <c r="E8" s="39"/>
      <c r="F8" s="470"/>
      <c r="G8" s="470"/>
      <c r="H8" s="470"/>
      <c r="I8" s="470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10"/>
      <c r="AK8" s="10"/>
      <c r="AL8" s="10"/>
      <c r="AM8" s="10"/>
      <c r="AN8" s="10"/>
      <c r="AO8" s="10"/>
    </row>
    <row r="9" spans="1:41">
      <c r="A9" s="5"/>
      <c r="B9" s="90" t="s">
        <v>449</v>
      </c>
      <c r="C9" s="474"/>
      <c r="D9" s="39"/>
      <c r="E9" s="39"/>
      <c r="F9" s="470"/>
      <c r="I9" s="39"/>
      <c r="J9" s="39"/>
      <c r="K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10"/>
      <c r="AK9" s="10"/>
      <c r="AL9" s="10"/>
      <c r="AM9" s="10"/>
      <c r="AN9" s="10"/>
      <c r="AO9" s="10"/>
    </row>
    <row r="10" spans="1:41">
      <c r="A10" s="5"/>
      <c r="B10" s="90" t="s">
        <v>409</v>
      </c>
      <c r="C10" s="474"/>
      <c r="D10" s="39"/>
      <c r="E10" s="39"/>
      <c r="F10" s="39"/>
      <c r="G10" s="470"/>
      <c r="H10" s="470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10"/>
      <c r="AK10" s="10"/>
      <c r="AL10" s="10"/>
      <c r="AM10" s="10"/>
      <c r="AN10" s="10"/>
      <c r="AO10" s="10"/>
    </row>
    <row r="11" spans="1:41">
      <c r="A11" s="5"/>
      <c r="B11" s="90" t="s">
        <v>450</v>
      </c>
      <c r="C11" s="474"/>
      <c r="D11" s="39"/>
      <c r="E11" s="39"/>
      <c r="F11" s="39"/>
      <c r="H11" s="39"/>
      <c r="J11" s="470"/>
      <c r="K11" s="470"/>
      <c r="L11" s="470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10"/>
      <c r="AK11" s="10"/>
      <c r="AL11" s="10"/>
      <c r="AM11" s="10"/>
      <c r="AN11" s="10"/>
      <c r="AO11" s="10"/>
    </row>
    <row r="12" spans="1:41">
      <c r="A12" s="5"/>
      <c r="B12" s="90" t="s">
        <v>96</v>
      </c>
      <c r="C12" s="474"/>
      <c r="D12" s="39"/>
      <c r="E12" s="39"/>
      <c r="F12" s="39"/>
      <c r="G12" s="39"/>
      <c r="H12" s="39"/>
      <c r="I12" s="39"/>
      <c r="J12" s="39"/>
      <c r="K12" s="39"/>
      <c r="L12" s="39"/>
      <c r="M12" s="470">
        <v>1</v>
      </c>
      <c r="N12" s="470">
        <v>2</v>
      </c>
      <c r="O12" s="470">
        <v>3</v>
      </c>
      <c r="P12" s="470">
        <v>4</v>
      </c>
      <c r="Q12" s="470">
        <v>5</v>
      </c>
      <c r="R12" s="470">
        <v>6</v>
      </c>
      <c r="S12" s="470">
        <v>7</v>
      </c>
      <c r="T12" s="470">
        <v>8</v>
      </c>
      <c r="U12" s="470">
        <v>9</v>
      </c>
      <c r="V12" s="470">
        <v>10</v>
      </c>
      <c r="W12" s="470">
        <v>11</v>
      </c>
      <c r="X12" s="470">
        <v>12</v>
      </c>
      <c r="Y12" s="470">
        <v>13</v>
      </c>
      <c r="Z12" s="470">
        <v>14</v>
      </c>
      <c r="AA12" s="39"/>
      <c r="AB12" s="39"/>
      <c r="AC12" s="39"/>
      <c r="AD12" s="39"/>
      <c r="AE12" s="39"/>
      <c r="AF12" s="39"/>
      <c r="AG12" s="39"/>
      <c r="AH12" s="39"/>
      <c r="AI12" s="39"/>
      <c r="AJ12" s="10"/>
      <c r="AK12" s="10"/>
      <c r="AL12" s="10"/>
      <c r="AM12" s="10"/>
      <c r="AN12" s="10"/>
      <c r="AO12" s="10"/>
    </row>
    <row r="13" spans="1:41">
      <c r="A13" s="5"/>
      <c r="B13" s="90" t="s">
        <v>451</v>
      </c>
      <c r="C13" s="474"/>
      <c r="D13" s="39"/>
      <c r="E13" s="470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10"/>
      <c r="AK13" s="10"/>
      <c r="AL13" s="10"/>
      <c r="AM13" s="10"/>
      <c r="AN13" s="10"/>
      <c r="AO13" s="10"/>
    </row>
    <row r="14" spans="1:41">
      <c r="A14" s="5"/>
      <c r="B14" s="90" t="s">
        <v>6</v>
      </c>
      <c r="C14" s="474"/>
      <c r="D14" s="39"/>
      <c r="E14" s="470"/>
      <c r="F14" s="470"/>
      <c r="G14" s="470"/>
      <c r="H14" s="470"/>
      <c r="I14" s="470"/>
      <c r="J14" s="470"/>
      <c r="K14" s="470"/>
      <c r="L14" s="470"/>
      <c r="M14" s="470"/>
      <c r="N14" s="470"/>
      <c r="O14" s="470"/>
      <c r="P14" s="470"/>
      <c r="Q14" s="470"/>
      <c r="R14" s="470"/>
      <c r="S14" s="470"/>
      <c r="T14" s="470"/>
      <c r="U14" s="470"/>
      <c r="V14" s="470"/>
      <c r="W14" s="470"/>
      <c r="X14" s="470"/>
      <c r="Y14" s="470"/>
      <c r="Z14" s="470"/>
      <c r="AA14" s="470"/>
      <c r="AB14" s="39"/>
      <c r="AC14" s="39"/>
      <c r="AD14" s="39"/>
      <c r="AE14" s="39"/>
      <c r="AF14" s="39"/>
      <c r="AG14" s="39"/>
      <c r="AH14" s="39"/>
      <c r="AI14" s="39"/>
      <c r="AJ14" s="10"/>
      <c r="AK14" s="10"/>
      <c r="AL14" s="10"/>
      <c r="AM14" s="10"/>
      <c r="AN14" s="10"/>
      <c r="AO14" s="10"/>
    </row>
    <row r="15" spans="1:41">
      <c r="A15" s="5"/>
      <c r="B15" s="90" t="s">
        <v>551</v>
      </c>
      <c r="C15" s="474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AA15" s="470"/>
      <c r="AB15" s="470"/>
      <c r="AC15" s="39"/>
      <c r="AD15" s="39"/>
      <c r="AH15" s="39"/>
      <c r="AI15" s="39"/>
      <c r="AJ15" s="10"/>
      <c r="AK15" s="10"/>
      <c r="AL15" s="10"/>
      <c r="AM15" s="10"/>
      <c r="AN15" s="10"/>
      <c r="AO15" s="10"/>
    </row>
    <row r="16" spans="1:41" ht="13.5" thickBot="1">
      <c r="A16" s="5"/>
      <c r="B16" s="468" t="s">
        <v>443</v>
      </c>
      <c r="C16" s="967"/>
      <c r="D16" s="647"/>
      <c r="E16" s="647"/>
      <c r="F16" s="647"/>
      <c r="G16" s="647"/>
      <c r="H16" s="647"/>
      <c r="I16" s="647"/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7"/>
      <c r="U16" s="647"/>
      <c r="V16" s="647"/>
      <c r="W16" s="647"/>
      <c r="X16" s="647"/>
      <c r="AA16" s="470"/>
      <c r="AB16" s="470"/>
      <c r="AC16" s="470"/>
      <c r="AD16" s="470"/>
      <c r="AH16" s="39"/>
      <c r="AI16" s="39"/>
      <c r="AJ16" s="10"/>
      <c r="AK16" s="10"/>
      <c r="AL16" s="10"/>
      <c r="AM16" s="10"/>
      <c r="AN16" s="10"/>
      <c r="AO16" s="10"/>
    </row>
    <row r="17" spans="1:41">
      <c r="A17" s="5"/>
      <c r="B17" s="91" t="s">
        <v>452</v>
      </c>
      <c r="C17" s="475"/>
      <c r="D17" s="472"/>
      <c r="E17" s="472"/>
      <c r="F17" s="604"/>
      <c r="G17" s="477"/>
      <c r="H17" s="477"/>
      <c r="I17" s="477"/>
      <c r="J17" s="477"/>
      <c r="K17" s="477"/>
      <c r="L17" s="477"/>
      <c r="M17" s="477"/>
      <c r="N17" s="477"/>
      <c r="O17" s="472"/>
      <c r="P17" s="472"/>
      <c r="Q17" s="472"/>
      <c r="R17" s="472"/>
      <c r="S17" s="472"/>
      <c r="T17" s="472"/>
      <c r="U17" s="472"/>
      <c r="V17" s="472"/>
      <c r="W17" s="472"/>
      <c r="X17" s="472"/>
      <c r="Y17" s="472"/>
      <c r="Z17" s="472"/>
      <c r="AA17" s="472"/>
      <c r="AB17" s="472"/>
      <c r="AC17" s="472"/>
      <c r="AD17" s="472"/>
      <c r="AE17" s="472"/>
      <c r="AF17" s="472"/>
      <c r="AG17" s="472"/>
      <c r="AH17" s="39"/>
      <c r="AI17" s="39"/>
      <c r="AJ17" s="10"/>
      <c r="AK17" s="10"/>
      <c r="AL17" s="10"/>
      <c r="AM17" s="10"/>
      <c r="AN17" s="10"/>
      <c r="AO17" s="10"/>
    </row>
    <row r="18" spans="1:41" ht="13.5" thickBot="1">
      <c r="A18" s="5"/>
      <c r="B18" s="468" t="s">
        <v>453</v>
      </c>
      <c r="C18" s="646"/>
      <c r="D18" s="647"/>
      <c r="E18" s="647"/>
      <c r="F18" s="647"/>
      <c r="G18" s="647"/>
      <c r="H18" s="647"/>
      <c r="I18" s="647"/>
      <c r="J18" s="647"/>
      <c r="K18" s="647"/>
      <c r="L18" s="647"/>
      <c r="M18" s="647"/>
      <c r="N18" s="647"/>
      <c r="O18" s="648"/>
      <c r="P18" s="648"/>
      <c r="Q18" s="648"/>
      <c r="R18" s="648"/>
      <c r="S18" s="648"/>
      <c r="T18" s="648"/>
      <c r="U18" s="648"/>
      <c r="V18" s="648"/>
      <c r="W18" s="648"/>
      <c r="X18" s="648"/>
      <c r="Y18" s="648"/>
      <c r="Z18" s="648"/>
      <c r="AA18" s="648"/>
      <c r="AB18" s="648"/>
      <c r="AC18" s="647"/>
      <c r="AD18" s="647"/>
      <c r="AE18" s="647"/>
      <c r="AF18" s="647"/>
      <c r="AG18" s="647"/>
      <c r="AH18" s="39"/>
      <c r="AI18" s="39"/>
      <c r="AJ18" s="10"/>
      <c r="AK18" s="10"/>
      <c r="AL18" s="10"/>
      <c r="AM18" s="10"/>
      <c r="AN18" s="10"/>
      <c r="AO18" s="10"/>
    </row>
    <row r="19" spans="1:41">
      <c r="A19" s="5"/>
      <c r="B19" s="479"/>
      <c r="C19" s="41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10"/>
      <c r="AK19" s="10"/>
      <c r="AL19" s="10"/>
      <c r="AM19" s="10"/>
      <c r="AN19" s="10"/>
      <c r="AO19" s="10"/>
    </row>
    <row r="20" spans="1:41">
      <c r="A20" s="1"/>
      <c r="B20" s="995" t="s">
        <v>36</v>
      </c>
      <c r="C20" s="50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1"/>
      <c r="V20" s="51"/>
      <c r="W20" s="10"/>
      <c r="AB20" s="671"/>
      <c r="AC20" s="671"/>
      <c r="AD20" s="671"/>
      <c r="AE20" s="671"/>
      <c r="AF20" s="671"/>
    </row>
    <row r="21" spans="1:41" ht="13.5" thickBot="1">
      <c r="A21" s="9"/>
      <c r="B21" s="53" t="s">
        <v>59</v>
      </c>
      <c r="C21" s="54"/>
      <c r="D21" s="54"/>
      <c r="E21" s="54"/>
      <c r="F21" s="54"/>
      <c r="G21" s="54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55"/>
      <c r="V21" s="54"/>
      <c r="W21" s="10"/>
    </row>
    <row r="22" spans="1:41" ht="13.5" thickBot="1">
      <c r="A22" s="1"/>
      <c r="B22" s="92"/>
      <c r="C22" s="95">
        <v>41791</v>
      </c>
      <c r="D22" s="95">
        <v>41821</v>
      </c>
      <c r="E22" s="95">
        <v>41852</v>
      </c>
      <c r="F22" s="95">
        <v>41883</v>
      </c>
      <c r="G22" s="95">
        <v>41913</v>
      </c>
      <c r="H22" s="95">
        <v>41944</v>
      </c>
      <c r="I22" s="95">
        <v>41974</v>
      </c>
      <c r="J22" s="95">
        <v>42005</v>
      </c>
      <c r="K22" s="95">
        <v>42036</v>
      </c>
      <c r="L22" s="95">
        <v>42064</v>
      </c>
      <c r="M22" s="95">
        <v>42095</v>
      </c>
      <c r="N22" s="95">
        <v>42125</v>
      </c>
      <c r="O22" s="95">
        <v>42156</v>
      </c>
      <c r="P22" s="95">
        <v>42186</v>
      </c>
      <c r="Q22" s="95">
        <v>42217</v>
      </c>
      <c r="R22" s="95">
        <v>42248</v>
      </c>
      <c r="S22" s="95">
        <v>42278</v>
      </c>
      <c r="T22" s="95">
        <v>42309</v>
      </c>
      <c r="U22" s="95">
        <v>42339</v>
      </c>
      <c r="V22" s="95">
        <v>42370</v>
      </c>
      <c r="W22" s="95">
        <v>42401</v>
      </c>
      <c r="X22" s="95">
        <v>42430</v>
      </c>
      <c r="Y22" s="95">
        <v>42461</v>
      </c>
      <c r="Z22" s="95">
        <v>42491</v>
      </c>
      <c r="AA22" s="95">
        <v>42522</v>
      </c>
      <c r="AB22" s="95">
        <v>42552</v>
      </c>
      <c r="AC22" s="95">
        <v>42583</v>
      </c>
      <c r="AD22" s="95">
        <v>42614</v>
      </c>
      <c r="AE22" s="95">
        <v>42644</v>
      </c>
      <c r="AF22" s="95">
        <v>42675</v>
      </c>
      <c r="AG22" s="95">
        <v>42705</v>
      </c>
      <c r="AH22" s="590" t="s">
        <v>7</v>
      </c>
    </row>
    <row r="23" spans="1:41" ht="13.5" thickBot="1">
      <c r="A23" s="3"/>
      <c r="B23" s="91" t="s">
        <v>8</v>
      </c>
      <c r="C23" s="656">
        <f>'EGRESOS DETALLADO'!J7+'EGRESOS DETALLADO'!J8</f>
        <v>20000</v>
      </c>
      <c r="D23" s="657">
        <f>'EGRESOS DETALLADO'!K7+'EGRESOS DETALLADO'!K8</f>
        <v>0</v>
      </c>
      <c r="E23" s="657">
        <f>'EGRESOS DETALLADO'!L7+'EGRESOS DETALLADO'!L8</f>
        <v>0</v>
      </c>
      <c r="F23" s="657">
        <f>'EGRESOS DETALLADO'!M7+'EGRESOS DETALLADO'!M8</f>
        <v>184259.95</v>
      </c>
      <c r="G23" s="657">
        <f>'EGRESOS DETALLADO'!N7+'EGRESOS DETALLADO'!N8</f>
        <v>0</v>
      </c>
      <c r="H23" s="657">
        <f>'EGRESOS DETALLADO'!O7+'EGRESOS DETALLADO'!O8</f>
        <v>1230058.9310289389</v>
      </c>
      <c r="I23" s="657">
        <f>'EGRESOS DETALLADO'!P7+'EGRESOS DETALLADO'!P8</f>
        <v>0</v>
      </c>
      <c r="J23" s="657">
        <f>'EGRESOS DETALLADO'!Q7+'EGRESOS DETALLADO'!Q8</f>
        <v>0</v>
      </c>
      <c r="K23" s="657">
        <f>'EGRESOS DETALLADO'!R7+'EGRESOS DETALLADO'!R8</f>
        <v>150000</v>
      </c>
      <c r="L23" s="657">
        <f>'EGRESOS DETALLADO'!S7+'EGRESOS DETALLADO'!S8</f>
        <v>0</v>
      </c>
      <c r="M23" s="657">
        <f>'EGRESOS DETALLADO'!T7+'EGRESOS DETALLADO'!T8</f>
        <v>0</v>
      </c>
      <c r="N23" s="657">
        <f>'EGRESOS DETALLADO'!U7+'EGRESOS DETALLADO'!U8</f>
        <v>0</v>
      </c>
      <c r="O23" s="657">
        <f>'EGRESOS DETALLADO'!V7+'EGRESOS DETALLADO'!V8</f>
        <v>0</v>
      </c>
      <c r="P23" s="657">
        <f>'EGRESOS DETALLADO'!W7+'EGRESOS DETALLADO'!W8</f>
        <v>0</v>
      </c>
      <c r="Q23" s="657">
        <f>'EGRESOS DETALLADO'!X7+'EGRESOS DETALLADO'!X8</f>
        <v>0</v>
      </c>
      <c r="R23" s="657">
        <f>'EGRESOS DETALLADO'!Y7+'EGRESOS DETALLADO'!Y8</f>
        <v>0</v>
      </c>
      <c r="S23" s="657">
        <f>'EGRESOS DETALLADO'!Z7+'EGRESOS DETALLADO'!Z8</f>
        <v>0</v>
      </c>
      <c r="T23" s="657">
        <f>'EGRESOS DETALLADO'!AA7+'EGRESOS DETALLADO'!AA8</f>
        <v>0</v>
      </c>
      <c r="U23" s="657">
        <f>'EGRESOS DETALLADO'!AB7+'EGRESOS DETALLADO'!AB8</f>
        <v>0</v>
      </c>
      <c r="V23" s="657">
        <f>'EGRESOS DETALLADO'!AC7+'EGRESOS DETALLADO'!AC8</f>
        <v>0</v>
      </c>
      <c r="W23" s="657">
        <f>'EGRESOS DETALLADO'!AD7+'EGRESOS DETALLADO'!AD8</f>
        <v>0</v>
      </c>
      <c r="X23" s="657">
        <f>'EGRESOS DETALLADO'!AE7+'EGRESOS DETALLADO'!AE8</f>
        <v>0</v>
      </c>
      <c r="Y23" s="657">
        <f>'EGRESOS DETALLADO'!AF7+'EGRESOS DETALLADO'!AF8</f>
        <v>0</v>
      </c>
      <c r="Z23" s="657">
        <f>'EGRESOS DETALLADO'!AG7+'EGRESOS DETALLADO'!AG8</f>
        <v>0</v>
      </c>
      <c r="AA23" s="657">
        <f>'EGRESOS DETALLADO'!AH7+'EGRESOS DETALLADO'!AH8</f>
        <v>0</v>
      </c>
      <c r="AB23" s="657">
        <f>'EGRESOS DETALLADO'!AI7+'EGRESOS DETALLADO'!AI8</f>
        <v>520680</v>
      </c>
      <c r="AC23" s="657">
        <f>'EGRESOS DETALLADO'!AJ7+'EGRESOS DETALLADO'!AJ8</f>
        <v>0</v>
      </c>
      <c r="AD23" s="657">
        <f>'EGRESOS DETALLADO'!AK7+'EGRESOS DETALLADO'!AK8</f>
        <v>0</v>
      </c>
      <c r="AE23" s="657">
        <f>'EGRESOS DETALLADO'!AL7+'EGRESOS DETALLADO'!AL8</f>
        <v>0</v>
      </c>
      <c r="AF23" s="657">
        <f>'EGRESOS DETALLADO'!AM7+'EGRESOS DETALLADO'!AM8</f>
        <v>0</v>
      </c>
      <c r="AG23" s="657">
        <f>'EGRESOS DETALLADO'!AN7+'EGRESOS DETALLADO'!AN8</f>
        <v>0</v>
      </c>
      <c r="AH23" s="914">
        <f>SUM(C23:AG23)</f>
        <v>2104998.881028939</v>
      </c>
      <c r="AI23" s="591">
        <f>'EGRESOS DETALLADO'!F7+'EGRESOS DETALLADO'!F8-AH23</f>
        <v>0</v>
      </c>
      <c r="AJ23" s="479"/>
    </row>
    <row r="24" spans="1:41">
      <c r="A24" s="3"/>
      <c r="B24" s="683" t="s">
        <v>566</v>
      </c>
      <c r="C24" s="915"/>
      <c r="D24" s="916"/>
      <c r="E24" s="916"/>
      <c r="F24" s="916"/>
      <c r="G24" s="916"/>
      <c r="H24" s="916"/>
      <c r="I24" s="916"/>
      <c r="J24" s="916"/>
      <c r="K24" s="916"/>
      <c r="L24" s="916"/>
      <c r="M24" s="916"/>
      <c r="N24" s="916"/>
      <c r="O24" s="916"/>
      <c r="P24" s="916"/>
      <c r="Q24" s="916"/>
      <c r="R24" s="916"/>
      <c r="S24" s="916"/>
      <c r="T24" s="916"/>
      <c r="U24" s="916"/>
      <c r="V24" s="916"/>
      <c r="W24" s="916"/>
      <c r="X24" s="916"/>
      <c r="Y24" s="916"/>
      <c r="Z24" s="916"/>
      <c r="AA24" s="916"/>
      <c r="AB24" s="916"/>
      <c r="AC24" s="916"/>
      <c r="AD24" s="916"/>
      <c r="AE24" s="916"/>
      <c r="AF24" s="916"/>
      <c r="AG24" s="916"/>
      <c r="AH24" s="917"/>
      <c r="AI24" s="591"/>
      <c r="AJ24" s="479"/>
    </row>
    <row r="25" spans="1:41">
      <c r="A25" s="3"/>
      <c r="B25" s="90" t="s">
        <v>555</v>
      </c>
      <c r="C25" s="656"/>
      <c r="D25" s="657"/>
      <c r="E25" s="657"/>
      <c r="F25" s="657"/>
      <c r="G25" s="657">
        <f>'CRONOG VALORIZADO DE OBRA'!G9+'CRONOG VALORIZADO DE OBRA'!G10+'CRONOG VALORIZADO DE OBRA'!G11</f>
        <v>1500</v>
      </c>
      <c r="H25" s="657">
        <f>'CRONOG VALORIZADO DE OBRA'!H9+'CRONOG VALORIZADO DE OBRA'!H10+'CRONOG VALORIZADO DE OBRA'!H11</f>
        <v>1500</v>
      </c>
      <c r="I25" s="657">
        <f>'CRONOG VALORIZADO DE OBRA'!I9+'CRONOG VALORIZADO DE OBRA'!I10+'CRONOG VALORIZADO DE OBRA'!I11</f>
        <v>0</v>
      </c>
      <c r="J25" s="657">
        <f>'CRONOG VALORIZADO DE OBRA'!J9+'CRONOG VALORIZADO DE OBRA'!J10+'CRONOG VALORIZADO DE OBRA'!J11</f>
        <v>0</v>
      </c>
      <c r="K25" s="657">
        <f>'CRONOG VALORIZADO DE OBRA'!K9+'CRONOG VALORIZADO DE OBRA'!K10+'CRONOG VALORIZADO DE OBRA'!K11</f>
        <v>0</v>
      </c>
      <c r="L25" s="657">
        <f>'CRONOG VALORIZADO DE OBRA'!L9+'CRONOG VALORIZADO DE OBRA'!L10+'CRONOG VALORIZADO DE OBRA'!L11</f>
        <v>0</v>
      </c>
      <c r="M25" s="657">
        <f>'CRONOG VALORIZADO DE OBRA'!M9+'CRONOG VALORIZADO DE OBRA'!M10+'CRONOG VALORIZADO DE OBRA'!M11</f>
        <v>35793.053333333337</v>
      </c>
      <c r="N25" s="657">
        <f>'CRONOG VALORIZADO DE OBRA'!N9+'CRONOG VALORIZADO DE OBRA'!N10+'CRONOG VALORIZADO DE OBRA'!N11</f>
        <v>35793.053333333337</v>
      </c>
      <c r="O25" s="657">
        <f>'CRONOG VALORIZADO DE OBRA'!O9+'CRONOG VALORIZADO DE OBRA'!O10+'CRONOG VALORIZADO DE OBRA'!O11</f>
        <v>35793.053333333337</v>
      </c>
      <c r="P25" s="657">
        <f>'CRONOG VALORIZADO DE OBRA'!P9+'CRONOG VALORIZADO DE OBRA'!P10+'CRONOG VALORIZADO DE OBRA'!P11</f>
        <v>0</v>
      </c>
      <c r="Q25" s="657">
        <f>'CRONOG VALORIZADO DE OBRA'!Q9+'CRONOG VALORIZADO DE OBRA'!Q10+'CRONOG VALORIZADO DE OBRA'!Q11</f>
        <v>0</v>
      </c>
      <c r="R25" s="657">
        <f>'CRONOG VALORIZADO DE OBRA'!R9+'CRONOG VALORIZADO DE OBRA'!R10+'CRONOG VALORIZADO DE OBRA'!R11</f>
        <v>0</v>
      </c>
      <c r="S25" s="657">
        <f>'CRONOG VALORIZADO DE OBRA'!S9+'CRONOG VALORIZADO DE OBRA'!S10+'CRONOG VALORIZADO DE OBRA'!S11</f>
        <v>0</v>
      </c>
      <c r="T25" s="657">
        <f>'CRONOG VALORIZADO DE OBRA'!T9+'CRONOG VALORIZADO DE OBRA'!T10+'CRONOG VALORIZADO DE OBRA'!T11</f>
        <v>0</v>
      </c>
      <c r="U25" s="657">
        <f>'CRONOG VALORIZADO DE OBRA'!U9+'CRONOG VALORIZADO DE OBRA'!U10+'CRONOG VALORIZADO DE OBRA'!U11</f>
        <v>0</v>
      </c>
      <c r="V25" s="657">
        <f>'CRONOG VALORIZADO DE OBRA'!V9+'CRONOG VALORIZADO DE OBRA'!V10+'CRONOG VALORIZADO DE OBRA'!V11</f>
        <v>0</v>
      </c>
      <c r="W25" s="657">
        <f>'CRONOG VALORIZADO DE OBRA'!W9+'CRONOG VALORIZADO DE OBRA'!W10+'CRONOG VALORIZADO DE OBRA'!W11</f>
        <v>0</v>
      </c>
      <c r="X25" s="657">
        <f>'CRONOG VALORIZADO DE OBRA'!X9+'CRONOG VALORIZADO DE OBRA'!X10+'CRONOG VALORIZADO DE OBRA'!X11</f>
        <v>0</v>
      </c>
      <c r="Y25" s="657">
        <f>'CRONOG VALORIZADO DE OBRA'!Y9+'CRONOG VALORIZADO DE OBRA'!Y10+'CRONOG VALORIZADO DE OBRA'!Y11</f>
        <v>0</v>
      </c>
      <c r="Z25" s="657">
        <f>'CRONOG VALORIZADO DE OBRA'!Z9+'CRONOG VALORIZADO DE OBRA'!Z10+'CRONOG VALORIZADO DE OBRA'!Z11</f>
        <v>0</v>
      </c>
      <c r="AA25" s="657">
        <f>'CRONOG VALORIZADO DE OBRA'!AA9+'CRONOG VALORIZADO DE OBRA'!AA10+'CRONOG VALORIZADO DE OBRA'!AA11</f>
        <v>0</v>
      </c>
      <c r="AH25" s="914">
        <f t="shared" ref="AH25:AH34" si="0">SUM(C25:AG25)</f>
        <v>110379.16</v>
      </c>
      <c r="AI25" s="591">
        <f>'ESTRUCTURA FIN'!H14-'Flujo Egresos'!AH25</f>
        <v>0</v>
      </c>
      <c r="AJ25" s="479"/>
    </row>
    <row r="26" spans="1:41" s="655" customFormat="1">
      <c r="A26" s="654"/>
      <c r="B26" s="90" t="s">
        <v>97</v>
      </c>
      <c r="C26" s="656"/>
      <c r="D26" s="657"/>
      <c r="E26" s="657"/>
      <c r="F26" s="657"/>
      <c r="G26" s="657">
        <f>'CRONOG VALORIZADO DE OBRA'!G12+'CRONOG VALORIZADO DE OBRA'!G17</f>
        <v>0</v>
      </c>
      <c r="H26" s="657">
        <f>'CRONOG VALORIZADO DE OBRA'!H12+'CRONOG VALORIZADO DE OBRA'!H17</f>
        <v>0</v>
      </c>
      <c r="I26" s="657">
        <f>'CRONOG VALORIZADO DE OBRA'!I12+'CRONOG VALORIZADO DE OBRA'!I17</f>
        <v>0</v>
      </c>
      <c r="J26" s="657">
        <f>'CRONOG VALORIZADO DE OBRA'!J12+'CRONOG VALORIZADO DE OBRA'!J17</f>
        <v>0</v>
      </c>
      <c r="K26" s="657">
        <f>'CRONOG VALORIZADO DE OBRA'!K12+'CRONOG VALORIZADO DE OBRA'!K17</f>
        <v>0</v>
      </c>
      <c r="L26" s="657">
        <f>'CRONOG VALORIZADO DE OBRA'!L12+'CRONOG VALORIZADO DE OBRA'!L17</f>
        <v>0</v>
      </c>
      <c r="M26" s="657">
        <f>'CRONOG VALORIZADO DE OBRA'!M12+'CRONOG VALORIZADO DE OBRA'!M17</f>
        <v>0</v>
      </c>
      <c r="N26" s="657">
        <f>'CRONOG VALORIZADO DE OBRA'!N12+'CRONOG VALORIZADO DE OBRA'!N17</f>
        <v>106557.70000000001</v>
      </c>
      <c r="O26" s="657">
        <f>'CRONOG VALORIZADO DE OBRA'!O12+'CRONOG VALORIZADO DE OBRA'!O17</f>
        <v>106557.70000000001</v>
      </c>
      <c r="P26" s="657">
        <f>'CRONOG VALORIZADO DE OBRA'!P12+'CRONOG VALORIZADO DE OBRA'!P17</f>
        <v>106557.70000000001</v>
      </c>
      <c r="Q26" s="657">
        <f>'CRONOG VALORIZADO DE OBRA'!Q12+'CRONOG VALORIZADO DE OBRA'!Q17</f>
        <v>210382.93333333335</v>
      </c>
      <c r="R26" s="657">
        <f>'CRONOG VALORIZADO DE OBRA'!R12+'CRONOG VALORIZADO DE OBRA'!R17</f>
        <v>210382.93333333335</v>
      </c>
      <c r="S26" s="657">
        <f>'CRONOG VALORIZADO DE OBRA'!S12+'CRONOG VALORIZADO DE OBRA'!S17</f>
        <v>210382.93333333335</v>
      </c>
      <c r="T26" s="657">
        <f>'CRONOG VALORIZADO DE OBRA'!T12+'CRONOG VALORIZADO DE OBRA'!T17</f>
        <v>210382.93333333335</v>
      </c>
      <c r="U26" s="657">
        <f>'CRONOG VALORIZADO DE OBRA'!U12+'CRONOG VALORIZADO DE OBRA'!U17</f>
        <v>210382.93333333335</v>
      </c>
      <c r="V26" s="657">
        <f>'CRONOG VALORIZADO DE OBRA'!V12+'CRONOG VALORIZADO DE OBRA'!V17</f>
        <v>210382.93333333335</v>
      </c>
      <c r="W26" s="657">
        <f>'CRONOG VALORIZADO DE OBRA'!W12+'CRONOG VALORIZADO DE OBRA'!W17</f>
        <v>0</v>
      </c>
      <c r="X26" s="657">
        <f>'CRONOG VALORIZADO DE OBRA'!X12+'CRONOG VALORIZADO DE OBRA'!X17</f>
        <v>0</v>
      </c>
      <c r="Y26" s="657">
        <f>'CRONOG VALORIZADO DE OBRA'!Y12+'CRONOG VALORIZADO DE OBRA'!Y17</f>
        <v>0</v>
      </c>
      <c r="Z26" s="657">
        <f>'CRONOG VALORIZADO DE OBRA'!Z12+'CRONOG VALORIZADO DE OBRA'!Z17</f>
        <v>0</v>
      </c>
      <c r="AA26" s="657">
        <f>'CRONOG VALORIZADO DE OBRA'!AA12+'CRONOG VALORIZADO DE OBRA'!AA17</f>
        <v>0</v>
      </c>
      <c r="AH26" s="914">
        <f t="shared" si="0"/>
        <v>1581970.7000000002</v>
      </c>
      <c r="AI26" s="591">
        <f>'ESTRUCTURA FIN'!H15-'Flujo Egresos'!AH26</f>
        <v>0</v>
      </c>
      <c r="AJ26" s="479"/>
      <c r="AK26" s="516"/>
    </row>
    <row r="27" spans="1:41" s="655" customFormat="1">
      <c r="A27" s="654"/>
      <c r="B27" s="90" t="s">
        <v>469</v>
      </c>
      <c r="C27" s="656"/>
      <c r="D27" s="657"/>
      <c r="E27" s="657"/>
      <c r="F27" s="657"/>
      <c r="G27" s="657">
        <f>'CRONOG VALORIZADO DE OBRA'!G13+'CRONOG VALORIZADO DE OBRA'!G18+'CRONOG VALORIZADO DE OBRA'!G19</f>
        <v>0</v>
      </c>
      <c r="H27" s="657">
        <f>'CRONOG VALORIZADO DE OBRA'!H13+'CRONOG VALORIZADO DE OBRA'!H18+'CRONOG VALORIZADO DE OBRA'!H19</f>
        <v>0</v>
      </c>
      <c r="I27" s="657">
        <f>'CRONOG VALORIZADO DE OBRA'!I13+'CRONOG VALORIZADO DE OBRA'!I18+'CRONOG VALORIZADO DE OBRA'!I19</f>
        <v>0</v>
      </c>
      <c r="J27" s="657">
        <f>'CRONOG VALORIZADO DE OBRA'!J13+'CRONOG VALORIZADO DE OBRA'!J18+'CRONOG VALORIZADO DE OBRA'!J19</f>
        <v>0</v>
      </c>
      <c r="K27" s="657">
        <f>'CRONOG VALORIZADO DE OBRA'!K13+'CRONOG VALORIZADO DE OBRA'!K18+'CRONOG VALORIZADO DE OBRA'!K19</f>
        <v>0</v>
      </c>
      <c r="L27" s="657">
        <f>'CRONOG VALORIZADO DE OBRA'!L13+'CRONOG VALORIZADO DE OBRA'!L18+'CRONOG VALORIZADO DE OBRA'!L19</f>
        <v>0</v>
      </c>
      <c r="M27" s="657">
        <f>'CRONOG VALORIZADO DE OBRA'!M13+'CRONOG VALORIZADO DE OBRA'!M18+'CRONOG VALORIZADO DE OBRA'!M19</f>
        <v>0</v>
      </c>
      <c r="N27" s="657">
        <f>'CRONOG VALORIZADO DE OBRA'!N13+'CRONOG VALORIZADO DE OBRA'!N18+'CRONOG VALORIZADO DE OBRA'!N19</f>
        <v>0</v>
      </c>
      <c r="O27" s="657">
        <f>'CRONOG VALORIZADO DE OBRA'!O13+'CRONOG VALORIZADO DE OBRA'!O18+'CRONOG VALORIZADO DE OBRA'!O19</f>
        <v>0</v>
      </c>
      <c r="P27" s="657">
        <f>'CRONOG VALORIZADO DE OBRA'!P13+'CRONOG VALORIZADO DE OBRA'!P18+'CRONOG VALORIZADO DE OBRA'!P19</f>
        <v>0</v>
      </c>
      <c r="Q27" s="657">
        <f>'CRONOG VALORIZADO DE OBRA'!Q13+'CRONOG VALORIZADO DE OBRA'!Q18+'CRONOG VALORIZADO DE OBRA'!Q19</f>
        <v>0</v>
      </c>
      <c r="R27" s="657">
        <f>'CRONOG VALORIZADO DE OBRA'!R13+'CRONOG VALORIZADO DE OBRA'!R18+'CRONOG VALORIZADO DE OBRA'!R19</f>
        <v>0</v>
      </c>
      <c r="S27" s="657">
        <f>'CRONOG VALORIZADO DE OBRA'!S13+'CRONOG VALORIZADO DE OBRA'!S18+'CRONOG VALORIZADO DE OBRA'!S19</f>
        <v>28206.45</v>
      </c>
      <c r="T27" s="657">
        <f>'CRONOG VALORIZADO DE OBRA'!T13+'CRONOG VALORIZADO DE OBRA'!T18+'CRONOG VALORIZADO DE OBRA'!T19</f>
        <v>28206.45</v>
      </c>
      <c r="U27" s="657">
        <f>'CRONOG VALORIZADO DE OBRA'!U13+'CRONOG VALORIZADO DE OBRA'!U18+'CRONOG VALORIZADO DE OBRA'!U19</f>
        <v>175176</v>
      </c>
      <c r="V27" s="657">
        <f>'CRONOG VALORIZADO DE OBRA'!V13+'CRONOG VALORIZADO DE OBRA'!V18+'CRONOG VALORIZADO DE OBRA'!V19</f>
        <v>175176</v>
      </c>
      <c r="W27" s="657">
        <f>'CRONOG VALORIZADO DE OBRA'!W13+'CRONOG VALORIZADO DE OBRA'!W18+'CRONOG VALORIZADO DE OBRA'!W19</f>
        <v>196580.5</v>
      </c>
      <c r="X27" s="657">
        <f>'CRONOG VALORIZADO DE OBRA'!X13+'CRONOG VALORIZADO DE OBRA'!X18+'CRONOG VALORIZADO DE OBRA'!X19</f>
        <v>196580.5</v>
      </c>
      <c r="Y27" s="657">
        <f>'CRONOG VALORIZADO DE OBRA'!Y13+'CRONOG VALORIZADO DE OBRA'!Y18+'CRONOG VALORIZADO DE OBRA'!Y19</f>
        <v>175176</v>
      </c>
      <c r="Z27" s="657">
        <f>'CRONOG VALORIZADO DE OBRA'!Z13+'CRONOG VALORIZADO DE OBRA'!Z18+'CRONOG VALORIZADO DE OBRA'!Z19</f>
        <v>175176</v>
      </c>
      <c r="AA27" s="657">
        <f>'CRONOG VALORIZADO DE OBRA'!AA13+'CRONOG VALORIZADO DE OBRA'!AA18+'CRONOG VALORIZADO DE OBRA'!AA19</f>
        <v>0</v>
      </c>
      <c r="AH27" s="914">
        <f t="shared" si="0"/>
        <v>1150277.8999999999</v>
      </c>
      <c r="AI27" s="591">
        <f>'ESTRUCTURA FIN'!H16-'Flujo Egresos'!AH27</f>
        <v>0</v>
      </c>
      <c r="AJ27" s="479"/>
      <c r="AK27" s="516"/>
    </row>
    <row r="28" spans="1:41">
      <c r="A28" s="3"/>
      <c r="B28" s="90" t="s">
        <v>557</v>
      </c>
      <c r="C28" s="656"/>
      <c r="D28" s="657"/>
      <c r="E28" s="657"/>
      <c r="F28" s="657"/>
      <c r="G28" s="657">
        <f>'CRONOG VALORIZADO DE OBRA'!G14+'CRONOG VALORIZADO DE OBRA'!G20+'EGRESOS DETALLADO'!N48</f>
        <v>0</v>
      </c>
      <c r="H28" s="657">
        <f>'CRONOG VALORIZADO DE OBRA'!H14+'CRONOG VALORIZADO DE OBRA'!H20+'EGRESOS DETALLADO'!O48</f>
        <v>0</v>
      </c>
      <c r="I28" s="657">
        <f>'CRONOG VALORIZADO DE OBRA'!I14+'CRONOG VALORIZADO DE OBRA'!I20+'EGRESOS DETALLADO'!P48</f>
        <v>0</v>
      </c>
      <c r="J28" s="657">
        <f>'CRONOG VALORIZADO DE OBRA'!J14+'CRONOG VALORIZADO DE OBRA'!J20+'EGRESOS DETALLADO'!Q48</f>
        <v>0</v>
      </c>
      <c r="K28" s="657">
        <f>'CRONOG VALORIZADO DE OBRA'!K14+'CRONOG VALORIZADO DE OBRA'!K20+'EGRESOS DETALLADO'!R48</f>
        <v>0</v>
      </c>
      <c r="L28" s="657">
        <f>'CRONOG VALORIZADO DE OBRA'!L14+'CRONOG VALORIZADO DE OBRA'!L20+'EGRESOS DETALLADO'!S48</f>
        <v>0</v>
      </c>
      <c r="M28" s="657">
        <f>'CRONOG VALORIZADO DE OBRA'!M14+'CRONOG VALORIZADO DE OBRA'!M20+'EGRESOS DETALLADO'!T48</f>
        <v>0</v>
      </c>
      <c r="N28" s="657">
        <f>'CRONOG VALORIZADO DE OBRA'!N14+'CRONOG VALORIZADO DE OBRA'!N20+'EGRESOS DETALLADO'!U48</f>
        <v>7051.6125000000002</v>
      </c>
      <c r="O28" s="657">
        <f>'CRONOG VALORIZADO DE OBRA'!O14+'CRONOG VALORIZADO DE OBRA'!O20+'EGRESOS DETALLADO'!V48</f>
        <v>7051.6125000000002</v>
      </c>
      <c r="P28" s="657">
        <f>'CRONOG VALORIZADO DE OBRA'!P14+'CRONOG VALORIZADO DE OBRA'!P20+'EGRESOS DETALLADO'!W48</f>
        <v>7051.6125000000002</v>
      </c>
      <c r="Q28" s="657">
        <f>'CRONOG VALORIZADO DE OBRA'!Q14+'CRONOG VALORIZADO DE OBRA'!Q20+'EGRESOS DETALLADO'!X48</f>
        <v>25614.812500000004</v>
      </c>
      <c r="R28" s="657">
        <f>'CRONOG VALORIZADO DE OBRA'!R14+'CRONOG VALORIZADO DE OBRA'!R20+'EGRESOS DETALLADO'!Y48</f>
        <v>18563.200000000004</v>
      </c>
      <c r="S28" s="657">
        <f>'CRONOG VALORIZADO DE OBRA'!S14+'CRONOG VALORIZADO DE OBRA'!S20+'EGRESOS DETALLADO'!Z48</f>
        <v>18563.200000000004</v>
      </c>
      <c r="T28" s="657">
        <f>'CRONOG VALORIZADO DE OBRA'!T14+'CRONOG VALORIZADO DE OBRA'!T20+'EGRESOS DETALLADO'!AA48</f>
        <v>18563.200000000004</v>
      </c>
      <c r="U28" s="657">
        <f>'CRONOG VALORIZADO DE OBRA'!U14+'CRONOG VALORIZADO DE OBRA'!U20+'EGRESOS DETALLADO'!AB48</f>
        <v>18563.200000000004</v>
      </c>
      <c r="V28" s="657">
        <f>'CRONOG VALORIZADO DE OBRA'!V14+'CRONOG VALORIZADO DE OBRA'!V20+'EGRESOS DETALLADO'!AC48</f>
        <v>18563.200000000004</v>
      </c>
      <c r="W28" s="657">
        <f>'CRONOG VALORIZADO DE OBRA'!W14+'CRONOG VALORIZADO DE OBRA'!W20+'EGRESOS DETALLADO'!AD48</f>
        <v>18563.200000000004</v>
      </c>
      <c r="X28" s="657">
        <f>'CRONOG VALORIZADO DE OBRA'!X14+'CRONOG VALORIZADO DE OBRA'!X20+'EGRESOS DETALLADO'!AE48</f>
        <v>18563.200000000004</v>
      </c>
      <c r="Y28" s="657">
        <f>'CRONOG VALORIZADO DE OBRA'!Y14+'CRONOG VALORIZADO DE OBRA'!Y20+'EGRESOS DETALLADO'!AF48</f>
        <v>18563.200000000004</v>
      </c>
      <c r="Z28" s="657">
        <f>'CRONOG VALORIZADO DE OBRA'!Z14+'CRONOG VALORIZADO DE OBRA'!Z20+'EGRESOS DETALLADO'!AG48</f>
        <v>18563.200000000004</v>
      </c>
      <c r="AA28" s="657">
        <f>+'EGRESOS DETALLADO'!AH48</f>
        <v>3000</v>
      </c>
      <c r="AB28" s="657">
        <f>+'EGRESOS DETALLADO'!AI48</f>
        <v>3000</v>
      </c>
      <c r="AH28" s="914">
        <f t="shared" si="0"/>
        <v>219838.4500000001</v>
      </c>
      <c r="AI28" s="591">
        <f>'ESTRUCTURA FIN'!H17-'Flujo Egresos'!AH28</f>
        <v>0</v>
      </c>
      <c r="AJ28" s="479"/>
    </row>
    <row r="29" spans="1:41">
      <c r="A29" s="3"/>
      <c r="B29" s="90" t="s">
        <v>556</v>
      </c>
      <c r="C29" s="656"/>
      <c r="D29" s="657"/>
      <c r="E29" s="657"/>
      <c r="F29" s="657"/>
      <c r="G29" s="657">
        <f>'CRONOG VALORIZADO DE OBRA'!G15+'CRONOG VALORIZADO DE OBRA'!G21+'EGRESOS DETALLADO'!N49</f>
        <v>0</v>
      </c>
      <c r="H29" s="657">
        <f>'CRONOG VALORIZADO DE OBRA'!H15+'CRONOG VALORIZADO DE OBRA'!H21+'EGRESOS DETALLADO'!O49</f>
        <v>0</v>
      </c>
      <c r="I29" s="657">
        <f>'CRONOG VALORIZADO DE OBRA'!I15+'CRONOG VALORIZADO DE OBRA'!I21+'EGRESOS DETALLADO'!P49</f>
        <v>0</v>
      </c>
      <c r="J29" s="657">
        <f>'CRONOG VALORIZADO DE OBRA'!J15+'CRONOG VALORIZADO DE OBRA'!J21+'EGRESOS DETALLADO'!Q49</f>
        <v>0</v>
      </c>
      <c r="K29" s="657">
        <f>'CRONOG VALORIZADO DE OBRA'!K15+'CRONOG VALORIZADO DE OBRA'!K21+'EGRESOS DETALLADO'!R49</f>
        <v>0</v>
      </c>
      <c r="L29" s="657">
        <f>'CRONOG VALORIZADO DE OBRA'!L15+'CRONOG VALORIZADO DE OBRA'!L21+'EGRESOS DETALLADO'!S49</f>
        <v>0</v>
      </c>
      <c r="M29" s="657">
        <f>'CRONOG VALORIZADO DE OBRA'!M15+'CRONOG VALORIZADO DE OBRA'!M21+'EGRESOS DETALLADO'!T49</f>
        <v>0</v>
      </c>
      <c r="N29" s="657">
        <f>'CRONOG VALORIZADO DE OBRA'!N15+'CRONOG VALORIZADO DE OBRA'!N21+'EGRESOS DETALLADO'!U49</f>
        <v>7051.6125000000002</v>
      </c>
      <c r="O29" s="657">
        <f>'CRONOG VALORIZADO DE OBRA'!O15+'CRONOG VALORIZADO DE OBRA'!O21+'EGRESOS DETALLADO'!V49</f>
        <v>7051.6125000000002</v>
      </c>
      <c r="P29" s="657">
        <f>'CRONOG VALORIZADO DE OBRA'!P15+'CRONOG VALORIZADO DE OBRA'!P21+'EGRESOS DETALLADO'!W49</f>
        <v>7051.6125000000002</v>
      </c>
      <c r="Q29" s="657">
        <f>'CRONOG VALORIZADO DE OBRA'!Q15+'CRONOG VALORIZADO DE OBRA'!Q21+'EGRESOS DETALLADO'!X49</f>
        <v>29327.452500000003</v>
      </c>
      <c r="R29" s="657">
        <f>'CRONOG VALORIZADO DE OBRA'!R15+'CRONOG VALORIZADO DE OBRA'!R21+'EGRESOS DETALLADO'!Y49</f>
        <v>22275.840000000004</v>
      </c>
      <c r="S29" s="657">
        <f>'CRONOG VALORIZADO DE OBRA'!S15+'CRONOG VALORIZADO DE OBRA'!S21+'EGRESOS DETALLADO'!Z49</f>
        <v>22275.840000000004</v>
      </c>
      <c r="T29" s="657">
        <f>'CRONOG VALORIZADO DE OBRA'!T15+'CRONOG VALORIZADO DE OBRA'!T21+'EGRESOS DETALLADO'!AA49</f>
        <v>22275.840000000004</v>
      </c>
      <c r="U29" s="657">
        <f>'CRONOG VALORIZADO DE OBRA'!U15+'CRONOG VALORIZADO DE OBRA'!U21+'EGRESOS DETALLADO'!AB49</f>
        <v>22275.840000000004</v>
      </c>
      <c r="V29" s="657">
        <f>'CRONOG VALORIZADO DE OBRA'!V15+'CRONOG VALORIZADO DE OBRA'!V21+'EGRESOS DETALLADO'!AC49</f>
        <v>22275.840000000004</v>
      </c>
      <c r="W29" s="657">
        <f>'CRONOG VALORIZADO DE OBRA'!W15+'CRONOG VALORIZADO DE OBRA'!W21+'EGRESOS DETALLADO'!AD49</f>
        <v>22275.840000000004</v>
      </c>
      <c r="X29" s="657">
        <f>'CRONOG VALORIZADO DE OBRA'!X15+'CRONOG VALORIZADO DE OBRA'!X21+'EGRESOS DETALLADO'!AE49</f>
        <v>22275.840000000004</v>
      </c>
      <c r="Y29" s="657">
        <f>'CRONOG VALORIZADO DE OBRA'!Y15+'CRONOG VALORIZADO DE OBRA'!Y21+'EGRESOS DETALLADO'!AF49</f>
        <v>22275.840000000004</v>
      </c>
      <c r="Z29" s="657">
        <f>'CRONOG VALORIZADO DE OBRA'!Z15+'CRONOG VALORIZADO DE OBRA'!Z21+'EGRESOS DETALLADO'!AG49</f>
        <v>22275.840000000004</v>
      </c>
      <c r="AA29" s="657">
        <f>+'EGRESOS DETALLADO'!AH49</f>
        <v>12905</v>
      </c>
      <c r="AB29" s="657">
        <f>+'EGRESOS DETALLADO'!AI49</f>
        <v>12905</v>
      </c>
      <c r="AH29" s="914">
        <f t="shared" si="0"/>
        <v>276774.84999999998</v>
      </c>
      <c r="AI29" s="591">
        <f>'ESTRUCTURA FIN'!H18-'Flujo Egresos'!AH29</f>
        <v>0</v>
      </c>
      <c r="AJ29" s="479"/>
    </row>
    <row r="30" spans="1:41">
      <c r="A30" s="3"/>
      <c r="B30" s="90" t="s">
        <v>425</v>
      </c>
      <c r="C30" s="656"/>
      <c r="D30" s="657"/>
      <c r="E30" s="657"/>
      <c r="F30" s="657"/>
      <c r="G30" s="657">
        <f>'CRONOG VALORIZADO DE OBRA'!G22</f>
        <v>0</v>
      </c>
      <c r="H30" s="657">
        <f>'CRONOG VALORIZADO DE OBRA'!H22</f>
        <v>0</v>
      </c>
      <c r="I30" s="657">
        <f>'CRONOG VALORIZADO DE OBRA'!I22</f>
        <v>0</v>
      </c>
      <c r="J30" s="657">
        <f>'CRONOG VALORIZADO DE OBRA'!J22</f>
        <v>0</v>
      </c>
      <c r="K30" s="657">
        <f>'CRONOG VALORIZADO DE OBRA'!K22</f>
        <v>0</v>
      </c>
      <c r="L30" s="657">
        <f>'CRONOG VALORIZADO DE OBRA'!L22</f>
        <v>0</v>
      </c>
      <c r="M30" s="657">
        <f>'CRONOG VALORIZADO DE OBRA'!M22</f>
        <v>0</v>
      </c>
      <c r="N30" s="657">
        <f>'CRONOG VALORIZADO DE OBRA'!N22</f>
        <v>0</v>
      </c>
      <c r="O30" s="657">
        <f>'CRONOG VALORIZADO DE OBRA'!O22</f>
        <v>0</v>
      </c>
      <c r="P30" s="657">
        <f>'CRONOG VALORIZADO DE OBRA'!P22</f>
        <v>0</v>
      </c>
      <c r="Q30" s="657">
        <f>'CRONOG VALORIZADO DE OBRA'!Q22</f>
        <v>9402.15</v>
      </c>
      <c r="R30" s="657">
        <f>'CRONOG VALORIZADO DE OBRA'!R22</f>
        <v>9402.15</v>
      </c>
      <c r="S30" s="657">
        <f>'CRONOG VALORIZADO DE OBRA'!S22</f>
        <v>9402.15</v>
      </c>
      <c r="T30" s="657">
        <f>'CRONOG VALORIZADO DE OBRA'!T22</f>
        <v>9402.15</v>
      </c>
      <c r="U30" s="657">
        <f>'CRONOG VALORIZADO DE OBRA'!U22</f>
        <v>9402.15</v>
      </c>
      <c r="V30" s="657">
        <f>'CRONOG VALORIZADO DE OBRA'!V22</f>
        <v>9402.15</v>
      </c>
      <c r="W30" s="657">
        <f>'CRONOG VALORIZADO DE OBRA'!W22</f>
        <v>9402.15</v>
      </c>
      <c r="X30" s="657">
        <f>'CRONOG VALORIZADO DE OBRA'!X22</f>
        <v>9402.15</v>
      </c>
      <c r="Y30" s="657">
        <f>'CRONOG VALORIZADO DE OBRA'!Y22</f>
        <v>0</v>
      </c>
      <c r="Z30" s="657">
        <f>'CRONOG VALORIZADO DE OBRA'!Z22</f>
        <v>0</v>
      </c>
      <c r="AA30" s="657">
        <f>'CRONOG VALORIZADO DE OBRA'!AA22</f>
        <v>0</v>
      </c>
      <c r="AH30" s="914">
        <f t="shared" si="0"/>
        <v>75217.2</v>
      </c>
      <c r="AI30" s="591">
        <f>'ESTRUCTURA FIN'!H19-'Flujo Egresos'!AH30</f>
        <v>0</v>
      </c>
      <c r="AJ30" s="479"/>
    </row>
    <row r="31" spans="1:41">
      <c r="A31" s="3"/>
      <c r="B31" s="90" t="s">
        <v>225</v>
      </c>
      <c r="C31" s="656"/>
      <c r="D31" s="657"/>
      <c r="E31" s="657"/>
      <c r="F31" s="657"/>
      <c r="G31" s="657">
        <f>'CRONOG VALORIZADO DE OBRA'!G23</f>
        <v>0</v>
      </c>
      <c r="H31" s="657">
        <f>'CRONOG VALORIZADO DE OBRA'!H23</f>
        <v>0</v>
      </c>
      <c r="I31" s="657">
        <f>'CRONOG VALORIZADO DE OBRA'!I23</f>
        <v>0</v>
      </c>
      <c r="J31" s="657">
        <f>'CRONOG VALORIZADO DE OBRA'!J23</f>
        <v>0</v>
      </c>
      <c r="K31" s="657">
        <f>'CRONOG VALORIZADO DE OBRA'!K23</f>
        <v>0</v>
      </c>
      <c r="L31" s="657">
        <f>'CRONOG VALORIZADO DE OBRA'!L23</f>
        <v>0</v>
      </c>
      <c r="M31" s="657">
        <f>'CRONOG VALORIZADO DE OBRA'!M23</f>
        <v>0</v>
      </c>
      <c r="N31" s="657">
        <f>'CRONOG VALORIZADO DE OBRA'!N23</f>
        <v>19200</v>
      </c>
      <c r="O31" s="657">
        <f>'CRONOG VALORIZADO DE OBRA'!O23</f>
        <v>0</v>
      </c>
      <c r="P31" s="657">
        <f>'CRONOG VALORIZADO DE OBRA'!P23</f>
        <v>0</v>
      </c>
      <c r="Q31" s="657">
        <f>'CRONOG VALORIZADO DE OBRA'!Q23</f>
        <v>19200</v>
      </c>
      <c r="R31" s="657">
        <f>'CRONOG VALORIZADO DE OBRA'!R23</f>
        <v>0</v>
      </c>
      <c r="S31" s="657">
        <f>'CRONOG VALORIZADO DE OBRA'!S23</f>
        <v>0</v>
      </c>
      <c r="T31" s="657">
        <f>'CRONOG VALORIZADO DE OBRA'!T23</f>
        <v>0</v>
      </c>
      <c r="U31" s="657">
        <f>'CRONOG VALORIZADO DE OBRA'!U23</f>
        <v>0</v>
      </c>
      <c r="V31" s="657">
        <f>'CRONOG VALORIZADO DE OBRA'!V23</f>
        <v>0</v>
      </c>
      <c r="W31" s="657">
        <f>'CRONOG VALORIZADO DE OBRA'!W23</f>
        <v>60500</v>
      </c>
      <c r="X31" s="657">
        <f>'CRONOG VALORIZADO DE OBRA'!X23</f>
        <v>0</v>
      </c>
      <c r="Y31" s="657">
        <f>'CRONOG VALORIZADO DE OBRA'!Y23</f>
        <v>0</v>
      </c>
      <c r="Z31" s="657">
        <f>'CRONOG VALORIZADO DE OBRA'!Z23</f>
        <v>22100</v>
      </c>
      <c r="AA31" s="657">
        <f>'CRONOG VALORIZADO DE OBRA'!AA23</f>
        <v>0</v>
      </c>
      <c r="AH31" s="914">
        <f t="shared" si="0"/>
        <v>121000</v>
      </c>
      <c r="AI31" s="591">
        <f>'ESTRUCTURA FIN'!H20-'Flujo Egresos'!AH31</f>
        <v>0</v>
      </c>
      <c r="AJ31" s="479"/>
    </row>
    <row r="32" spans="1:41">
      <c r="A32" s="3"/>
      <c r="B32" s="90" t="s">
        <v>558</v>
      </c>
      <c r="C32" s="656"/>
      <c r="D32" s="657"/>
      <c r="E32" s="657"/>
      <c r="F32" s="657"/>
      <c r="G32" s="657">
        <f>'CRONOG VALORIZADO DE OBRA'!G30</f>
        <v>90</v>
      </c>
      <c r="H32" s="657">
        <f>'CRONOG VALORIZADO DE OBRA'!H30</f>
        <v>90</v>
      </c>
      <c r="I32" s="657">
        <f>'CRONOG VALORIZADO DE OBRA'!I30</f>
        <v>0</v>
      </c>
      <c r="J32" s="657">
        <f>'CRONOG VALORIZADO DE OBRA'!J30</f>
        <v>0</v>
      </c>
      <c r="K32" s="657">
        <f>'CRONOG VALORIZADO DE OBRA'!K30</f>
        <v>0</v>
      </c>
      <c r="L32" s="657">
        <f>'CRONOG VALORIZADO DE OBRA'!L30</f>
        <v>0</v>
      </c>
      <c r="M32" s="657">
        <f>'CRONOG VALORIZADO DE OBRA'!M30</f>
        <v>2147.5832</v>
      </c>
      <c r="N32" s="657">
        <f>'CRONOG VALORIZADO DE OBRA'!N30</f>
        <v>10539.2387</v>
      </c>
      <c r="O32" s="657">
        <f>'CRONOG VALORIZADO DE OBRA'!O30</f>
        <v>9387.2386999999999</v>
      </c>
      <c r="P32" s="657">
        <f>'CRONOG VALORIZADO DE OBRA'!P30</f>
        <v>7239.6555000000008</v>
      </c>
      <c r="Q32" s="657">
        <f>'CRONOG VALORIZADO DE OBRA'!Q30</f>
        <v>17635.640899999999</v>
      </c>
      <c r="R32" s="657">
        <f>'CRONOG VALORIZADO DE OBRA'!R30</f>
        <v>15637.447400000001</v>
      </c>
      <c r="S32" s="657">
        <f>'CRONOG VALORIZADO DE OBRA'!S30</f>
        <v>17329.8344</v>
      </c>
      <c r="T32" s="657">
        <f>'CRONOG VALORIZADO DE OBRA'!T30</f>
        <v>17329.8344</v>
      </c>
      <c r="U32" s="657">
        <f>'CRONOG VALORIZADO DE OBRA'!U30</f>
        <v>26148.007400000002</v>
      </c>
      <c r="V32" s="657">
        <f>'CRONOG VALORIZADO DE OBRA'!V30</f>
        <v>26148.007400000002</v>
      </c>
      <c r="W32" s="657">
        <f>'CRONOG VALORIZADO DE OBRA'!W30</f>
        <v>18439.3014</v>
      </c>
      <c r="X32" s="657">
        <f>'CRONOG VALORIZADO DE OBRA'!X30</f>
        <v>14809.3014</v>
      </c>
      <c r="Y32" s="657">
        <f>'CRONOG VALORIZADO DE OBRA'!Y30</f>
        <v>12960.902400000001</v>
      </c>
      <c r="Z32" s="657">
        <f>'CRONOG VALORIZADO DE OBRA'!Z30</f>
        <v>14286.902400000001</v>
      </c>
      <c r="AA32" s="657">
        <f>'CRONOG VALORIZADO DE OBRA'!AA30</f>
        <v>0</v>
      </c>
      <c r="AH32" s="914">
        <f t="shared" si="0"/>
        <v>210218.89559999996</v>
      </c>
      <c r="AI32" s="591">
        <f>'ESTRUCTURA FIN'!H21-'Flujo Egresos'!AH32</f>
        <v>0</v>
      </c>
      <c r="AJ32" s="479"/>
    </row>
    <row r="33" spans="1:36">
      <c r="A33" s="3"/>
      <c r="B33" s="90" t="s">
        <v>559</v>
      </c>
      <c r="C33" s="656"/>
      <c r="D33" s="657"/>
      <c r="E33" s="657"/>
      <c r="F33" s="657"/>
      <c r="G33" s="657">
        <f>'CRONOG VALORIZADO DE OBRA'!G31</f>
        <v>90</v>
      </c>
      <c r="H33" s="657">
        <f>'CRONOG VALORIZADO DE OBRA'!H31</f>
        <v>90</v>
      </c>
      <c r="I33" s="657">
        <f>'CRONOG VALORIZADO DE OBRA'!I31</f>
        <v>0</v>
      </c>
      <c r="J33" s="657">
        <f>'CRONOG VALORIZADO DE OBRA'!J31</f>
        <v>0</v>
      </c>
      <c r="K33" s="657">
        <f>'CRONOG VALORIZADO DE OBRA'!K31</f>
        <v>0</v>
      </c>
      <c r="L33" s="657">
        <f>'CRONOG VALORIZADO DE OBRA'!L31</f>
        <v>0</v>
      </c>
      <c r="M33" s="657">
        <f>'CRONOG VALORIZADO DE OBRA'!M31</f>
        <v>2147.5832</v>
      </c>
      <c r="N33" s="657">
        <f>'CRONOG VALORIZADO DE OBRA'!N31</f>
        <v>10539.2387</v>
      </c>
      <c r="O33" s="657">
        <f>'CRONOG VALORIZADO DE OBRA'!O31</f>
        <v>9387.2386999999999</v>
      </c>
      <c r="P33" s="657">
        <f>'CRONOG VALORIZADO DE OBRA'!P31</f>
        <v>7239.6555000000008</v>
      </c>
      <c r="Q33" s="657">
        <f>'CRONOG VALORIZADO DE OBRA'!Q31</f>
        <v>17635.640899999999</v>
      </c>
      <c r="R33" s="657">
        <f>'CRONOG VALORIZADO DE OBRA'!R31</f>
        <v>15637.447400000001</v>
      </c>
      <c r="S33" s="657">
        <f>'CRONOG VALORIZADO DE OBRA'!S31</f>
        <v>17329.8344</v>
      </c>
      <c r="T33" s="657">
        <f>'CRONOG VALORIZADO DE OBRA'!T31</f>
        <v>17329.8344</v>
      </c>
      <c r="U33" s="657">
        <f>'CRONOG VALORIZADO DE OBRA'!U31</f>
        <v>26148.007400000002</v>
      </c>
      <c r="V33" s="657">
        <f>'CRONOG VALORIZADO DE OBRA'!V31</f>
        <v>26148.007400000002</v>
      </c>
      <c r="W33" s="657">
        <f>'CRONOG VALORIZADO DE OBRA'!W31</f>
        <v>18439.3014</v>
      </c>
      <c r="X33" s="657">
        <f>'CRONOG VALORIZADO DE OBRA'!X31</f>
        <v>14809.3014</v>
      </c>
      <c r="Y33" s="657">
        <f>'CRONOG VALORIZADO DE OBRA'!Y31</f>
        <v>12960.902400000001</v>
      </c>
      <c r="Z33" s="657">
        <f>'CRONOG VALORIZADO DE OBRA'!Z31</f>
        <v>14286.902400000001</v>
      </c>
      <c r="AA33" s="657">
        <f>'CRONOG VALORIZADO DE OBRA'!AA31</f>
        <v>0</v>
      </c>
      <c r="AH33" s="914">
        <f t="shared" si="0"/>
        <v>210218.89559999996</v>
      </c>
      <c r="AI33" s="591">
        <f>'ESTRUCTURA FIN'!H22-'Flujo Egresos'!AH33</f>
        <v>0</v>
      </c>
      <c r="AJ33" s="479"/>
    </row>
    <row r="34" spans="1:36" ht="13.5" thickBot="1">
      <c r="A34" s="3"/>
      <c r="B34" s="680" t="s">
        <v>561</v>
      </c>
      <c r="C34" s="918"/>
      <c r="D34" s="919"/>
      <c r="E34" s="919"/>
      <c r="F34" s="919"/>
      <c r="G34" s="919">
        <f>'EGRESOS DETALLADO'!N47</f>
        <v>0</v>
      </c>
      <c r="H34" s="919">
        <f>'EGRESOS DETALLADO'!O47</f>
        <v>0</v>
      </c>
      <c r="I34" s="919">
        <f>'EGRESOS DETALLADO'!P47</f>
        <v>0</v>
      </c>
      <c r="J34" s="919">
        <f>'EGRESOS DETALLADO'!Q47</f>
        <v>0</v>
      </c>
      <c r="K34" s="919">
        <f>'EGRESOS DETALLADO'!R47</f>
        <v>0</v>
      </c>
      <c r="L34" s="919">
        <f>'EGRESOS DETALLADO'!S47</f>
        <v>7007.2965200000008</v>
      </c>
      <c r="M34" s="919">
        <f>'EGRESOS DETALLADO'!T47</f>
        <v>0</v>
      </c>
      <c r="N34" s="919">
        <f>'EGRESOS DETALLADO'!U47</f>
        <v>0</v>
      </c>
      <c r="O34" s="919">
        <f>'EGRESOS DETALLADO'!V47</f>
        <v>0</v>
      </c>
      <c r="P34" s="919">
        <f>'EGRESOS DETALLADO'!W47</f>
        <v>0</v>
      </c>
      <c r="Q34" s="919">
        <f>'EGRESOS DETALLADO'!X47</f>
        <v>0</v>
      </c>
      <c r="R34" s="919">
        <f>'EGRESOS DETALLADO'!Y47</f>
        <v>0</v>
      </c>
      <c r="S34" s="919">
        <f>'EGRESOS DETALLADO'!Z47</f>
        <v>0</v>
      </c>
      <c r="T34" s="919">
        <f>'EGRESOS DETALLADO'!AA47</f>
        <v>0</v>
      </c>
      <c r="U34" s="919">
        <f>'EGRESOS DETALLADO'!AB47</f>
        <v>0</v>
      </c>
      <c r="V34" s="919">
        <f>'EGRESOS DETALLADO'!AC47</f>
        <v>0</v>
      </c>
      <c r="W34" s="919">
        <f>'EGRESOS DETALLADO'!AD47</f>
        <v>0</v>
      </c>
      <c r="X34" s="919">
        <f>'EGRESOS DETALLADO'!AE47</f>
        <v>0</v>
      </c>
      <c r="Y34" s="919">
        <f>'EGRESOS DETALLADO'!AF47</f>
        <v>0</v>
      </c>
      <c r="Z34" s="919">
        <f>'EGRESOS DETALLADO'!AG47</f>
        <v>0</v>
      </c>
      <c r="AA34" s="919">
        <f>'EGRESOS DETALLADO'!AH47</f>
        <v>0</v>
      </c>
      <c r="AH34" s="920">
        <f t="shared" si="0"/>
        <v>7007.2965200000008</v>
      </c>
      <c r="AI34" s="591">
        <f>'ESTRUCTURA FIN'!H24-'Flujo Egresos'!AH34</f>
        <v>0</v>
      </c>
      <c r="AJ34" s="479"/>
    </row>
    <row r="35" spans="1:36">
      <c r="A35" s="3"/>
      <c r="B35" s="683" t="s">
        <v>554</v>
      </c>
      <c r="C35" s="915"/>
      <c r="D35" s="916"/>
      <c r="E35" s="916"/>
      <c r="F35" s="916"/>
      <c r="G35" s="916"/>
      <c r="H35" s="916"/>
      <c r="I35" s="916"/>
      <c r="J35" s="916"/>
      <c r="K35" s="916"/>
      <c r="L35" s="916"/>
      <c r="M35" s="916"/>
      <c r="N35" s="916"/>
      <c r="O35" s="916"/>
      <c r="P35" s="916"/>
      <c r="Q35" s="916"/>
      <c r="R35" s="916"/>
      <c r="S35" s="916"/>
      <c r="T35" s="916"/>
      <c r="U35" s="916"/>
      <c r="V35" s="916"/>
      <c r="W35" s="916"/>
      <c r="X35" s="916"/>
      <c r="Y35" s="916"/>
      <c r="Z35" s="916"/>
      <c r="AA35" s="916"/>
      <c r="AB35" s="916"/>
      <c r="AC35" s="916"/>
      <c r="AD35" s="916"/>
      <c r="AE35" s="916"/>
      <c r="AF35" s="916"/>
      <c r="AG35" s="916"/>
      <c r="AH35" s="917"/>
      <c r="AI35" s="591"/>
      <c r="AJ35" s="479"/>
    </row>
    <row r="36" spans="1:36">
      <c r="A36" s="3"/>
      <c r="B36" s="90" t="s">
        <v>562</v>
      </c>
      <c r="C36" s="656">
        <f>'EGRESOS DETALLADO'!J24</f>
        <v>4222.2840000000006</v>
      </c>
      <c r="D36" s="657">
        <f>'EGRESOS DETALLADO'!K24</f>
        <v>12805.710000000001</v>
      </c>
      <c r="E36" s="657">
        <f>'EGRESOS DETALLADO'!L24</f>
        <v>5583.4260000000013</v>
      </c>
      <c r="F36" s="657">
        <f>'EGRESOS DETALLADO'!M24</f>
        <v>5583.4260000000004</v>
      </c>
      <c r="G36" s="657">
        <f>'EGRESOS DETALLADO'!N24</f>
        <v>8375.139000000001</v>
      </c>
      <c r="H36" s="657">
        <f>'EGRESOS DETALLADO'!O24</f>
        <v>0</v>
      </c>
      <c r="I36" s="657">
        <f>'EGRESOS DETALLADO'!P24</f>
        <v>13958.565000000001</v>
      </c>
      <c r="J36" s="657">
        <f>'EGRESOS DETALLADO'!Q24</f>
        <v>0</v>
      </c>
      <c r="K36" s="657">
        <f>'EGRESOS DETALLADO'!R24</f>
        <v>0</v>
      </c>
      <c r="L36" s="657">
        <f>'EGRESOS DETALLADO'!S24</f>
        <v>0</v>
      </c>
      <c r="M36" s="657">
        <f>'EGRESOS DETALLADO'!T24</f>
        <v>0</v>
      </c>
      <c r="N36" s="657">
        <f>'EGRESOS DETALLADO'!U24</f>
        <v>0</v>
      </c>
      <c r="O36" s="657">
        <f>'EGRESOS DETALLADO'!V24</f>
        <v>0</v>
      </c>
      <c r="P36" s="657">
        <f>'EGRESOS DETALLADO'!W24</f>
        <v>0</v>
      </c>
      <c r="Q36" s="657">
        <f>'EGRESOS DETALLADO'!X24</f>
        <v>0</v>
      </c>
      <c r="R36" s="657">
        <f>'EGRESOS DETALLADO'!Y24</f>
        <v>0</v>
      </c>
      <c r="S36" s="657">
        <f>'EGRESOS DETALLADO'!Z24</f>
        <v>0</v>
      </c>
      <c r="T36" s="657">
        <f>'EGRESOS DETALLADO'!AA24</f>
        <v>0</v>
      </c>
      <c r="U36" s="657">
        <f>'EGRESOS DETALLADO'!AB24</f>
        <v>0</v>
      </c>
      <c r="V36" s="657">
        <f>'EGRESOS DETALLADO'!AC24</f>
        <v>0</v>
      </c>
      <c r="W36" s="657">
        <f>'EGRESOS DETALLADO'!AD24</f>
        <v>0</v>
      </c>
      <c r="X36" s="657">
        <f>'EGRESOS DETALLADO'!AE24</f>
        <v>0</v>
      </c>
      <c r="Y36" s="657">
        <f>'EGRESOS DETALLADO'!AF24</f>
        <v>0</v>
      </c>
      <c r="Z36" s="657">
        <f>'EGRESOS DETALLADO'!AG24</f>
        <v>0</v>
      </c>
      <c r="AA36" s="657">
        <f>'EGRESOS DETALLADO'!AH24</f>
        <v>0</v>
      </c>
      <c r="AB36" s="657">
        <f>'EGRESOS DETALLADO'!AI24</f>
        <v>0</v>
      </c>
      <c r="AC36" s="657">
        <f>'EGRESOS DETALLADO'!AJ24</f>
        <v>0</v>
      </c>
      <c r="AD36" s="657">
        <f>'EGRESOS DETALLADO'!AK24</f>
        <v>0</v>
      </c>
      <c r="AE36" s="657">
        <f>'EGRESOS DETALLADO'!AL24</f>
        <v>0</v>
      </c>
      <c r="AF36" s="657">
        <f>'EGRESOS DETALLADO'!AM24</f>
        <v>0</v>
      </c>
      <c r="AG36" s="657">
        <f>'EGRESOS DETALLADO'!AN24</f>
        <v>0</v>
      </c>
      <c r="AH36" s="914">
        <f>SUM(C36:AG36)</f>
        <v>50528.55000000001</v>
      </c>
      <c r="AI36" s="591">
        <f>'EGRESOS DETALLADO'!F24-AH36</f>
        <v>0</v>
      </c>
      <c r="AJ36" s="479"/>
    </row>
    <row r="37" spans="1:36">
      <c r="A37" s="3"/>
      <c r="B37" s="90" t="s">
        <v>700</v>
      </c>
      <c r="C37" s="656">
        <f>'EGRESOS DETALLADO'!J39+'EGRESOS DETALLADO'!J57+'EGRESOS DETALLADO'!J9+'EGRESOS DETALLADO'!J10</f>
        <v>140</v>
      </c>
      <c r="D37" s="657">
        <f>'EGRESOS DETALLADO'!K39+'EGRESOS DETALLADO'!K57+'EGRESOS DETALLADO'!K9+'EGRESOS DETALLADO'!K10</f>
        <v>2000</v>
      </c>
      <c r="E37" s="657">
        <f>'EGRESOS DETALLADO'!L39+'EGRESOS DETALLADO'!L57+'EGRESOS DETALLADO'!L9+'EGRESOS DETALLADO'!L10</f>
        <v>0</v>
      </c>
      <c r="F37" s="657">
        <f>'EGRESOS DETALLADO'!M39+'EGRESOS DETALLADO'!M57+'EGRESOS DETALLADO'!M9+'EGRESOS DETALLADO'!M10</f>
        <v>2000</v>
      </c>
      <c r="G37" s="657">
        <f>'EGRESOS DETALLADO'!N39+'EGRESOS DETALLADO'!N57+'EGRESOS DETALLADO'!N9+'EGRESOS DETALLADO'!N10</f>
        <v>150</v>
      </c>
      <c r="H37" s="657">
        <f>'EGRESOS DETALLADO'!O39+'EGRESOS DETALLADO'!O57+'EGRESOS DETALLADO'!O9+'EGRESOS DETALLADO'!O10</f>
        <v>7088.8</v>
      </c>
      <c r="I37" s="657">
        <f>'EGRESOS DETALLADO'!P39+'EGRESOS DETALLADO'!P57+'EGRESOS DETALLADO'!P9+'EGRESOS DETALLADO'!P10</f>
        <v>0</v>
      </c>
      <c r="J37" s="657">
        <f>'EGRESOS DETALLADO'!Q39+'EGRESOS DETALLADO'!Q57+'EGRESOS DETALLADO'!Q9+'EGRESOS DETALLADO'!Q10</f>
        <v>0</v>
      </c>
      <c r="K37" s="657">
        <f>'EGRESOS DETALLADO'!R39+'EGRESOS DETALLADO'!R57+'EGRESOS DETALLADO'!R9+'EGRESOS DETALLADO'!R10</f>
        <v>0</v>
      </c>
      <c r="L37" s="657">
        <f>'EGRESOS DETALLADO'!S39+'EGRESOS DETALLADO'!S57+'EGRESOS DETALLADO'!S9+'EGRESOS DETALLADO'!S10</f>
        <v>35000</v>
      </c>
      <c r="M37" s="657">
        <f>'EGRESOS DETALLADO'!T39+'EGRESOS DETALLADO'!T57+'EGRESOS DETALLADO'!T9+'EGRESOS DETALLADO'!T10</f>
        <v>0</v>
      </c>
      <c r="N37" s="657">
        <f>'EGRESOS DETALLADO'!U39+'EGRESOS DETALLADO'!U57+'EGRESOS DETALLADO'!U9+'EGRESOS DETALLADO'!U10</f>
        <v>0</v>
      </c>
      <c r="O37" s="657">
        <f>'EGRESOS DETALLADO'!V39+'EGRESOS DETALLADO'!V57+'EGRESOS DETALLADO'!V9+'EGRESOS DETALLADO'!V10</f>
        <v>0</v>
      </c>
      <c r="P37" s="657">
        <f>'EGRESOS DETALLADO'!W39+'EGRESOS DETALLADO'!W57+'EGRESOS DETALLADO'!W9+'EGRESOS DETALLADO'!W10</f>
        <v>0</v>
      </c>
      <c r="Q37" s="657">
        <f>'EGRESOS DETALLADO'!X39+'EGRESOS DETALLADO'!X57+'EGRESOS DETALLADO'!X9+'EGRESOS DETALLADO'!X10</f>
        <v>0</v>
      </c>
      <c r="R37" s="657">
        <f>'EGRESOS DETALLADO'!Y39+'EGRESOS DETALLADO'!Y57+'EGRESOS DETALLADO'!Y9+'EGRESOS DETALLADO'!Y10</f>
        <v>0</v>
      </c>
      <c r="S37" s="657">
        <f>'EGRESOS DETALLADO'!Z39+'EGRESOS DETALLADO'!Z57+'EGRESOS DETALLADO'!Z9+'EGRESOS DETALLADO'!Z10</f>
        <v>0</v>
      </c>
      <c r="T37" s="657">
        <f>'EGRESOS DETALLADO'!AA39+'EGRESOS DETALLADO'!AA57+'EGRESOS DETALLADO'!AA9+'EGRESOS DETALLADO'!AA10</f>
        <v>0</v>
      </c>
      <c r="U37" s="657">
        <f>'EGRESOS DETALLADO'!AB39+'EGRESOS DETALLADO'!AB57+'EGRESOS DETALLADO'!AB9+'EGRESOS DETALLADO'!AB10</f>
        <v>0</v>
      </c>
      <c r="V37" s="657">
        <f>'EGRESOS DETALLADO'!AC39+'EGRESOS DETALLADO'!AC57+'EGRESOS DETALLADO'!AC9+'EGRESOS DETALLADO'!AC10</f>
        <v>0</v>
      </c>
      <c r="W37" s="657">
        <f>'EGRESOS DETALLADO'!AD39+'EGRESOS DETALLADO'!AD57+'EGRESOS DETALLADO'!AD9+'EGRESOS DETALLADO'!AD10</f>
        <v>0</v>
      </c>
      <c r="X37" s="657">
        <f>'EGRESOS DETALLADO'!AE39+'EGRESOS DETALLADO'!AE57+'EGRESOS DETALLADO'!AE9+'EGRESOS DETALLADO'!AE10</f>
        <v>0</v>
      </c>
      <c r="Y37" s="657">
        <f>'EGRESOS DETALLADO'!AF39+'EGRESOS DETALLADO'!AF57+'EGRESOS DETALLADO'!AF9+'EGRESOS DETALLADO'!AF10</f>
        <v>10900</v>
      </c>
      <c r="Z37" s="657">
        <f>'EGRESOS DETALLADO'!AG39+'EGRESOS DETALLADO'!AG57+'EGRESOS DETALLADO'!AG9+'EGRESOS DETALLADO'!AG10</f>
        <v>6000</v>
      </c>
      <c r="AA37" s="657">
        <f>'EGRESOS DETALLADO'!AH39+'EGRESOS DETALLADO'!AH57+'EGRESOS DETALLADO'!AH9+'EGRESOS DETALLADO'!AH10</f>
        <v>4000</v>
      </c>
      <c r="AB37" s="657">
        <f>'EGRESOS DETALLADO'!AI39+'EGRESOS DETALLADO'!AI57+'EGRESOS DETALLADO'!AI9+'EGRESOS DETALLADO'!AI10</f>
        <v>3500</v>
      </c>
      <c r="AC37" s="657">
        <f>'EGRESOS DETALLADO'!AJ39+'EGRESOS DETALLADO'!AJ57+'EGRESOS DETALLADO'!AJ9+'EGRESOS DETALLADO'!AJ10</f>
        <v>1000</v>
      </c>
      <c r="AD37" s="657">
        <f>'EGRESOS DETALLADO'!AK39+'EGRESOS DETALLADO'!AK57+'EGRESOS DETALLADO'!AK9+'EGRESOS DETALLADO'!AK10</f>
        <v>0</v>
      </c>
      <c r="AE37" s="657">
        <f>'EGRESOS DETALLADO'!AL39+'EGRESOS DETALLADO'!AL57+'EGRESOS DETALLADO'!AL9+'EGRESOS DETALLADO'!AL10</f>
        <v>0</v>
      </c>
      <c r="AF37" s="657">
        <f>'EGRESOS DETALLADO'!AM39+'EGRESOS DETALLADO'!AM57+'EGRESOS DETALLADO'!AM9+'EGRESOS DETALLADO'!AM10</f>
        <v>0</v>
      </c>
      <c r="AG37" s="657">
        <f>'EGRESOS DETALLADO'!AN39+'EGRESOS DETALLADO'!AN57+'EGRESOS DETALLADO'!AN9+'EGRESOS DETALLADO'!AN10</f>
        <v>0</v>
      </c>
      <c r="AH37" s="914">
        <f>SUM(C37:AG37)</f>
        <v>71778.8</v>
      </c>
      <c r="AI37" s="591">
        <f>'EGRESOS DETALLADO'!F9+'EGRESOS DETALLADO'!F10+'EGRESOS DETALLADO'!F39+'EGRESOS DETALLADO'!F57-AH37</f>
        <v>0</v>
      </c>
      <c r="AJ37" s="479"/>
    </row>
    <row r="38" spans="1:36">
      <c r="A38" s="3"/>
      <c r="B38" s="90" t="s">
        <v>563</v>
      </c>
      <c r="C38" s="656">
        <f>'EGRESOS DETALLADO'!J75</f>
        <v>0</v>
      </c>
      <c r="D38" s="657">
        <f>'EGRESOS DETALLADO'!K75</f>
        <v>1250</v>
      </c>
      <c r="E38" s="657">
        <f>'EGRESOS DETALLADO'!L75</f>
        <v>1250</v>
      </c>
      <c r="F38" s="657">
        <f>'EGRESOS DETALLADO'!M75</f>
        <v>6333.333333333333</v>
      </c>
      <c r="G38" s="657">
        <f>'EGRESOS DETALLADO'!N75</f>
        <v>2000</v>
      </c>
      <c r="H38" s="657">
        <f>'EGRESOS DETALLADO'!O75</f>
        <v>2800</v>
      </c>
      <c r="I38" s="657">
        <f>'EGRESOS DETALLADO'!P75</f>
        <v>8133.333333333333</v>
      </c>
      <c r="J38" s="657">
        <f>'EGRESOS DETALLADO'!Q75</f>
        <v>2800</v>
      </c>
      <c r="K38" s="657">
        <f>'EGRESOS DETALLADO'!R75</f>
        <v>2800</v>
      </c>
      <c r="L38" s="657">
        <f>'EGRESOS DETALLADO'!S75</f>
        <v>6300</v>
      </c>
      <c r="M38" s="657">
        <f>'EGRESOS DETALLADO'!T75</f>
        <v>2800</v>
      </c>
      <c r="N38" s="657">
        <f>'EGRESOS DETALLADO'!U75</f>
        <v>2800</v>
      </c>
      <c r="O38" s="657">
        <f>'EGRESOS DETALLADO'!V75</f>
        <v>6633.333333333333</v>
      </c>
      <c r="P38" s="657">
        <f>'EGRESOS DETALLADO'!W75</f>
        <v>2800</v>
      </c>
      <c r="Q38" s="657">
        <f>'EGRESOS DETALLADO'!X75</f>
        <v>2800</v>
      </c>
      <c r="R38" s="657">
        <f>'EGRESOS DETALLADO'!Y75</f>
        <v>2800</v>
      </c>
      <c r="S38" s="657">
        <f>'EGRESOS DETALLADO'!Z75</f>
        <v>2800</v>
      </c>
      <c r="T38" s="657">
        <f>'EGRESOS DETALLADO'!AA75</f>
        <v>6300</v>
      </c>
      <c r="U38" s="657">
        <f>'EGRESOS DETALLADO'!AB75</f>
        <v>4633.333333333333</v>
      </c>
      <c r="V38" s="657">
        <f>'EGRESOS DETALLADO'!AC75</f>
        <v>3300</v>
      </c>
      <c r="W38" s="657">
        <f>'EGRESOS DETALLADO'!AD75</f>
        <v>2800</v>
      </c>
      <c r="X38" s="657">
        <f>'EGRESOS DETALLADO'!AE75</f>
        <v>4633.333333333333</v>
      </c>
      <c r="Y38" s="657">
        <f>'EGRESOS DETALLADO'!AF75</f>
        <v>2800</v>
      </c>
      <c r="Z38" s="657">
        <f>'EGRESOS DETALLADO'!AG75</f>
        <v>4633.333333333333</v>
      </c>
      <c r="AA38" s="657">
        <f>'EGRESOS DETALLADO'!AH75</f>
        <v>2800</v>
      </c>
      <c r="AB38" s="657">
        <f>'EGRESOS DETALLADO'!AI75</f>
        <v>2800</v>
      </c>
      <c r="AC38" s="657">
        <f>'EGRESOS DETALLADO'!AJ75</f>
        <v>0</v>
      </c>
      <c r="AD38" s="657">
        <f>'EGRESOS DETALLADO'!AK75</f>
        <v>0</v>
      </c>
      <c r="AE38" s="657">
        <f>'EGRESOS DETALLADO'!AL75</f>
        <v>0</v>
      </c>
      <c r="AF38" s="657">
        <f>'EGRESOS DETALLADO'!AM75</f>
        <v>0</v>
      </c>
      <c r="AG38" s="657">
        <f>'EGRESOS DETALLADO'!AN75</f>
        <v>0</v>
      </c>
      <c r="AH38" s="914">
        <f>SUM(C38:AG38)</f>
        <v>91799.999999999985</v>
      </c>
      <c r="AI38" s="591">
        <f>'EGRESOS DETALLADO'!F75-'Flujo Egresos'!AH38</f>
        <v>0</v>
      </c>
      <c r="AJ38" s="479"/>
    </row>
    <row r="39" spans="1:36">
      <c r="A39" s="3"/>
      <c r="B39" s="90" t="s">
        <v>5</v>
      </c>
      <c r="C39" s="656">
        <f>'EGRESOS DETALLADO'!J63</f>
        <v>0</v>
      </c>
      <c r="D39" s="657">
        <f>'EGRESOS DETALLADO'!K63</f>
        <v>6500</v>
      </c>
      <c r="E39" s="657">
        <f>'EGRESOS DETALLADO'!L63</f>
        <v>6500</v>
      </c>
      <c r="F39" s="657">
        <f>'EGRESOS DETALLADO'!M63</f>
        <v>6500</v>
      </c>
      <c r="G39" s="657">
        <f>'EGRESOS DETALLADO'!N63</f>
        <v>6500</v>
      </c>
      <c r="H39" s="657">
        <f>'EGRESOS DETALLADO'!O63</f>
        <v>6500</v>
      </c>
      <c r="I39" s="657">
        <f>'EGRESOS DETALLADO'!P63</f>
        <v>6500</v>
      </c>
      <c r="J39" s="657">
        <f>'EGRESOS DETALLADO'!Q63</f>
        <v>6500</v>
      </c>
      <c r="K39" s="657">
        <f>'EGRESOS DETALLADO'!R63</f>
        <v>6500</v>
      </c>
      <c r="L39" s="657">
        <f>'EGRESOS DETALLADO'!S63</f>
        <v>6500</v>
      </c>
      <c r="M39" s="657">
        <f>'EGRESOS DETALLADO'!T63</f>
        <v>6500</v>
      </c>
      <c r="N39" s="657">
        <f>'EGRESOS DETALLADO'!U63</f>
        <v>6500</v>
      </c>
      <c r="O39" s="657">
        <f>'EGRESOS DETALLADO'!V63</f>
        <v>6500</v>
      </c>
      <c r="P39" s="657">
        <f>'EGRESOS DETALLADO'!W63</f>
        <v>6500</v>
      </c>
      <c r="Q39" s="657">
        <f>'EGRESOS DETALLADO'!X63</f>
        <v>6500</v>
      </c>
      <c r="R39" s="657">
        <f>'EGRESOS DETALLADO'!Y63</f>
        <v>6500</v>
      </c>
      <c r="S39" s="657">
        <f>'EGRESOS DETALLADO'!Z63</f>
        <v>6500</v>
      </c>
      <c r="T39" s="657">
        <f>'EGRESOS DETALLADO'!AA63</f>
        <v>6500</v>
      </c>
      <c r="U39" s="657">
        <f>'EGRESOS DETALLADO'!AB63</f>
        <v>6500</v>
      </c>
      <c r="V39" s="657">
        <f>'EGRESOS DETALLADO'!AC63</f>
        <v>6500</v>
      </c>
      <c r="W39" s="657">
        <f>'EGRESOS DETALLADO'!AD63</f>
        <v>6500</v>
      </c>
      <c r="X39" s="657">
        <f>'EGRESOS DETALLADO'!AE63</f>
        <v>6500</v>
      </c>
      <c r="Y39" s="657">
        <f>'EGRESOS DETALLADO'!AF63</f>
        <v>6500</v>
      </c>
      <c r="Z39" s="657">
        <f>'EGRESOS DETALLADO'!AG63</f>
        <v>6500</v>
      </c>
      <c r="AA39" s="657">
        <f>'EGRESOS DETALLADO'!AH63</f>
        <v>6500</v>
      </c>
      <c r="AB39" s="657">
        <f>'EGRESOS DETALLADO'!AI63</f>
        <v>6500</v>
      </c>
      <c r="AC39" s="657">
        <f>'EGRESOS DETALLADO'!AJ63</f>
        <v>0</v>
      </c>
      <c r="AD39" s="657">
        <f>'EGRESOS DETALLADO'!AK63</f>
        <v>0</v>
      </c>
      <c r="AE39" s="657">
        <f>'EGRESOS DETALLADO'!AL63</f>
        <v>0</v>
      </c>
      <c r="AF39" s="657">
        <f>'EGRESOS DETALLADO'!AM63</f>
        <v>0</v>
      </c>
      <c r="AG39" s="657">
        <f>'EGRESOS DETALLADO'!AN63</f>
        <v>0</v>
      </c>
      <c r="AH39" s="914">
        <f>SUM(C39:AG39)</f>
        <v>162500</v>
      </c>
      <c r="AI39" s="591">
        <f>'EGRESOS DETALLADO'!F63-'Flujo Egresos'!AH39</f>
        <v>0</v>
      </c>
      <c r="AJ39" s="479"/>
    </row>
    <row r="40" spans="1:36" ht="13.5" thickBot="1">
      <c r="A40" s="3"/>
      <c r="B40" s="680" t="s">
        <v>37</v>
      </c>
      <c r="C40" s="918">
        <f>'EGRESOS DETALLADO'!J83</f>
        <v>0</v>
      </c>
      <c r="D40" s="919">
        <f>'EGRESOS DETALLADO'!K83</f>
        <v>0</v>
      </c>
      <c r="E40" s="919">
        <f>'EGRESOS DETALLADO'!L83</f>
        <v>800</v>
      </c>
      <c r="F40" s="919">
        <f>'EGRESOS DETALLADO'!M83</f>
        <v>0</v>
      </c>
      <c r="G40" s="919">
        <f>'EGRESOS DETALLADO'!N83</f>
        <v>0</v>
      </c>
      <c r="H40" s="919">
        <f>'EGRESOS DETALLADO'!O83</f>
        <v>0</v>
      </c>
      <c r="I40" s="919">
        <f>'EGRESOS DETALLADO'!P83</f>
        <v>21186.440677966104</v>
      </c>
      <c r="J40" s="919">
        <f>'EGRESOS DETALLADO'!Q83</f>
        <v>0</v>
      </c>
      <c r="K40" s="919">
        <f>'EGRESOS DETALLADO'!R83</f>
        <v>0</v>
      </c>
      <c r="L40" s="919">
        <f>'EGRESOS DETALLADO'!S83</f>
        <v>0</v>
      </c>
      <c r="M40" s="919">
        <f>'EGRESOS DETALLADO'!T83</f>
        <v>400</v>
      </c>
      <c r="N40" s="919">
        <f>'EGRESOS DETALLADO'!U83</f>
        <v>400</v>
      </c>
      <c r="O40" s="919">
        <f>'EGRESOS DETALLADO'!V83</f>
        <v>400</v>
      </c>
      <c r="P40" s="919">
        <f>'EGRESOS DETALLADO'!W83</f>
        <v>400</v>
      </c>
      <c r="Q40" s="919">
        <f>'EGRESOS DETALLADO'!X83</f>
        <v>400</v>
      </c>
      <c r="R40" s="919">
        <f>'EGRESOS DETALLADO'!Y83</f>
        <v>400</v>
      </c>
      <c r="S40" s="919">
        <f>'EGRESOS DETALLADO'!Z83</f>
        <v>400</v>
      </c>
      <c r="T40" s="919">
        <f>'EGRESOS DETALLADO'!AA83</f>
        <v>400</v>
      </c>
      <c r="U40" s="919">
        <f>'EGRESOS DETALLADO'!AB83</f>
        <v>400</v>
      </c>
      <c r="V40" s="919">
        <f>'EGRESOS DETALLADO'!AC83</f>
        <v>400</v>
      </c>
      <c r="W40" s="919">
        <f>'EGRESOS DETALLADO'!AD83</f>
        <v>400</v>
      </c>
      <c r="X40" s="919">
        <f>'EGRESOS DETALLADO'!AE83</f>
        <v>400</v>
      </c>
      <c r="Y40" s="919">
        <f>'EGRESOS DETALLADO'!AF83</f>
        <v>400</v>
      </c>
      <c r="Z40" s="919">
        <f>'EGRESOS DETALLADO'!AG83</f>
        <v>400</v>
      </c>
      <c r="AA40" s="919">
        <f>'EGRESOS DETALLADO'!AH83</f>
        <v>400</v>
      </c>
      <c r="AB40" s="919">
        <f>'EGRESOS DETALLADO'!AI83</f>
        <v>59799.328522877535</v>
      </c>
      <c r="AC40" s="919">
        <f>'EGRESOS DETALLADO'!AJ83</f>
        <v>0</v>
      </c>
      <c r="AD40" s="919">
        <f>'EGRESOS DETALLADO'!AK83</f>
        <v>0</v>
      </c>
      <c r="AE40" s="919">
        <f>'EGRESOS DETALLADO'!AL83</f>
        <v>0</v>
      </c>
      <c r="AF40" s="919">
        <f>'EGRESOS DETALLADO'!AM83</f>
        <v>0</v>
      </c>
      <c r="AG40" s="919">
        <f>'EGRESOS DETALLADO'!AN83</f>
        <v>0</v>
      </c>
      <c r="AH40" s="920">
        <f>SUM(C40:AG40)</f>
        <v>87785.769200843642</v>
      </c>
      <c r="AI40" s="591">
        <f>'EGRESOS DETALLADO'!F83-'Flujo Egresos'!AH40</f>
        <v>0</v>
      </c>
      <c r="AJ40" s="479"/>
    </row>
    <row r="41" spans="1:36" ht="13.5" thickBot="1">
      <c r="A41" s="8"/>
      <c r="B41" s="481" t="s">
        <v>457</v>
      </c>
      <c r="C41" s="481">
        <f t="shared" ref="C41:AH41" si="1">SUM(C23:C40)</f>
        <v>24362.284</v>
      </c>
      <c r="D41" s="81">
        <f t="shared" si="1"/>
        <v>22555.71</v>
      </c>
      <c r="E41" s="81">
        <f t="shared" si="1"/>
        <v>14133.426000000001</v>
      </c>
      <c r="F41" s="81">
        <f t="shared" si="1"/>
        <v>204676.70933333336</v>
      </c>
      <c r="G41" s="81">
        <f t="shared" si="1"/>
        <v>18705.139000000003</v>
      </c>
      <c r="H41" s="81">
        <f t="shared" si="1"/>
        <v>1248127.7310289389</v>
      </c>
      <c r="I41" s="81">
        <f t="shared" si="1"/>
        <v>49778.339011299438</v>
      </c>
      <c r="J41" s="81">
        <f t="shared" si="1"/>
        <v>9300</v>
      </c>
      <c r="K41" s="81">
        <f t="shared" si="1"/>
        <v>159300</v>
      </c>
      <c r="L41" s="81">
        <f t="shared" si="1"/>
        <v>54807.296520000004</v>
      </c>
      <c r="M41" s="81">
        <f t="shared" si="1"/>
        <v>49788.219733333339</v>
      </c>
      <c r="N41" s="81">
        <f t="shared" si="1"/>
        <v>206432.45573333331</v>
      </c>
      <c r="O41" s="81">
        <f t="shared" si="1"/>
        <v>188761.78906666665</v>
      </c>
      <c r="P41" s="81">
        <f t="shared" si="1"/>
        <v>144840.236</v>
      </c>
      <c r="Q41" s="81">
        <f t="shared" si="1"/>
        <v>338898.63013333338</v>
      </c>
      <c r="R41" s="81">
        <f t="shared" si="1"/>
        <v>301599.01813333336</v>
      </c>
      <c r="S41" s="81">
        <f t="shared" si="1"/>
        <v>333190.24213333341</v>
      </c>
      <c r="T41" s="81">
        <f t="shared" si="1"/>
        <v>336690.24213333341</v>
      </c>
      <c r="U41" s="81">
        <f t="shared" si="1"/>
        <v>499629.47146666673</v>
      </c>
      <c r="V41" s="81">
        <f t="shared" si="1"/>
        <v>498296.13813333341</v>
      </c>
      <c r="W41" s="81">
        <f t="shared" si="1"/>
        <v>353900.2928</v>
      </c>
      <c r="X41" s="81">
        <f t="shared" si="1"/>
        <v>287973.62613333331</v>
      </c>
      <c r="Y41" s="81">
        <f t="shared" si="1"/>
        <v>262536.84479999996</v>
      </c>
      <c r="Z41" s="81">
        <f t="shared" si="1"/>
        <v>284222.17813333333</v>
      </c>
      <c r="AA41" s="81">
        <f t="shared" si="1"/>
        <v>29605</v>
      </c>
      <c r="AB41" s="81">
        <f t="shared" si="1"/>
        <v>609184.32852287753</v>
      </c>
      <c r="AC41" s="81">
        <f t="shared" si="1"/>
        <v>1000</v>
      </c>
      <c r="AD41" s="81">
        <f t="shared" si="1"/>
        <v>0</v>
      </c>
      <c r="AE41" s="81">
        <f t="shared" si="1"/>
        <v>0</v>
      </c>
      <c r="AF41" s="81">
        <f t="shared" si="1"/>
        <v>0</v>
      </c>
      <c r="AG41" s="81">
        <f t="shared" si="1"/>
        <v>0</v>
      </c>
      <c r="AH41" s="910">
        <f t="shared" si="1"/>
        <v>6532295.3479497833</v>
      </c>
      <c r="AI41" s="363">
        <f>'EGRESOS DETALLADO'!F95-AH41</f>
        <v>0</v>
      </c>
      <c r="AJ41" s="363"/>
    </row>
    <row r="42" spans="1:36" ht="13.5" thickBot="1">
      <c r="A42" s="8"/>
      <c r="B42" s="481" t="s">
        <v>3</v>
      </c>
      <c r="C42" s="911">
        <f>'EGRESOS DETALLADO'!J93</f>
        <v>760.01112000000012</v>
      </c>
      <c r="D42" s="912">
        <f>'EGRESOS DETALLADO'!K93</f>
        <v>2530.0277999999998</v>
      </c>
      <c r="E42" s="912">
        <f>'EGRESOS DETALLADO'!L93</f>
        <v>1374.0166800000002</v>
      </c>
      <c r="F42" s="912">
        <f>'EGRESOS DETALLADO'!M93</f>
        <v>1785.01668</v>
      </c>
      <c r="G42" s="912">
        <f>'EGRESOS DETALLADO'!N93</f>
        <v>1809.9250200000001</v>
      </c>
      <c r="H42" s="912">
        <f>'EGRESOS DETALLADO'!O93</f>
        <v>1038.384</v>
      </c>
      <c r="I42" s="912">
        <f>'EGRESOS DETALLADO'!P93</f>
        <v>7286.1010220338958</v>
      </c>
      <c r="J42" s="912">
        <f>'EGRESOS DETALLADO'!Q93</f>
        <v>0</v>
      </c>
      <c r="K42" s="912">
        <f>'EGRESOS DETALLADO'!R93</f>
        <v>0</v>
      </c>
      <c r="L42" s="912">
        <f>'EGRESOS DETALLADO'!S93</f>
        <v>1891.3133736000002</v>
      </c>
      <c r="M42" s="912">
        <f>'EGRESOS DETALLADO'!T93</f>
        <v>7287.8795520000003</v>
      </c>
      <c r="N42" s="912">
        <f>'EGRESOS DETALLADO'!U93</f>
        <v>35483.842031999993</v>
      </c>
      <c r="O42" s="912">
        <f>'EGRESOS DETALLADO'!V93</f>
        <v>32303.122031999996</v>
      </c>
      <c r="P42" s="912">
        <f>'EGRESOS DETALLADO'!W93</f>
        <v>24397.242480000001</v>
      </c>
      <c r="Q42" s="912">
        <f>'EGRESOS DETALLADO'!X93</f>
        <v>59327.753423999995</v>
      </c>
      <c r="R42" s="912">
        <f>'EGRESOS DETALLADO'!Y93</f>
        <v>52613.823264000006</v>
      </c>
      <c r="S42" s="912">
        <f>'EGRESOS DETALLADO'!Z93</f>
        <v>58300.243584000003</v>
      </c>
      <c r="T42" s="912">
        <f>'EGRESOS DETALLADO'!AA93</f>
        <v>58930.243584000003</v>
      </c>
      <c r="U42" s="912">
        <f>'EGRESOS DETALLADO'!AB93</f>
        <v>88259.304864000005</v>
      </c>
      <c r="V42" s="912">
        <f>'EGRESOS DETALLADO'!AC93</f>
        <v>88019.304864000005</v>
      </c>
      <c r="W42" s="912">
        <f>'EGRESOS DETALLADO'!AD93</f>
        <v>62028.052703999994</v>
      </c>
      <c r="X42" s="912">
        <f>'EGRESOS DETALLADO'!AE93</f>
        <v>50161.252703999999</v>
      </c>
      <c r="Y42" s="912">
        <f>'EGRESOS DETALLADO'!AF93</f>
        <v>43620.632063999998</v>
      </c>
      <c r="Z42" s="912">
        <f>'EGRESOS DETALLADO'!AG93</f>
        <v>48405.992064000005</v>
      </c>
      <c r="AA42" s="912">
        <f>'EGRESOS DETALLADO'!AH93</f>
        <v>2934.9</v>
      </c>
      <c r="AB42" s="912">
        <f>'EGRESOS DETALLADO'!AI93</f>
        <v>9352.2452212395674</v>
      </c>
      <c r="AC42" s="912">
        <f>'EGRESOS DETALLADO'!AJ93</f>
        <v>0</v>
      </c>
      <c r="AD42" s="912">
        <f>'EGRESOS DETALLADO'!AK93</f>
        <v>0</v>
      </c>
      <c r="AE42" s="912">
        <f>'EGRESOS DETALLADO'!AL93</f>
        <v>0</v>
      </c>
      <c r="AF42" s="912">
        <f>'EGRESOS DETALLADO'!AM93</f>
        <v>0</v>
      </c>
      <c r="AG42" s="912">
        <f>'EGRESOS DETALLADO'!AN93</f>
        <v>0</v>
      </c>
      <c r="AH42" s="913">
        <f>SUM(C42:AG42)</f>
        <v>739900.63013287343</v>
      </c>
      <c r="AI42" s="363">
        <f>'EGRESOS DETALLADO'!G95-AH42</f>
        <v>0</v>
      </c>
    </row>
    <row r="43" spans="1:36" ht="13.5" thickBot="1">
      <c r="A43" s="8"/>
      <c r="B43" s="481" t="s">
        <v>511</v>
      </c>
      <c r="C43" s="911">
        <f t="shared" ref="C43:P43" si="2">C41+C42</f>
        <v>25122.295119999999</v>
      </c>
      <c r="D43" s="912">
        <f t="shared" si="2"/>
        <v>25085.737799999999</v>
      </c>
      <c r="E43" s="912">
        <f t="shared" ref="E43:I43" si="3">E41+E42</f>
        <v>15507.442680000002</v>
      </c>
      <c r="F43" s="912">
        <f t="shared" si="3"/>
        <v>206461.72601333336</v>
      </c>
      <c r="G43" s="912">
        <f t="shared" si="3"/>
        <v>20515.064020000002</v>
      </c>
      <c r="H43" s="912">
        <f t="shared" si="3"/>
        <v>1249166.115028939</v>
      </c>
      <c r="I43" s="912">
        <f t="shared" si="3"/>
        <v>57064.440033333332</v>
      </c>
      <c r="J43" s="912">
        <f t="shared" si="2"/>
        <v>9300</v>
      </c>
      <c r="K43" s="912">
        <f t="shared" si="2"/>
        <v>159300</v>
      </c>
      <c r="L43" s="912">
        <f t="shared" si="2"/>
        <v>56698.609893600005</v>
      </c>
      <c r="M43" s="912">
        <f t="shared" si="2"/>
        <v>57076.099285333337</v>
      </c>
      <c r="N43" s="912">
        <f t="shared" si="2"/>
        <v>241916.29776533329</v>
      </c>
      <c r="O43" s="912">
        <f t="shared" si="2"/>
        <v>221064.91109866663</v>
      </c>
      <c r="P43" s="912">
        <f t="shared" si="2"/>
        <v>169237.47847999999</v>
      </c>
      <c r="Q43" s="912">
        <f>Q41+Q42</f>
        <v>398226.38355733338</v>
      </c>
      <c r="R43" s="912">
        <f t="shared" ref="R43:S43" si="4">R41+R42</f>
        <v>354212.84139733337</v>
      </c>
      <c r="S43" s="912">
        <f t="shared" si="4"/>
        <v>391490.48571733339</v>
      </c>
      <c r="T43" s="912">
        <f t="shared" ref="T43:AG43" si="5">T41+T42</f>
        <v>395620.48571733339</v>
      </c>
      <c r="U43" s="912">
        <f t="shared" si="5"/>
        <v>587888.77633066673</v>
      </c>
      <c r="V43" s="912">
        <f t="shared" si="5"/>
        <v>586315.44299733336</v>
      </c>
      <c r="W43" s="912">
        <f t="shared" si="5"/>
        <v>415928.34550399997</v>
      </c>
      <c r="X43" s="912">
        <f t="shared" si="5"/>
        <v>338134.87883733329</v>
      </c>
      <c r="Y43" s="912">
        <f t="shared" si="5"/>
        <v>306157.47686399997</v>
      </c>
      <c r="Z43" s="912">
        <f t="shared" si="5"/>
        <v>332628.17019733333</v>
      </c>
      <c r="AA43" s="912">
        <f t="shared" si="5"/>
        <v>32539.9</v>
      </c>
      <c r="AB43" s="912">
        <f t="shared" si="5"/>
        <v>618536.57374411705</v>
      </c>
      <c r="AC43" s="912">
        <f t="shared" si="5"/>
        <v>1000</v>
      </c>
      <c r="AD43" s="912">
        <f t="shared" si="5"/>
        <v>0</v>
      </c>
      <c r="AE43" s="912">
        <f t="shared" si="5"/>
        <v>0</v>
      </c>
      <c r="AF43" s="912">
        <f t="shared" si="5"/>
        <v>0</v>
      </c>
      <c r="AG43" s="912">
        <f t="shared" si="5"/>
        <v>0</v>
      </c>
      <c r="AH43" s="913">
        <f>SUM(C43:AG43)</f>
        <v>7272195.9780826569</v>
      </c>
      <c r="AI43" s="363">
        <f>'EGRESOS DETALLADO'!H95-AH43</f>
        <v>0</v>
      </c>
    </row>
    <row r="45" spans="1:36">
      <c r="B45" s="649"/>
      <c r="M45" s="650"/>
      <c r="N45" s="363"/>
      <c r="O45" s="363"/>
      <c r="P45" s="363"/>
      <c r="Q45" s="363"/>
      <c r="R45" s="363"/>
      <c r="S45" s="363"/>
      <c r="T45" s="363"/>
      <c r="U45" s="363"/>
      <c r="V45" s="363"/>
      <c r="W45" s="363"/>
      <c r="X45" s="363"/>
      <c r="Y45" s="363"/>
      <c r="Z45" s="363"/>
      <c r="AA45" s="363"/>
      <c r="AB45" s="363"/>
      <c r="AC45" s="363"/>
      <c r="AD45" s="363"/>
      <c r="AE45" s="363"/>
      <c r="AF45" s="363"/>
      <c r="AG45" s="363"/>
    </row>
    <row r="48" spans="1:36">
      <c r="AD48" s="516"/>
    </row>
    <row r="49" spans="2:30">
      <c r="B49" s="516"/>
      <c r="AD49" s="516"/>
    </row>
    <row r="50" spans="2:30">
      <c r="AD50" s="516"/>
    </row>
  </sheetData>
  <phoneticPr fontId="24" type="noConversion"/>
  <printOptions verticalCentered="1"/>
  <pageMargins left="1.3779527559055118" right="0.98425196850393704" top="1.5748031496062993" bottom="0.98425196850393704" header="0" footer="0"/>
  <pageSetup paperSize="8" scale="38" orientation="landscape" r:id="rId1"/>
  <headerFooter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6</vt:i4>
      </vt:variant>
    </vt:vector>
  </HeadingPairs>
  <TitlesOfParts>
    <vt:vector size="16" baseType="lpstr">
      <vt:lpstr>INFO PROYECTO</vt:lpstr>
      <vt:lpstr>Estudio de Ejemplo</vt:lpstr>
      <vt:lpstr>CUADRO DE VENTAS</vt:lpstr>
      <vt:lpstr>CONSTRUCCION</vt:lpstr>
      <vt:lpstr>CRONOG VALORIZADO DE OBRA</vt:lpstr>
      <vt:lpstr>EGRESOS DETALLADO</vt:lpstr>
      <vt:lpstr>ESTRUCTURA FIN</vt:lpstr>
      <vt:lpstr>Flujo Ingresos</vt:lpstr>
      <vt:lpstr>Flujo Egresos</vt:lpstr>
      <vt:lpstr>FC 1</vt:lpstr>
      <vt:lpstr>'CUADRO DE VENTAS'!Área_de_impresión</vt:lpstr>
      <vt:lpstr>'EGRESOS DETALLADO'!Área_de_impresión</vt:lpstr>
      <vt:lpstr>'FC 1'!Área_de_impresión</vt:lpstr>
      <vt:lpstr>'Flujo Egresos'!Área_de_impresión</vt:lpstr>
      <vt:lpstr>'Flujo Ingresos'!Área_de_impresión</vt:lpstr>
      <vt:lpstr>'EGRESOS DETALLADO'!Títulos_a_imprimir</vt:lpstr>
    </vt:vector>
  </TitlesOfParts>
  <Company>BANCO WIESE SUDAMERIS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BANCO WIESE SUDAMERIS</dc:creator>
  <cp:lastModifiedBy>Computer</cp:lastModifiedBy>
  <cp:lastPrinted>2016-03-17T00:38:01Z</cp:lastPrinted>
  <dcterms:created xsi:type="dcterms:W3CDTF">2003-09-29T20:27:21Z</dcterms:created>
  <dcterms:modified xsi:type="dcterms:W3CDTF">2016-03-17T00:51:42Z</dcterms:modified>
</cp:coreProperties>
</file>