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 showInkAnnotation="0"/>
  <mc:AlternateContent xmlns:mc="http://schemas.openxmlformats.org/markup-compatibility/2006">
    <mc:Choice Requires="x15">
      <x15ac:absPath xmlns:x15ac="http://schemas.microsoft.com/office/spreadsheetml/2010/11/ac" url="/Users/saulvasquezaranda/Documents/Documentos - MacBook Air de Saúl/Tesis/"/>
    </mc:Choice>
  </mc:AlternateContent>
  <bookViews>
    <workbookView xWindow="0" yWindow="460" windowWidth="28800" windowHeight="16220" tabRatio="868"/>
  </bookViews>
  <sheets>
    <sheet name="Población Histórica Iquitos" sheetId="1" r:id="rId1"/>
    <sheet name="Regresión 1" sheetId="21" r:id="rId2"/>
    <sheet name="Hogares que utilizan" sheetId="2" r:id="rId3"/>
    <sheet name="PBI" sheetId="50" r:id="rId4"/>
    <sheet name="Licencias " sheetId="3" r:id="rId5"/>
    <sheet name="# de locales" sheetId="51" r:id="rId6"/>
    <sheet name="# de locales (2)" sheetId="53" r:id="rId7"/>
    <sheet name="Segmentación" sheetId="5" r:id="rId8"/>
    <sheet name="Proyección población" sheetId="7" r:id="rId9"/>
    <sheet name="Regresión 2" sheetId="11" r:id="rId10"/>
    <sheet name="De personas a hogares" sheetId="6" r:id="rId11"/>
    <sheet name="Demanda por hogar" sheetId="12" r:id="rId12"/>
    <sheet name="Demanda del proyecto" sheetId="25" r:id="rId13"/>
    <sheet name="Proyección oferta Llamagas" sheetId="13" r:id="rId14"/>
    <sheet name="Oferta Solgas Tarapoto" sheetId="45" r:id="rId15"/>
    <sheet name="Proyección oferta Solgas TPP" sheetId="46" r:id="rId16"/>
    <sheet name="Regresión 3" sheetId="47" r:id="rId17"/>
    <sheet name="EFI y EFE" sheetId="14" r:id="rId18"/>
    <sheet name="E-I" sheetId="15" r:id="rId19"/>
    <sheet name="FODA" sheetId="16" r:id="rId20"/>
    <sheet name="Matriz de enfrentamiento" sheetId="22" r:id="rId21"/>
    <sheet name="Terrenos" sheetId="23" r:id="rId22"/>
    <sheet name="Vehículos" sheetId="24" r:id="rId23"/>
    <sheet name="Insumos" sheetId="27" r:id="rId24"/>
    <sheet name="Diagrama de Flujo" sheetId="29" r:id="rId25"/>
    <sheet name="Capacidad de abastecimiento" sheetId="30" r:id="rId26"/>
    <sheet name="Tarifa Sedaloreto" sheetId="28" r:id="rId27"/>
    <sheet name="Requerimientos de personal" sheetId="31" r:id="rId28"/>
    <sheet name="Terrenos y obras civiles" sheetId="32" r:id="rId29"/>
    <sheet name="Equipamiento" sheetId="26" r:id="rId30"/>
    <sheet name="Inversión Activos Tangibles" sheetId="34" r:id="rId31"/>
    <sheet name="Inversión Activos Intangibles" sheetId="35" r:id="rId32"/>
    <sheet name="Capital de trabajo" sheetId="33" r:id="rId33"/>
    <sheet name="Capital de trabajo (2)" sheetId="52" r:id="rId34"/>
    <sheet name="Inversión total" sheetId="36" r:id="rId35"/>
    <sheet name="Alternativas de financiamiento" sheetId="37" r:id="rId36"/>
    <sheet name="Servicios" sheetId="39" r:id="rId37"/>
    <sheet name="Presupuestos" sheetId="38" r:id="rId38"/>
    <sheet name="Estado de resultados" sheetId="40" r:id="rId39"/>
    <sheet name="Punto EQ" sheetId="42" r:id="rId40"/>
    <sheet name="Flujo de caja" sheetId="41" r:id="rId41"/>
    <sheet name="COK - WACC" sheetId="43" r:id="rId42"/>
    <sheet name="PRI" sheetId="44" r:id="rId43"/>
    <sheet name="Análisis de Sensibilidad" sheetId="49" r:id="rId44"/>
  </sheets>
  <definedNames>
    <definedName name="_xlnm._FilterDatabase" localSheetId="5" hidden="1">'# de locales'!$B$2:$I$34</definedName>
    <definedName name="_xlnm._FilterDatabase" localSheetId="6" hidden="1">'# de locales (2)'!$B$2:$H$40</definedName>
    <definedName name="_xlnm._FilterDatabase" localSheetId="2" hidden="1">'Hogares que utilizan'!$N$2:$O$2</definedName>
    <definedName name="_xlnm._FilterDatabase" localSheetId="4" hidden="1">'Licencias '!$B$2:$F$3683</definedName>
    <definedName name="_xlnm._FilterDatabase" localSheetId="15" hidden="1">'Proyección oferta Solgas TPP'!$C$20:$H$22</definedName>
  </definedNames>
  <calcPr calcId="150001" concurrentCalc="0"/>
  <pivotCaches>
    <pivotCache cacheId="0" r:id="rId45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6" i="50" l="1"/>
  <c r="D34" i="50"/>
  <c r="D35" i="50"/>
  <c r="D36" i="50"/>
  <c r="D37" i="50"/>
  <c r="D38" i="50"/>
  <c r="D39" i="50"/>
  <c r="D40" i="50"/>
  <c r="D41" i="50"/>
  <c r="D42" i="50"/>
  <c r="D43" i="50"/>
  <c r="D44" i="50"/>
  <c r="D45" i="50"/>
  <c r="C3" i="33"/>
  <c r="C17" i="33"/>
  <c r="C20" i="33"/>
  <c r="C20" i="52"/>
  <c r="C19" i="33"/>
  <c r="C19" i="52"/>
  <c r="K3" i="52"/>
  <c r="M4" i="53"/>
  <c r="L43" i="38"/>
  <c r="D15" i="43"/>
  <c r="K3" i="33"/>
  <c r="D18" i="43"/>
  <c r="C38" i="23"/>
  <c r="E38" i="23"/>
  <c r="D38" i="23"/>
  <c r="F10" i="39"/>
  <c r="F11" i="39"/>
  <c r="G10" i="39"/>
  <c r="G11" i="39"/>
  <c r="H10" i="39"/>
  <c r="H11" i="39"/>
  <c r="I10" i="39"/>
  <c r="I11" i="39"/>
  <c r="J10" i="39"/>
  <c r="J11" i="39"/>
  <c r="H45" i="31"/>
  <c r="I9" i="27"/>
  <c r="I12" i="27"/>
  <c r="I15" i="27"/>
  <c r="J15" i="27"/>
  <c r="J6" i="27"/>
  <c r="K6" i="27"/>
  <c r="L6" i="27"/>
  <c r="M6" i="27"/>
  <c r="N6" i="27"/>
  <c r="J9" i="27"/>
  <c r="K9" i="27"/>
  <c r="L9" i="27"/>
  <c r="M9" i="27"/>
  <c r="N9" i="27"/>
  <c r="J12" i="27"/>
  <c r="K12" i="27"/>
  <c r="L12" i="27"/>
  <c r="M12" i="27"/>
  <c r="C20" i="50"/>
  <c r="D5" i="50"/>
  <c r="D6" i="50"/>
  <c r="D7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T8" i="31"/>
  <c r="E10" i="31"/>
  <c r="N10" i="31"/>
  <c r="S10" i="31"/>
  <c r="F10" i="31"/>
  <c r="L10" i="31"/>
  <c r="R10" i="31"/>
  <c r="H10" i="31"/>
  <c r="I10" i="31"/>
  <c r="J10" i="31"/>
  <c r="K10" i="31"/>
  <c r="M10" i="31"/>
  <c r="O10" i="31"/>
  <c r="P10" i="31"/>
  <c r="Q10" i="31"/>
  <c r="E9" i="31"/>
  <c r="N9" i="31"/>
  <c r="S9" i="31"/>
  <c r="F9" i="31"/>
  <c r="L9" i="31"/>
  <c r="R9" i="31"/>
  <c r="H9" i="31"/>
  <c r="I9" i="31"/>
  <c r="J9" i="31"/>
  <c r="K9" i="31"/>
  <c r="M9" i="31"/>
  <c r="O9" i="31"/>
  <c r="P9" i="31"/>
  <c r="Q9" i="31"/>
  <c r="E8" i="31"/>
  <c r="N8" i="31"/>
  <c r="S8" i="31"/>
  <c r="F8" i="31"/>
  <c r="L8" i="31"/>
  <c r="R8" i="31"/>
  <c r="H8" i="31"/>
  <c r="I8" i="31"/>
  <c r="J8" i="31"/>
  <c r="K8" i="31"/>
  <c r="M8" i="31"/>
  <c r="O8" i="31"/>
  <c r="P8" i="31"/>
  <c r="Q8" i="31"/>
  <c r="E7" i="31"/>
  <c r="N7" i="31"/>
  <c r="S7" i="31"/>
  <c r="F7" i="31"/>
  <c r="L7" i="31"/>
  <c r="R7" i="31"/>
  <c r="H7" i="31"/>
  <c r="I7" i="31"/>
  <c r="J7" i="31"/>
  <c r="K7" i="31"/>
  <c r="M7" i="31"/>
  <c r="O7" i="31"/>
  <c r="P7" i="31"/>
  <c r="Q7" i="31"/>
  <c r="E6" i="31"/>
  <c r="N6" i="31"/>
  <c r="S6" i="31"/>
  <c r="F6" i="31"/>
  <c r="L6" i="31"/>
  <c r="R6" i="31"/>
  <c r="H6" i="31"/>
  <c r="I6" i="31"/>
  <c r="J6" i="31"/>
  <c r="K6" i="31"/>
  <c r="M6" i="31"/>
  <c r="O6" i="31"/>
  <c r="P6" i="31"/>
  <c r="Q6" i="31"/>
  <c r="E5" i="31"/>
  <c r="N5" i="31"/>
  <c r="S5" i="31"/>
  <c r="F5" i="31"/>
  <c r="L5" i="31"/>
  <c r="R5" i="31"/>
  <c r="H5" i="31"/>
  <c r="I5" i="31"/>
  <c r="J5" i="31"/>
  <c r="K5" i="31"/>
  <c r="M5" i="31"/>
  <c r="O5" i="31"/>
  <c r="P5" i="31"/>
  <c r="Q5" i="31"/>
  <c r="N12" i="27"/>
  <c r="S12" i="27"/>
  <c r="X12" i="27"/>
  <c r="S9" i="27"/>
  <c r="X9" i="27"/>
  <c r="S6" i="27"/>
  <c r="X6" i="27"/>
  <c r="O15" i="27"/>
  <c r="P15" i="27"/>
  <c r="Q15" i="27"/>
  <c r="R15" i="27"/>
  <c r="S15" i="27"/>
  <c r="X15" i="27"/>
  <c r="X18" i="27"/>
  <c r="R12" i="27"/>
  <c r="W12" i="27"/>
  <c r="R9" i="27"/>
  <c r="W9" i="27"/>
  <c r="R6" i="27"/>
  <c r="W6" i="27"/>
  <c r="W15" i="27"/>
  <c r="W18" i="27"/>
  <c r="Q12" i="27"/>
  <c r="V12" i="27"/>
  <c r="Q9" i="27"/>
  <c r="V9" i="27"/>
  <c r="Q6" i="27"/>
  <c r="V6" i="27"/>
  <c r="V15" i="27"/>
  <c r="V18" i="27"/>
  <c r="P12" i="27"/>
  <c r="U12" i="27"/>
  <c r="P9" i="27"/>
  <c r="U9" i="27"/>
  <c r="P6" i="27"/>
  <c r="U6" i="27"/>
  <c r="U15" i="27"/>
  <c r="U18" i="27"/>
  <c r="O6" i="27"/>
  <c r="T6" i="27"/>
  <c r="O12" i="27"/>
  <c r="T12" i="27"/>
  <c r="O9" i="27"/>
  <c r="T9" i="27"/>
  <c r="T15" i="27"/>
  <c r="T18" i="27"/>
  <c r="L3" i="28"/>
  <c r="M3" i="28"/>
  <c r="N3" i="28"/>
  <c r="K3" i="28"/>
  <c r="C32" i="38"/>
  <c r="G33" i="38"/>
  <c r="F33" i="38"/>
  <c r="E33" i="38"/>
  <c r="D33" i="38"/>
  <c r="C33" i="38"/>
  <c r="E12" i="35"/>
  <c r="T3" i="35"/>
  <c r="J6" i="35"/>
  <c r="T4" i="35"/>
  <c r="O3" i="35"/>
  <c r="C19" i="35"/>
  <c r="O4" i="35"/>
  <c r="O5" i="35"/>
  <c r="O6" i="35"/>
  <c r="O7" i="35"/>
  <c r="T5" i="35"/>
  <c r="T6" i="35"/>
  <c r="E4" i="36"/>
  <c r="E14" i="36"/>
  <c r="H51" i="32"/>
  <c r="H52" i="32"/>
  <c r="H53" i="32"/>
  <c r="H54" i="32"/>
  <c r="H55" i="32"/>
  <c r="G57" i="32"/>
  <c r="H57" i="32"/>
  <c r="G58" i="32"/>
  <c r="H58" i="32"/>
  <c r="E126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G37" i="32"/>
  <c r="H37" i="32"/>
  <c r="G38" i="32"/>
  <c r="H38" i="32"/>
  <c r="H39" i="32"/>
  <c r="H40" i="32"/>
  <c r="H41" i="32"/>
  <c r="G42" i="32"/>
  <c r="H42" i="32"/>
  <c r="G43" i="32"/>
  <c r="H43" i="32"/>
  <c r="G44" i="32"/>
  <c r="H44" i="32"/>
  <c r="G45" i="32"/>
  <c r="H45" i="32"/>
  <c r="G46" i="32"/>
  <c r="H46" i="32"/>
  <c r="H47" i="32"/>
  <c r="E127" i="32"/>
  <c r="H62" i="32"/>
  <c r="H63" i="32"/>
  <c r="H64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E128" i="32"/>
  <c r="H121" i="32"/>
  <c r="E129" i="32"/>
  <c r="E130" i="32"/>
  <c r="E3" i="34"/>
  <c r="T4" i="32"/>
  <c r="T5" i="32"/>
  <c r="E4" i="34"/>
  <c r="G5" i="24"/>
  <c r="J5" i="24"/>
  <c r="L5" i="24"/>
  <c r="G8" i="24"/>
  <c r="J8" i="24"/>
  <c r="L8" i="24"/>
  <c r="L11" i="24"/>
  <c r="L17" i="24"/>
  <c r="E5" i="34"/>
  <c r="F24" i="26"/>
  <c r="F25" i="26"/>
  <c r="F26" i="26"/>
  <c r="F27" i="26"/>
  <c r="F28" i="26"/>
  <c r="F29" i="26"/>
  <c r="F30" i="26"/>
  <c r="F31" i="26"/>
  <c r="I3" i="26"/>
  <c r="E6" i="34"/>
  <c r="F35" i="26"/>
  <c r="F36" i="26"/>
  <c r="F37" i="26"/>
  <c r="F38" i="26"/>
  <c r="F39" i="26"/>
  <c r="F40" i="26"/>
  <c r="I4" i="26"/>
  <c r="E7" i="34"/>
  <c r="F44" i="26"/>
  <c r="F45" i="26"/>
  <c r="F46" i="26"/>
  <c r="F47" i="26"/>
  <c r="F48" i="26"/>
  <c r="F49" i="26"/>
  <c r="I5" i="26"/>
  <c r="E8" i="34"/>
  <c r="E9" i="34"/>
  <c r="E3" i="36"/>
  <c r="E6" i="36"/>
  <c r="E16" i="36"/>
  <c r="F13" i="36"/>
  <c r="F17" i="36"/>
  <c r="P4" i="38"/>
  <c r="L4" i="38"/>
  <c r="O4" i="38"/>
  <c r="N4" i="38"/>
  <c r="M4" i="38"/>
  <c r="L3" i="38"/>
  <c r="P3" i="38"/>
  <c r="O3" i="38"/>
  <c r="N3" i="38"/>
  <c r="M3" i="38"/>
  <c r="L12" i="38"/>
  <c r="P12" i="38"/>
  <c r="O12" i="38"/>
  <c r="N12" i="38"/>
  <c r="M12" i="38"/>
  <c r="C7" i="38"/>
  <c r="D23" i="41"/>
  <c r="D25" i="41"/>
  <c r="C43" i="38"/>
  <c r="C5" i="40"/>
  <c r="C6" i="40"/>
  <c r="D6" i="38"/>
  <c r="D7" i="38"/>
  <c r="E23" i="41"/>
  <c r="E25" i="41"/>
  <c r="D43" i="38"/>
  <c r="D5" i="40"/>
  <c r="D6" i="40"/>
  <c r="E6" i="38"/>
  <c r="E7" i="38"/>
  <c r="F23" i="41"/>
  <c r="F25" i="41"/>
  <c r="E43" i="38"/>
  <c r="E5" i="40"/>
  <c r="E6" i="40"/>
  <c r="F6" i="38"/>
  <c r="F7" i="38"/>
  <c r="G23" i="41"/>
  <c r="G25" i="41"/>
  <c r="F43" i="38"/>
  <c r="F5" i="40"/>
  <c r="F6" i="40"/>
  <c r="G6" i="38"/>
  <c r="G7" i="38"/>
  <c r="H23" i="41"/>
  <c r="S89" i="38"/>
  <c r="M89" i="38"/>
  <c r="C89" i="38"/>
  <c r="N89" i="38"/>
  <c r="D89" i="38"/>
  <c r="O89" i="38"/>
  <c r="E89" i="38"/>
  <c r="P89" i="38"/>
  <c r="F89" i="38"/>
  <c r="Q89" i="38"/>
  <c r="G89" i="38"/>
  <c r="H89" i="38"/>
  <c r="M90" i="38"/>
  <c r="N90" i="38"/>
  <c r="O90" i="38"/>
  <c r="P90" i="38"/>
  <c r="Q90" i="38"/>
  <c r="C90" i="38"/>
  <c r="D90" i="38"/>
  <c r="E90" i="38"/>
  <c r="F90" i="38"/>
  <c r="G90" i="38"/>
  <c r="H90" i="38"/>
  <c r="M91" i="38"/>
  <c r="N91" i="38"/>
  <c r="O91" i="38"/>
  <c r="P91" i="38"/>
  <c r="Q91" i="38"/>
  <c r="C91" i="38"/>
  <c r="D91" i="38"/>
  <c r="E91" i="38"/>
  <c r="F91" i="38"/>
  <c r="G91" i="38"/>
  <c r="H91" i="38"/>
  <c r="M92" i="38"/>
  <c r="N92" i="38"/>
  <c r="O92" i="38"/>
  <c r="P92" i="38"/>
  <c r="Q92" i="38"/>
  <c r="C92" i="38"/>
  <c r="D92" i="38"/>
  <c r="E92" i="38"/>
  <c r="F92" i="38"/>
  <c r="H92" i="38"/>
  <c r="H93" i="38"/>
  <c r="H24" i="41"/>
  <c r="H25" i="41"/>
  <c r="G43" i="38"/>
  <c r="G5" i="40"/>
  <c r="G6" i="40"/>
  <c r="C26" i="52"/>
  <c r="D19" i="52"/>
  <c r="D20" i="52"/>
  <c r="C33" i="52"/>
  <c r="D23" i="52"/>
  <c r="E23" i="52"/>
  <c r="F23" i="52"/>
  <c r="G23" i="52"/>
  <c r="H23" i="52"/>
  <c r="I23" i="52"/>
  <c r="J23" i="52"/>
  <c r="K23" i="52"/>
  <c r="L23" i="52"/>
  <c r="M23" i="52"/>
  <c r="N23" i="52"/>
  <c r="O23" i="52"/>
  <c r="P23" i="52"/>
  <c r="C3" i="52"/>
  <c r="E17" i="52"/>
  <c r="H11" i="31"/>
  <c r="D21" i="52"/>
  <c r="D3" i="39"/>
  <c r="F3" i="39"/>
  <c r="D4" i="39"/>
  <c r="F4" i="39"/>
  <c r="D5" i="39"/>
  <c r="F5" i="39"/>
  <c r="D6" i="39"/>
  <c r="F6" i="39"/>
  <c r="D7" i="39"/>
  <c r="F7" i="39"/>
  <c r="D8" i="39"/>
  <c r="F8" i="39"/>
  <c r="D9" i="39"/>
  <c r="F9" i="39"/>
  <c r="D22" i="52"/>
  <c r="O18" i="27"/>
  <c r="D24" i="52"/>
  <c r="C18" i="35"/>
  <c r="C20" i="35"/>
  <c r="C21" i="35"/>
  <c r="C22" i="35"/>
  <c r="D25" i="52"/>
  <c r="D26" i="52"/>
  <c r="D17" i="52"/>
  <c r="D18" i="52"/>
  <c r="D27" i="52"/>
  <c r="E20" i="52"/>
  <c r="E18" i="52"/>
  <c r="C27" i="52"/>
  <c r="C28" i="52"/>
  <c r="D28" i="52"/>
  <c r="C30" i="52"/>
  <c r="E30" i="52"/>
  <c r="E31" i="52"/>
  <c r="D30" i="52"/>
  <c r="D31" i="52"/>
  <c r="C31" i="52"/>
  <c r="I11" i="31"/>
  <c r="E21" i="52"/>
  <c r="E22" i="52"/>
  <c r="E24" i="52"/>
  <c r="D18" i="35"/>
  <c r="D19" i="35"/>
  <c r="D20" i="35"/>
  <c r="D21" i="35"/>
  <c r="D22" i="35"/>
  <c r="E25" i="52"/>
  <c r="F17" i="52"/>
  <c r="F18" i="52"/>
  <c r="F20" i="52"/>
  <c r="J11" i="31"/>
  <c r="F21" i="52"/>
  <c r="F22" i="52"/>
  <c r="F24" i="52"/>
  <c r="E18" i="35"/>
  <c r="E19" i="35"/>
  <c r="E20" i="35"/>
  <c r="E21" i="35"/>
  <c r="E22" i="35"/>
  <c r="F25" i="52"/>
  <c r="G17" i="52"/>
  <c r="G18" i="52"/>
  <c r="G20" i="52"/>
  <c r="K11" i="31"/>
  <c r="G21" i="52"/>
  <c r="G22" i="52"/>
  <c r="G24" i="52"/>
  <c r="F18" i="35"/>
  <c r="F19" i="35"/>
  <c r="F20" i="35"/>
  <c r="F21" i="35"/>
  <c r="F22" i="35"/>
  <c r="G25" i="52"/>
  <c r="H17" i="52"/>
  <c r="H18" i="52"/>
  <c r="H20" i="52"/>
  <c r="L11" i="31"/>
  <c r="H21" i="52"/>
  <c r="H22" i="52"/>
  <c r="H24" i="52"/>
  <c r="G18" i="35"/>
  <c r="G19" i="35"/>
  <c r="G20" i="35"/>
  <c r="G21" i="35"/>
  <c r="G22" i="35"/>
  <c r="H25" i="52"/>
  <c r="I17" i="52"/>
  <c r="I18" i="52"/>
  <c r="I20" i="52"/>
  <c r="M11" i="31"/>
  <c r="I21" i="52"/>
  <c r="I22" i="52"/>
  <c r="I24" i="52"/>
  <c r="H18" i="35"/>
  <c r="H19" i="35"/>
  <c r="H20" i="35"/>
  <c r="H21" i="35"/>
  <c r="H22" i="35"/>
  <c r="I25" i="52"/>
  <c r="J17" i="52"/>
  <c r="J18" i="52"/>
  <c r="J20" i="52"/>
  <c r="N11" i="31"/>
  <c r="J21" i="52"/>
  <c r="J22" i="52"/>
  <c r="J24" i="52"/>
  <c r="I18" i="35"/>
  <c r="I19" i="35"/>
  <c r="I20" i="35"/>
  <c r="I21" i="35"/>
  <c r="I22" i="35"/>
  <c r="J25" i="52"/>
  <c r="K17" i="52"/>
  <c r="K18" i="52"/>
  <c r="K20" i="52"/>
  <c r="O11" i="31"/>
  <c r="K21" i="52"/>
  <c r="K22" i="52"/>
  <c r="K24" i="52"/>
  <c r="J18" i="35"/>
  <c r="J19" i="35"/>
  <c r="J20" i="35"/>
  <c r="J21" i="35"/>
  <c r="J22" i="35"/>
  <c r="K25" i="52"/>
  <c r="L17" i="52"/>
  <c r="L18" i="52"/>
  <c r="L20" i="52"/>
  <c r="P11" i="31"/>
  <c r="L21" i="52"/>
  <c r="L22" i="52"/>
  <c r="L24" i="52"/>
  <c r="K18" i="35"/>
  <c r="K19" i="35"/>
  <c r="K20" i="35"/>
  <c r="K21" i="35"/>
  <c r="K22" i="35"/>
  <c r="L25" i="52"/>
  <c r="M17" i="52"/>
  <c r="M18" i="52"/>
  <c r="M20" i="52"/>
  <c r="Q11" i="31"/>
  <c r="M21" i="52"/>
  <c r="M22" i="52"/>
  <c r="M24" i="52"/>
  <c r="L18" i="35"/>
  <c r="L19" i="35"/>
  <c r="L20" i="35"/>
  <c r="L21" i="35"/>
  <c r="L22" i="35"/>
  <c r="M25" i="52"/>
  <c r="N17" i="52"/>
  <c r="N18" i="52"/>
  <c r="N20" i="52"/>
  <c r="R11" i="31"/>
  <c r="N21" i="52"/>
  <c r="N22" i="52"/>
  <c r="N24" i="52"/>
  <c r="M18" i="35"/>
  <c r="M19" i="35"/>
  <c r="M20" i="35"/>
  <c r="M21" i="35"/>
  <c r="M22" i="35"/>
  <c r="N25" i="52"/>
  <c r="O17" i="52"/>
  <c r="O18" i="52"/>
  <c r="O20" i="52"/>
  <c r="S11" i="31"/>
  <c r="O21" i="52"/>
  <c r="O22" i="52"/>
  <c r="O24" i="52"/>
  <c r="N18" i="35"/>
  <c r="N19" i="35"/>
  <c r="N20" i="35"/>
  <c r="N21" i="35"/>
  <c r="N22" i="35"/>
  <c r="O25" i="52"/>
  <c r="C3" i="37"/>
  <c r="M7" i="37"/>
  <c r="C4" i="37"/>
  <c r="F8" i="37"/>
  <c r="O7" i="37"/>
  <c r="H8" i="37"/>
  <c r="P7" i="37"/>
  <c r="N7" i="37"/>
  <c r="Q7" i="37"/>
  <c r="M8" i="37"/>
  <c r="O8" i="37"/>
  <c r="P8" i="37"/>
  <c r="N8" i="37"/>
  <c r="Q8" i="37"/>
  <c r="M9" i="37"/>
  <c r="O9" i="37"/>
  <c r="P9" i="37"/>
  <c r="N9" i="37"/>
  <c r="Q9" i="37"/>
  <c r="M10" i="37"/>
  <c r="O10" i="37"/>
  <c r="P10" i="37"/>
  <c r="N10" i="37"/>
  <c r="Q10" i="37"/>
  <c r="M11" i="37"/>
  <c r="O11" i="37"/>
  <c r="P11" i="37"/>
  <c r="N11" i="37"/>
  <c r="Q11" i="37"/>
  <c r="M12" i="37"/>
  <c r="O12" i="37"/>
  <c r="P12" i="37"/>
  <c r="N12" i="37"/>
  <c r="Q12" i="37"/>
  <c r="M13" i="37"/>
  <c r="O13" i="37"/>
  <c r="P13" i="37"/>
  <c r="N13" i="37"/>
  <c r="Q13" i="37"/>
  <c r="M14" i="37"/>
  <c r="O14" i="37"/>
  <c r="P14" i="37"/>
  <c r="N14" i="37"/>
  <c r="Q14" i="37"/>
  <c r="M15" i="37"/>
  <c r="O15" i="37"/>
  <c r="P15" i="37"/>
  <c r="N15" i="37"/>
  <c r="Q15" i="37"/>
  <c r="M16" i="37"/>
  <c r="O16" i="37"/>
  <c r="P16" i="37"/>
  <c r="N16" i="37"/>
  <c r="Q16" i="37"/>
  <c r="M17" i="37"/>
  <c r="O17" i="37"/>
  <c r="P17" i="37"/>
  <c r="N17" i="37"/>
  <c r="Q17" i="37"/>
  <c r="M18" i="37"/>
  <c r="O18" i="37"/>
  <c r="V15" i="37"/>
  <c r="T29" i="37"/>
  <c r="D42" i="41"/>
  <c r="D44" i="41"/>
  <c r="D22" i="31"/>
  <c r="E22" i="31"/>
  <c r="F22" i="31"/>
  <c r="G22" i="31"/>
  <c r="G25" i="31"/>
  <c r="F25" i="31"/>
  <c r="E25" i="31"/>
  <c r="D25" i="31"/>
  <c r="C25" i="31"/>
  <c r="C26" i="31"/>
  <c r="F20" i="26"/>
  <c r="F19" i="26"/>
  <c r="F18" i="26"/>
  <c r="H48" i="26"/>
  <c r="H47" i="26"/>
  <c r="H46" i="26"/>
  <c r="H45" i="26"/>
  <c r="H44" i="26"/>
  <c r="H39" i="26"/>
  <c r="H38" i="26"/>
  <c r="H37" i="26"/>
  <c r="H36" i="26"/>
  <c r="H35" i="26"/>
  <c r="H25" i="26"/>
  <c r="H26" i="26"/>
  <c r="H27" i="26"/>
  <c r="H28" i="26"/>
  <c r="H29" i="26"/>
  <c r="H30" i="26"/>
  <c r="H24" i="26"/>
  <c r="C15" i="23"/>
  <c r="M10" i="51"/>
  <c r="P26" i="2"/>
  <c r="C24" i="42"/>
  <c r="C69" i="38"/>
  <c r="H28" i="31"/>
  <c r="I28" i="31"/>
  <c r="J28" i="31"/>
  <c r="K28" i="31"/>
  <c r="L28" i="31"/>
  <c r="M28" i="31"/>
  <c r="N28" i="31"/>
  <c r="O28" i="31"/>
  <c r="P28" i="31"/>
  <c r="Q28" i="31"/>
  <c r="R28" i="31"/>
  <c r="S28" i="31"/>
  <c r="T28" i="31"/>
  <c r="C65" i="38"/>
  <c r="C23" i="33"/>
  <c r="D23" i="33"/>
  <c r="E23" i="33"/>
  <c r="F23" i="33"/>
  <c r="G23" i="33"/>
  <c r="H23" i="33"/>
  <c r="I23" i="33"/>
  <c r="J23" i="33"/>
  <c r="K23" i="33"/>
  <c r="L23" i="33"/>
  <c r="M23" i="33"/>
  <c r="N23" i="33"/>
  <c r="O23" i="33"/>
  <c r="C66" i="38"/>
  <c r="C67" i="38"/>
  <c r="F32" i="39"/>
  <c r="N13" i="39"/>
  <c r="F33" i="39"/>
  <c r="N14" i="39"/>
  <c r="F34" i="39"/>
  <c r="N15" i="39"/>
  <c r="N16" i="39"/>
  <c r="C68" i="38"/>
  <c r="C70" i="38"/>
  <c r="C72" i="38"/>
  <c r="O19" i="27"/>
  <c r="H38" i="31"/>
  <c r="H31" i="31"/>
  <c r="H29" i="31"/>
  <c r="I38" i="31"/>
  <c r="J38" i="31"/>
  <c r="K38" i="31"/>
  <c r="L38" i="31"/>
  <c r="M38" i="31"/>
  <c r="N38" i="31"/>
  <c r="O38" i="31"/>
  <c r="P38" i="31"/>
  <c r="Q38" i="31"/>
  <c r="R38" i="31"/>
  <c r="S38" i="31"/>
  <c r="T38" i="31"/>
  <c r="H47" i="31"/>
  <c r="W15" i="37"/>
  <c r="U15" i="37"/>
  <c r="T28" i="37"/>
  <c r="C28" i="41"/>
  <c r="C31" i="41"/>
  <c r="C27" i="38"/>
  <c r="C28" i="38"/>
  <c r="C29" i="38"/>
  <c r="C30" i="38"/>
  <c r="C31" i="38"/>
  <c r="C34" i="38"/>
  <c r="M4" i="39"/>
  <c r="F22" i="39"/>
  <c r="F21" i="39"/>
  <c r="F20" i="39"/>
  <c r="F23" i="39"/>
  <c r="N4" i="39"/>
  <c r="M5" i="39"/>
  <c r="N5" i="39"/>
  <c r="N6" i="39"/>
  <c r="N7" i="39"/>
  <c r="N8" i="39"/>
  <c r="M9" i="39"/>
  <c r="N9" i="39"/>
  <c r="N10" i="39"/>
  <c r="C35" i="38"/>
  <c r="C36" i="38"/>
  <c r="C55" i="38"/>
  <c r="C9" i="40"/>
  <c r="C84" i="38"/>
  <c r="C12" i="40"/>
  <c r="D34" i="41"/>
  <c r="D32" i="38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I47" i="31"/>
  <c r="D27" i="38"/>
  <c r="D28" i="38"/>
  <c r="D29" i="38"/>
  <c r="D30" i="38"/>
  <c r="D31" i="38"/>
  <c r="D26" i="31"/>
  <c r="G3" i="39"/>
  <c r="G4" i="39"/>
  <c r="G5" i="39"/>
  <c r="G6" i="39"/>
  <c r="G7" i="39"/>
  <c r="G8" i="39"/>
  <c r="G9" i="39"/>
  <c r="D34" i="38"/>
  <c r="G22" i="39"/>
  <c r="G21" i="39"/>
  <c r="G20" i="39"/>
  <c r="G23" i="39"/>
  <c r="O4" i="39"/>
  <c r="O5" i="39"/>
  <c r="O6" i="39"/>
  <c r="O7" i="39"/>
  <c r="O8" i="39"/>
  <c r="O9" i="39"/>
  <c r="O10" i="39"/>
  <c r="D35" i="38"/>
  <c r="D36" i="38"/>
  <c r="D55" i="38"/>
  <c r="D69" i="38"/>
  <c r="H30" i="31"/>
  <c r="I30" i="31"/>
  <c r="J30" i="31"/>
  <c r="K30" i="31"/>
  <c r="L30" i="31"/>
  <c r="M30" i="31"/>
  <c r="N30" i="31"/>
  <c r="O30" i="31"/>
  <c r="P30" i="31"/>
  <c r="Q30" i="31"/>
  <c r="R30" i="31"/>
  <c r="S30" i="31"/>
  <c r="T30" i="31"/>
  <c r="I45" i="31"/>
  <c r="D65" i="38"/>
  <c r="D66" i="38"/>
  <c r="D67" i="38"/>
  <c r="O13" i="39"/>
  <c r="O14" i="39"/>
  <c r="O15" i="39"/>
  <c r="O16" i="39"/>
  <c r="D68" i="38"/>
  <c r="D70" i="38"/>
  <c r="D72" i="38"/>
  <c r="D9" i="40"/>
  <c r="P18" i="37"/>
  <c r="N18" i="37"/>
  <c r="Q18" i="37"/>
  <c r="M19" i="37"/>
  <c r="O19" i="37"/>
  <c r="P19" i="37"/>
  <c r="N19" i="37"/>
  <c r="Q19" i="37"/>
  <c r="M20" i="37"/>
  <c r="O20" i="37"/>
  <c r="P20" i="37"/>
  <c r="N20" i="37"/>
  <c r="Q20" i="37"/>
  <c r="M21" i="37"/>
  <c r="O21" i="37"/>
  <c r="P21" i="37"/>
  <c r="N21" i="37"/>
  <c r="Q21" i="37"/>
  <c r="M22" i="37"/>
  <c r="O22" i="37"/>
  <c r="P22" i="37"/>
  <c r="N22" i="37"/>
  <c r="Q22" i="37"/>
  <c r="M23" i="37"/>
  <c r="O23" i="37"/>
  <c r="P23" i="37"/>
  <c r="N23" i="37"/>
  <c r="Q23" i="37"/>
  <c r="M24" i="37"/>
  <c r="O24" i="37"/>
  <c r="P24" i="37"/>
  <c r="N24" i="37"/>
  <c r="Q24" i="37"/>
  <c r="M25" i="37"/>
  <c r="O25" i="37"/>
  <c r="P25" i="37"/>
  <c r="N25" i="37"/>
  <c r="Q25" i="37"/>
  <c r="M26" i="37"/>
  <c r="O26" i="37"/>
  <c r="P26" i="37"/>
  <c r="N26" i="37"/>
  <c r="Q26" i="37"/>
  <c r="M27" i="37"/>
  <c r="O27" i="37"/>
  <c r="P27" i="37"/>
  <c r="N27" i="37"/>
  <c r="Q27" i="37"/>
  <c r="M28" i="37"/>
  <c r="O28" i="37"/>
  <c r="P28" i="37"/>
  <c r="N28" i="37"/>
  <c r="Q28" i="37"/>
  <c r="M29" i="37"/>
  <c r="O29" i="37"/>
  <c r="P29" i="37"/>
  <c r="N29" i="37"/>
  <c r="Q29" i="37"/>
  <c r="M30" i="37"/>
  <c r="O30" i="37"/>
  <c r="V16" i="37"/>
  <c r="U29" i="37"/>
  <c r="D84" i="38"/>
  <c r="D12" i="40"/>
  <c r="E42" i="41"/>
  <c r="E44" i="41"/>
  <c r="E34" i="41"/>
  <c r="E32" i="38"/>
  <c r="H40" i="31"/>
  <c r="I40" i="31"/>
  <c r="J40" i="31"/>
  <c r="K40" i="31"/>
  <c r="L40" i="31"/>
  <c r="M40" i="31"/>
  <c r="N40" i="31"/>
  <c r="O40" i="31"/>
  <c r="P40" i="31"/>
  <c r="Q40" i="31"/>
  <c r="R40" i="31"/>
  <c r="S40" i="31"/>
  <c r="T40" i="31"/>
  <c r="J47" i="31"/>
  <c r="E27" i="38"/>
  <c r="E28" i="38"/>
  <c r="E29" i="38"/>
  <c r="E30" i="38"/>
  <c r="E31" i="38"/>
  <c r="E26" i="31"/>
  <c r="H3" i="39"/>
  <c r="H4" i="39"/>
  <c r="H5" i="39"/>
  <c r="H6" i="39"/>
  <c r="H7" i="39"/>
  <c r="H8" i="39"/>
  <c r="H9" i="39"/>
  <c r="E34" i="38"/>
  <c r="H22" i="39"/>
  <c r="H21" i="39"/>
  <c r="H20" i="39"/>
  <c r="H23" i="39"/>
  <c r="P4" i="39"/>
  <c r="P5" i="39"/>
  <c r="P6" i="39"/>
  <c r="P7" i="39"/>
  <c r="P8" i="39"/>
  <c r="P9" i="39"/>
  <c r="P10" i="39"/>
  <c r="E35" i="38"/>
  <c r="E36" i="38"/>
  <c r="E55" i="38"/>
  <c r="E69" i="38"/>
  <c r="H32" i="31"/>
  <c r="I32" i="31"/>
  <c r="J32" i="31"/>
  <c r="K32" i="31"/>
  <c r="L32" i="31"/>
  <c r="M32" i="31"/>
  <c r="N32" i="31"/>
  <c r="O32" i="31"/>
  <c r="P32" i="31"/>
  <c r="Q32" i="31"/>
  <c r="R32" i="31"/>
  <c r="S32" i="31"/>
  <c r="T32" i="31"/>
  <c r="J45" i="31"/>
  <c r="E65" i="38"/>
  <c r="E66" i="38"/>
  <c r="E67" i="38"/>
  <c r="P13" i="39"/>
  <c r="P14" i="39"/>
  <c r="P15" i="39"/>
  <c r="P16" i="39"/>
  <c r="E68" i="38"/>
  <c r="E70" i="38"/>
  <c r="E72" i="38"/>
  <c r="E9" i="40"/>
  <c r="P30" i="37"/>
  <c r="N30" i="37"/>
  <c r="Q30" i="37"/>
  <c r="M31" i="37"/>
  <c r="O31" i="37"/>
  <c r="P31" i="37"/>
  <c r="N31" i="37"/>
  <c r="Q31" i="37"/>
  <c r="M32" i="37"/>
  <c r="O32" i="37"/>
  <c r="P32" i="37"/>
  <c r="N32" i="37"/>
  <c r="Q32" i="37"/>
  <c r="M33" i="37"/>
  <c r="O33" i="37"/>
  <c r="P33" i="37"/>
  <c r="N33" i="37"/>
  <c r="Q33" i="37"/>
  <c r="M34" i="37"/>
  <c r="O34" i="37"/>
  <c r="P34" i="37"/>
  <c r="N34" i="37"/>
  <c r="Q34" i="37"/>
  <c r="M35" i="37"/>
  <c r="O35" i="37"/>
  <c r="P35" i="37"/>
  <c r="N35" i="37"/>
  <c r="Q35" i="37"/>
  <c r="M36" i="37"/>
  <c r="O36" i="37"/>
  <c r="P36" i="37"/>
  <c r="N36" i="37"/>
  <c r="Q36" i="37"/>
  <c r="M37" i="37"/>
  <c r="O37" i="37"/>
  <c r="P37" i="37"/>
  <c r="N37" i="37"/>
  <c r="Q37" i="37"/>
  <c r="M38" i="37"/>
  <c r="O38" i="37"/>
  <c r="P38" i="37"/>
  <c r="N38" i="37"/>
  <c r="Q38" i="37"/>
  <c r="M39" i="37"/>
  <c r="O39" i="37"/>
  <c r="P39" i="37"/>
  <c r="N39" i="37"/>
  <c r="Q39" i="37"/>
  <c r="M40" i="37"/>
  <c r="O40" i="37"/>
  <c r="P40" i="37"/>
  <c r="N40" i="37"/>
  <c r="Q40" i="37"/>
  <c r="M41" i="37"/>
  <c r="O41" i="37"/>
  <c r="P41" i="37"/>
  <c r="N41" i="37"/>
  <c r="Q41" i="37"/>
  <c r="M42" i="37"/>
  <c r="O42" i="37"/>
  <c r="V17" i="37"/>
  <c r="V29" i="37"/>
  <c r="E84" i="38"/>
  <c r="E12" i="40"/>
  <c r="F42" i="41"/>
  <c r="F44" i="41"/>
  <c r="F34" i="41"/>
  <c r="F32" i="38"/>
  <c r="H41" i="31"/>
  <c r="I41" i="31"/>
  <c r="J41" i="31"/>
  <c r="K41" i="31"/>
  <c r="L41" i="31"/>
  <c r="M41" i="31"/>
  <c r="N41" i="31"/>
  <c r="O41" i="31"/>
  <c r="P41" i="31"/>
  <c r="Q41" i="31"/>
  <c r="R41" i="31"/>
  <c r="S41" i="31"/>
  <c r="T41" i="31"/>
  <c r="K47" i="31"/>
  <c r="F27" i="38"/>
  <c r="F28" i="38"/>
  <c r="F29" i="38"/>
  <c r="F30" i="38"/>
  <c r="F31" i="38"/>
  <c r="F26" i="31"/>
  <c r="I3" i="39"/>
  <c r="I4" i="39"/>
  <c r="I5" i="39"/>
  <c r="I6" i="39"/>
  <c r="I7" i="39"/>
  <c r="I8" i="39"/>
  <c r="I9" i="39"/>
  <c r="F34" i="38"/>
  <c r="I22" i="39"/>
  <c r="I21" i="39"/>
  <c r="I20" i="39"/>
  <c r="I23" i="39"/>
  <c r="Q4" i="39"/>
  <c r="Q5" i="39"/>
  <c r="Q6" i="39"/>
  <c r="Q7" i="39"/>
  <c r="Q8" i="39"/>
  <c r="Q9" i="39"/>
  <c r="Q10" i="39"/>
  <c r="F35" i="38"/>
  <c r="F36" i="38"/>
  <c r="F55" i="38"/>
  <c r="F69" i="38"/>
  <c r="H34" i="31"/>
  <c r="I34" i="31"/>
  <c r="J34" i="31"/>
  <c r="K34" i="31"/>
  <c r="L34" i="31"/>
  <c r="M34" i="31"/>
  <c r="N34" i="31"/>
  <c r="O34" i="31"/>
  <c r="P34" i="31"/>
  <c r="Q34" i="31"/>
  <c r="R34" i="31"/>
  <c r="S34" i="31"/>
  <c r="T34" i="31"/>
  <c r="K45" i="31"/>
  <c r="F65" i="38"/>
  <c r="F66" i="38"/>
  <c r="F67" i="38"/>
  <c r="Q13" i="39"/>
  <c r="Q14" i="39"/>
  <c r="Q15" i="39"/>
  <c r="Q16" i="39"/>
  <c r="F68" i="38"/>
  <c r="F70" i="38"/>
  <c r="F72" i="38"/>
  <c r="F9" i="40"/>
  <c r="P42" i="37"/>
  <c r="N42" i="37"/>
  <c r="Q42" i="37"/>
  <c r="M43" i="37"/>
  <c r="O43" i="37"/>
  <c r="P43" i="37"/>
  <c r="N43" i="37"/>
  <c r="Q43" i="37"/>
  <c r="M44" i="37"/>
  <c r="O44" i="37"/>
  <c r="P44" i="37"/>
  <c r="N44" i="37"/>
  <c r="Q44" i="37"/>
  <c r="M45" i="37"/>
  <c r="O45" i="37"/>
  <c r="P45" i="37"/>
  <c r="N45" i="37"/>
  <c r="Q45" i="37"/>
  <c r="M46" i="37"/>
  <c r="O46" i="37"/>
  <c r="P46" i="37"/>
  <c r="N46" i="37"/>
  <c r="Q46" i="37"/>
  <c r="M47" i="37"/>
  <c r="O47" i="37"/>
  <c r="P47" i="37"/>
  <c r="N47" i="37"/>
  <c r="Q47" i="37"/>
  <c r="M48" i="37"/>
  <c r="O48" i="37"/>
  <c r="P48" i="37"/>
  <c r="N48" i="37"/>
  <c r="Q48" i="37"/>
  <c r="M49" i="37"/>
  <c r="O49" i="37"/>
  <c r="P49" i="37"/>
  <c r="N49" i="37"/>
  <c r="Q49" i="37"/>
  <c r="M50" i="37"/>
  <c r="O50" i="37"/>
  <c r="P50" i="37"/>
  <c r="N50" i="37"/>
  <c r="Q50" i="37"/>
  <c r="M51" i="37"/>
  <c r="O51" i="37"/>
  <c r="P51" i="37"/>
  <c r="N51" i="37"/>
  <c r="Q51" i="37"/>
  <c r="M52" i="37"/>
  <c r="O52" i="37"/>
  <c r="P52" i="37"/>
  <c r="N52" i="37"/>
  <c r="Q52" i="37"/>
  <c r="M53" i="37"/>
  <c r="O53" i="37"/>
  <c r="P53" i="37"/>
  <c r="N53" i="37"/>
  <c r="Q53" i="37"/>
  <c r="M54" i="37"/>
  <c r="O54" i="37"/>
  <c r="V18" i="37"/>
  <c r="W29" i="37"/>
  <c r="F84" i="38"/>
  <c r="F12" i="40"/>
  <c r="G42" i="41"/>
  <c r="G44" i="41"/>
  <c r="G34" i="41"/>
  <c r="G32" i="38"/>
  <c r="H42" i="31"/>
  <c r="I42" i="31"/>
  <c r="J42" i="31"/>
  <c r="K42" i="31"/>
  <c r="L42" i="31"/>
  <c r="M42" i="31"/>
  <c r="N42" i="31"/>
  <c r="O42" i="31"/>
  <c r="P42" i="31"/>
  <c r="Q42" i="31"/>
  <c r="R42" i="31"/>
  <c r="S42" i="31"/>
  <c r="T42" i="31"/>
  <c r="L47" i="31"/>
  <c r="G27" i="38"/>
  <c r="G28" i="38"/>
  <c r="G29" i="38"/>
  <c r="G30" i="38"/>
  <c r="G31" i="38"/>
  <c r="G26" i="31"/>
  <c r="J3" i="39"/>
  <c r="J4" i="39"/>
  <c r="J5" i="39"/>
  <c r="J6" i="39"/>
  <c r="J7" i="39"/>
  <c r="J8" i="39"/>
  <c r="J9" i="39"/>
  <c r="G34" i="38"/>
  <c r="J22" i="39"/>
  <c r="J21" i="39"/>
  <c r="J20" i="39"/>
  <c r="J23" i="39"/>
  <c r="R4" i="39"/>
  <c r="R5" i="39"/>
  <c r="R6" i="39"/>
  <c r="R7" i="39"/>
  <c r="R8" i="39"/>
  <c r="R9" i="39"/>
  <c r="R10" i="39"/>
  <c r="G35" i="38"/>
  <c r="G36" i="38"/>
  <c r="G55" i="38"/>
  <c r="G69" i="38"/>
  <c r="H36" i="31"/>
  <c r="I36" i="31"/>
  <c r="J36" i="31"/>
  <c r="K36" i="31"/>
  <c r="L36" i="31"/>
  <c r="M36" i="31"/>
  <c r="N36" i="31"/>
  <c r="O36" i="31"/>
  <c r="P36" i="31"/>
  <c r="Q36" i="31"/>
  <c r="R36" i="31"/>
  <c r="S36" i="31"/>
  <c r="T36" i="31"/>
  <c r="L45" i="31"/>
  <c r="G65" i="38"/>
  <c r="G66" i="38"/>
  <c r="G67" i="38"/>
  <c r="R13" i="39"/>
  <c r="R14" i="39"/>
  <c r="R15" i="39"/>
  <c r="R16" i="39"/>
  <c r="G68" i="38"/>
  <c r="G70" i="38"/>
  <c r="G72" i="38"/>
  <c r="G9" i="40"/>
  <c r="P54" i="37"/>
  <c r="N54" i="37"/>
  <c r="Q54" i="37"/>
  <c r="M55" i="37"/>
  <c r="O55" i="37"/>
  <c r="P55" i="37"/>
  <c r="N55" i="37"/>
  <c r="Q55" i="37"/>
  <c r="M56" i="37"/>
  <c r="O56" i="37"/>
  <c r="P56" i="37"/>
  <c r="N56" i="37"/>
  <c r="Q56" i="37"/>
  <c r="M57" i="37"/>
  <c r="O57" i="37"/>
  <c r="P57" i="37"/>
  <c r="N57" i="37"/>
  <c r="Q57" i="37"/>
  <c r="M58" i="37"/>
  <c r="O58" i="37"/>
  <c r="P58" i="37"/>
  <c r="N58" i="37"/>
  <c r="Q58" i="37"/>
  <c r="M59" i="37"/>
  <c r="O59" i="37"/>
  <c r="P59" i="37"/>
  <c r="N59" i="37"/>
  <c r="Q59" i="37"/>
  <c r="M60" i="37"/>
  <c r="O60" i="37"/>
  <c r="P60" i="37"/>
  <c r="N60" i="37"/>
  <c r="Q60" i="37"/>
  <c r="M61" i="37"/>
  <c r="O61" i="37"/>
  <c r="P61" i="37"/>
  <c r="N61" i="37"/>
  <c r="Q61" i="37"/>
  <c r="M62" i="37"/>
  <c r="O62" i="37"/>
  <c r="P62" i="37"/>
  <c r="N62" i="37"/>
  <c r="Q62" i="37"/>
  <c r="M63" i="37"/>
  <c r="O63" i="37"/>
  <c r="P63" i="37"/>
  <c r="N63" i="37"/>
  <c r="Q63" i="37"/>
  <c r="M64" i="37"/>
  <c r="O64" i="37"/>
  <c r="P64" i="37"/>
  <c r="N64" i="37"/>
  <c r="Q64" i="37"/>
  <c r="M65" i="37"/>
  <c r="O65" i="37"/>
  <c r="P65" i="37"/>
  <c r="N65" i="37"/>
  <c r="Q65" i="37"/>
  <c r="M66" i="37"/>
  <c r="O66" i="37"/>
  <c r="V19" i="37"/>
  <c r="X29" i="37"/>
  <c r="G84" i="38"/>
  <c r="G12" i="40"/>
  <c r="H42" i="41"/>
  <c r="H44" i="41"/>
  <c r="H34" i="41"/>
  <c r="C40" i="41"/>
  <c r="C45" i="41"/>
  <c r="D41" i="41"/>
  <c r="D45" i="41"/>
  <c r="W16" i="37"/>
  <c r="U16" i="37"/>
  <c r="U28" i="37"/>
  <c r="E41" i="41"/>
  <c r="E45" i="41"/>
  <c r="W17" i="37"/>
  <c r="U17" i="37"/>
  <c r="V28" i="37"/>
  <c r="F41" i="41"/>
  <c r="F45" i="41"/>
  <c r="W18" i="37"/>
  <c r="U18" i="37"/>
  <c r="W28" i="37"/>
  <c r="G41" i="41"/>
  <c r="G45" i="41"/>
  <c r="W19" i="37"/>
  <c r="U19" i="37"/>
  <c r="X28" i="37"/>
  <c r="H41" i="41"/>
  <c r="H45" i="41"/>
  <c r="F21" i="37"/>
  <c r="H21" i="37"/>
  <c r="W7" i="37"/>
  <c r="T7" i="37"/>
  <c r="V7" i="37"/>
  <c r="U7" i="37"/>
  <c r="X7" i="37"/>
  <c r="T8" i="37"/>
  <c r="V8" i="37"/>
  <c r="W8" i="37"/>
  <c r="U8" i="37"/>
  <c r="X8" i="37"/>
  <c r="T9" i="37"/>
  <c r="V9" i="37"/>
  <c r="W9" i="37"/>
  <c r="U9" i="37"/>
  <c r="X9" i="37"/>
  <c r="T10" i="37"/>
  <c r="V10" i="37"/>
  <c r="W10" i="37"/>
  <c r="U10" i="37"/>
  <c r="X10" i="37"/>
  <c r="T11" i="37"/>
  <c r="V11" i="37"/>
  <c r="O19" i="35"/>
  <c r="D8" i="42"/>
  <c r="E8" i="42"/>
  <c r="F8" i="42"/>
  <c r="G8" i="42"/>
  <c r="C8" i="42"/>
  <c r="O22" i="35"/>
  <c r="C77" i="38"/>
  <c r="C79" i="38"/>
  <c r="C10" i="40"/>
  <c r="I31" i="31"/>
  <c r="J31" i="31"/>
  <c r="K31" i="31"/>
  <c r="L31" i="31"/>
  <c r="M31" i="31"/>
  <c r="N31" i="31"/>
  <c r="O31" i="31"/>
  <c r="P31" i="31"/>
  <c r="Q31" i="31"/>
  <c r="R31" i="31"/>
  <c r="S31" i="31"/>
  <c r="T31" i="31"/>
  <c r="I46" i="31"/>
  <c r="D15" i="38"/>
  <c r="D53" i="38"/>
  <c r="P18" i="27"/>
  <c r="P19" i="27"/>
  <c r="D20" i="38"/>
  <c r="D54" i="38"/>
  <c r="M43" i="38"/>
  <c r="C45" i="38"/>
  <c r="D45" i="38"/>
  <c r="D57" i="38"/>
  <c r="H33" i="31"/>
  <c r="I33" i="31"/>
  <c r="J33" i="31"/>
  <c r="K33" i="31"/>
  <c r="L33" i="31"/>
  <c r="M33" i="31"/>
  <c r="N33" i="31"/>
  <c r="O33" i="31"/>
  <c r="P33" i="31"/>
  <c r="Q33" i="31"/>
  <c r="R33" i="31"/>
  <c r="S33" i="31"/>
  <c r="T33" i="31"/>
  <c r="J46" i="31"/>
  <c r="E15" i="38"/>
  <c r="E53" i="38"/>
  <c r="Q18" i="27"/>
  <c r="Q19" i="27"/>
  <c r="E20" i="38"/>
  <c r="E54" i="38"/>
  <c r="E45" i="38"/>
  <c r="E57" i="38"/>
  <c r="H35" i="31"/>
  <c r="I35" i="31"/>
  <c r="J35" i="31"/>
  <c r="K35" i="31"/>
  <c r="L35" i="31"/>
  <c r="M35" i="31"/>
  <c r="N35" i="31"/>
  <c r="O35" i="31"/>
  <c r="P35" i="31"/>
  <c r="Q35" i="31"/>
  <c r="R35" i="31"/>
  <c r="S35" i="31"/>
  <c r="T35" i="31"/>
  <c r="K46" i="31"/>
  <c r="F15" i="38"/>
  <c r="F53" i="38"/>
  <c r="R18" i="27"/>
  <c r="R19" i="27"/>
  <c r="F20" i="38"/>
  <c r="F54" i="38"/>
  <c r="F45" i="38"/>
  <c r="F57" i="38"/>
  <c r="H37" i="31"/>
  <c r="I37" i="31"/>
  <c r="J37" i="31"/>
  <c r="K37" i="31"/>
  <c r="L37" i="31"/>
  <c r="M37" i="31"/>
  <c r="N37" i="31"/>
  <c r="O37" i="31"/>
  <c r="P37" i="31"/>
  <c r="Q37" i="31"/>
  <c r="R37" i="31"/>
  <c r="S37" i="31"/>
  <c r="T37" i="31"/>
  <c r="L46" i="31"/>
  <c r="G15" i="38"/>
  <c r="G53" i="38"/>
  <c r="S18" i="27"/>
  <c r="S19" i="27"/>
  <c r="G20" i="38"/>
  <c r="G54" i="38"/>
  <c r="G45" i="38"/>
  <c r="G57" i="38"/>
  <c r="I29" i="31"/>
  <c r="J29" i="31"/>
  <c r="K29" i="31"/>
  <c r="L29" i="31"/>
  <c r="M29" i="31"/>
  <c r="N29" i="31"/>
  <c r="O29" i="31"/>
  <c r="P29" i="31"/>
  <c r="Q29" i="31"/>
  <c r="R29" i="31"/>
  <c r="S29" i="31"/>
  <c r="T29" i="31"/>
  <c r="H46" i="31"/>
  <c r="C15" i="38"/>
  <c r="C53" i="38"/>
  <c r="C20" i="38"/>
  <c r="C54" i="38"/>
  <c r="C57" i="38"/>
  <c r="C21" i="33"/>
  <c r="E30" i="33"/>
  <c r="E31" i="33"/>
  <c r="O18" i="35"/>
  <c r="C29" i="41"/>
  <c r="C93" i="38"/>
  <c r="D35" i="41"/>
  <c r="C27" i="35"/>
  <c r="C26" i="35"/>
  <c r="C28" i="35"/>
  <c r="D27" i="35"/>
  <c r="D26" i="35"/>
  <c r="D28" i="35"/>
  <c r="E27" i="35"/>
  <c r="E26" i="35"/>
  <c r="E28" i="35"/>
  <c r="F27" i="35"/>
  <c r="F26" i="35"/>
  <c r="F28" i="35"/>
  <c r="G27" i="35"/>
  <c r="G26" i="35"/>
  <c r="G28" i="35"/>
  <c r="H27" i="35"/>
  <c r="H26" i="35"/>
  <c r="H28" i="35"/>
  <c r="I27" i="35"/>
  <c r="I26" i="35"/>
  <c r="I28" i="35"/>
  <c r="J27" i="35"/>
  <c r="J26" i="35"/>
  <c r="J28" i="35"/>
  <c r="K27" i="35"/>
  <c r="K26" i="35"/>
  <c r="K28" i="35"/>
  <c r="L27" i="35"/>
  <c r="M27" i="35"/>
  <c r="N27" i="35"/>
  <c r="L26" i="35"/>
  <c r="L28" i="35"/>
  <c r="M26" i="35"/>
  <c r="M28" i="35"/>
  <c r="N26" i="35"/>
  <c r="N28" i="35"/>
  <c r="O28" i="35"/>
  <c r="D77" i="38"/>
  <c r="D79" i="38"/>
  <c r="D10" i="40"/>
  <c r="D93" i="38"/>
  <c r="E35" i="41"/>
  <c r="E77" i="38"/>
  <c r="E79" i="38"/>
  <c r="E10" i="40"/>
  <c r="E93" i="38"/>
  <c r="F35" i="41"/>
  <c r="F77" i="38"/>
  <c r="F79" i="38"/>
  <c r="F10" i="40"/>
  <c r="F93" i="38"/>
  <c r="G35" i="41"/>
  <c r="G77" i="38"/>
  <c r="G79" i="38"/>
  <c r="G10" i="40"/>
  <c r="G93" i="38"/>
  <c r="H35" i="41"/>
  <c r="P5" i="38"/>
  <c r="O5" i="38"/>
  <c r="N5" i="38"/>
  <c r="M5" i="38"/>
  <c r="L5" i="38"/>
  <c r="P11" i="38"/>
  <c r="L9" i="38"/>
  <c r="M9" i="38"/>
  <c r="N9" i="38"/>
  <c r="O9" i="38"/>
  <c r="P9" i="38"/>
  <c r="L10" i="38"/>
  <c r="M10" i="38"/>
  <c r="N10" i="38"/>
  <c r="O10" i="38"/>
  <c r="P10" i="38"/>
  <c r="L11" i="38"/>
  <c r="M11" i="38"/>
  <c r="N11" i="38"/>
  <c r="O11" i="38"/>
  <c r="P8" i="38"/>
  <c r="L8" i="38"/>
  <c r="O8" i="38"/>
  <c r="N8" i="38"/>
  <c r="M8" i="38"/>
  <c r="P6" i="38"/>
  <c r="M6" i="38"/>
  <c r="N6" i="38"/>
  <c r="O6" i="38"/>
  <c r="L6" i="38"/>
  <c r="J43" i="41"/>
  <c r="D17" i="33"/>
  <c r="M93" i="38"/>
  <c r="N93" i="38"/>
  <c r="O93" i="38"/>
  <c r="P93" i="38"/>
  <c r="Q93" i="38"/>
  <c r="I8" i="37"/>
  <c r="Y15" i="37"/>
  <c r="P66" i="37"/>
  <c r="D30" i="46"/>
  <c r="E30" i="46"/>
  <c r="F30" i="46"/>
  <c r="G30" i="46"/>
  <c r="H30" i="46"/>
  <c r="C30" i="46"/>
  <c r="U11" i="31"/>
  <c r="T11" i="31"/>
  <c r="V11" i="31"/>
  <c r="C45" i="46"/>
  <c r="D45" i="46"/>
  <c r="E45" i="46"/>
  <c r="F45" i="46"/>
  <c r="G45" i="46"/>
  <c r="T30" i="37"/>
  <c r="U30" i="37"/>
  <c r="V30" i="37"/>
  <c r="W30" i="37"/>
  <c r="X30" i="37"/>
  <c r="C3" i="13"/>
  <c r="H45" i="46"/>
  <c r="H49" i="46"/>
  <c r="H4" i="25"/>
  <c r="H51" i="46"/>
  <c r="G49" i="46"/>
  <c r="G51" i="46"/>
  <c r="F49" i="46"/>
  <c r="F51" i="46"/>
  <c r="E49" i="46"/>
  <c r="E51" i="46"/>
  <c r="D49" i="46"/>
  <c r="D51" i="46"/>
  <c r="C49" i="46"/>
  <c r="C51" i="46"/>
  <c r="B34" i="46"/>
  <c r="C13" i="46"/>
  <c r="C14" i="46"/>
  <c r="D13" i="46"/>
  <c r="D14" i="46"/>
  <c r="E13" i="46"/>
  <c r="E14" i="46"/>
  <c r="F13" i="46"/>
  <c r="F14" i="46"/>
  <c r="G13" i="46"/>
  <c r="G14" i="46"/>
  <c r="H13" i="46"/>
  <c r="H14" i="46"/>
  <c r="H15" i="46"/>
  <c r="H22" i="46"/>
  <c r="C31" i="46"/>
  <c r="C37" i="46"/>
  <c r="D31" i="46"/>
  <c r="D37" i="46"/>
  <c r="E31" i="46"/>
  <c r="E37" i="46"/>
  <c r="F31" i="46"/>
  <c r="F37" i="46"/>
  <c r="G31" i="46"/>
  <c r="G37" i="46"/>
  <c r="H31" i="46"/>
  <c r="H37" i="46"/>
  <c r="G15" i="46"/>
  <c r="G22" i="46"/>
  <c r="F15" i="46"/>
  <c r="F22" i="46"/>
  <c r="E15" i="46"/>
  <c r="E22" i="46"/>
  <c r="D15" i="46"/>
  <c r="D22" i="46"/>
  <c r="C15" i="46"/>
  <c r="C22" i="46"/>
  <c r="I13" i="46"/>
  <c r="I14" i="46"/>
  <c r="I15" i="46"/>
  <c r="G4" i="46"/>
  <c r="F4" i="46"/>
  <c r="E4" i="46"/>
  <c r="D4" i="46"/>
  <c r="C4" i="46"/>
  <c r="D3" i="45"/>
  <c r="D4" i="45"/>
  <c r="D5" i="45"/>
  <c r="D6" i="45"/>
  <c r="D7" i="45"/>
  <c r="D8" i="45"/>
  <c r="D9" i="45"/>
  <c r="D10" i="45"/>
  <c r="D11" i="45"/>
  <c r="D12" i="45"/>
  <c r="D13" i="45"/>
  <c r="D14" i="45"/>
  <c r="D15" i="45"/>
  <c r="C52" i="45"/>
  <c r="E4" i="45"/>
  <c r="E5" i="45"/>
  <c r="E6" i="45"/>
  <c r="E7" i="45"/>
  <c r="E8" i="45"/>
  <c r="E9" i="45"/>
  <c r="E10" i="45"/>
  <c r="E11" i="45"/>
  <c r="E12" i="45"/>
  <c r="E13" i="45"/>
  <c r="E14" i="45"/>
  <c r="E15" i="45"/>
  <c r="D52" i="45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E52" i="45"/>
  <c r="F52" i="45"/>
  <c r="G52" i="45"/>
  <c r="C53" i="45"/>
  <c r="D53" i="45"/>
  <c r="E53" i="45"/>
  <c r="F53" i="45"/>
  <c r="G53" i="45"/>
  <c r="C54" i="45"/>
  <c r="D54" i="45"/>
  <c r="E54" i="45"/>
  <c r="F54" i="45"/>
  <c r="G54" i="45"/>
  <c r="C55" i="45"/>
  <c r="D55" i="45"/>
  <c r="E55" i="45"/>
  <c r="F55" i="45"/>
  <c r="G55" i="45"/>
  <c r="C56" i="45"/>
  <c r="D56" i="45"/>
  <c r="E56" i="45"/>
  <c r="F56" i="45"/>
  <c r="G56" i="45"/>
  <c r="C57" i="45"/>
  <c r="D57" i="45"/>
  <c r="E57" i="45"/>
  <c r="F57" i="45"/>
  <c r="G57" i="45"/>
  <c r="C58" i="45"/>
  <c r="D58" i="45"/>
  <c r="E58" i="45"/>
  <c r="F58" i="45"/>
  <c r="G58" i="45"/>
  <c r="C59" i="45"/>
  <c r="D59" i="45"/>
  <c r="E59" i="45"/>
  <c r="F59" i="45"/>
  <c r="G59" i="45"/>
  <c r="C60" i="45"/>
  <c r="D60" i="45"/>
  <c r="E60" i="45"/>
  <c r="F60" i="45"/>
  <c r="G60" i="45"/>
  <c r="C61" i="45"/>
  <c r="D61" i="45"/>
  <c r="E61" i="45"/>
  <c r="F61" i="45"/>
  <c r="G61" i="45"/>
  <c r="C62" i="45"/>
  <c r="D62" i="45"/>
  <c r="E62" i="45"/>
  <c r="F62" i="45"/>
  <c r="G62" i="45"/>
  <c r="C63" i="45"/>
  <c r="D63" i="45"/>
  <c r="E63" i="45"/>
  <c r="F63" i="45"/>
  <c r="G63" i="45"/>
  <c r="G64" i="45"/>
  <c r="F64" i="45"/>
  <c r="E64" i="45"/>
  <c r="D64" i="45"/>
  <c r="C64" i="45"/>
  <c r="N31" i="45"/>
  <c r="O31" i="45"/>
  <c r="P31" i="45"/>
  <c r="Q31" i="45"/>
  <c r="R31" i="45"/>
  <c r="S31" i="45"/>
  <c r="B25" i="45"/>
  <c r="C25" i="45"/>
  <c r="D25" i="45"/>
  <c r="E25" i="45"/>
  <c r="F25" i="45"/>
  <c r="G25" i="45"/>
  <c r="H25" i="45"/>
  <c r="I25" i="45"/>
  <c r="J25" i="45"/>
  <c r="H19" i="45"/>
  <c r="G19" i="45"/>
  <c r="H20" i="45"/>
  <c r="F18" i="45"/>
  <c r="F19" i="45"/>
  <c r="G20" i="45"/>
  <c r="E18" i="45"/>
  <c r="E19" i="45"/>
  <c r="F20" i="45"/>
  <c r="D18" i="45"/>
  <c r="D19" i="45"/>
  <c r="E20" i="45"/>
  <c r="C8" i="45"/>
  <c r="C9" i="45"/>
  <c r="C10" i="45"/>
  <c r="C11" i="45"/>
  <c r="C12" i="45"/>
  <c r="C13" i="45"/>
  <c r="C14" i="45"/>
  <c r="C18" i="45"/>
  <c r="C19" i="45"/>
  <c r="D20" i="45"/>
  <c r="G18" i="45"/>
  <c r="G16" i="45"/>
  <c r="F16" i="45"/>
  <c r="E16" i="45"/>
  <c r="C15" i="45"/>
  <c r="S6" i="45"/>
  <c r="R6" i="45"/>
  <c r="Q6" i="45"/>
  <c r="P6" i="45"/>
  <c r="O6" i="45"/>
  <c r="N6" i="45"/>
  <c r="E3" i="33"/>
  <c r="F14" i="37"/>
  <c r="H14" i="37"/>
  <c r="F9" i="37"/>
  <c r="H9" i="37"/>
  <c r="I9" i="37"/>
  <c r="F10" i="37"/>
  <c r="H10" i="37"/>
  <c r="I10" i="37"/>
  <c r="F11" i="37"/>
  <c r="H11" i="37"/>
  <c r="I11" i="37"/>
  <c r="F12" i="37"/>
  <c r="H12" i="37"/>
  <c r="I12" i="37"/>
  <c r="F13" i="37"/>
  <c r="H13" i="37"/>
  <c r="I13" i="37"/>
  <c r="I14" i="37"/>
  <c r="F15" i="37"/>
  <c r="H15" i="37"/>
  <c r="I15" i="37"/>
  <c r="F16" i="37"/>
  <c r="H16" i="37"/>
  <c r="I16" i="37"/>
  <c r="F17" i="37"/>
  <c r="H17" i="37"/>
  <c r="I17" i="37"/>
  <c r="F18" i="37"/>
  <c r="H18" i="37"/>
  <c r="I18" i="37"/>
  <c r="D9" i="42"/>
  <c r="E9" i="42"/>
  <c r="F9" i="42"/>
  <c r="G9" i="42"/>
  <c r="C9" i="42"/>
  <c r="D38" i="38"/>
  <c r="D7" i="42"/>
  <c r="E38" i="38"/>
  <c r="E7" i="42"/>
  <c r="F38" i="38"/>
  <c r="F7" i="42"/>
  <c r="G38" i="38"/>
  <c r="G7" i="42"/>
  <c r="C38" i="38"/>
  <c r="C7" i="42"/>
  <c r="D22" i="38"/>
  <c r="D6" i="42"/>
  <c r="E22" i="38"/>
  <c r="E6" i="42"/>
  <c r="F22" i="38"/>
  <c r="F6" i="42"/>
  <c r="G22" i="38"/>
  <c r="G6" i="42"/>
  <c r="C22" i="38"/>
  <c r="C6" i="42"/>
  <c r="D20" i="33"/>
  <c r="C22" i="33"/>
  <c r="C25" i="33"/>
  <c r="F6" i="34"/>
  <c r="G6" i="34"/>
  <c r="F7" i="34"/>
  <c r="G7" i="34"/>
  <c r="F8" i="34"/>
  <c r="G8" i="34"/>
  <c r="M5" i="24"/>
  <c r="N5" i="24"/>
  <c r="M8" i="24"/>
  <c r="N8" i="24"/>
  <c r="N17" i="24"/>
  <c r="G5" i="34"/>
  <c r="G9" i="34"/>
  <c r="F3" i="34"/>
  <c r="F4" i="34"/>
  <c r="M11" i="24"/>
  <c r="M14" i="24"/>
  <c r="M17" i="24"/>
  <c r="F5" i="34"/>
  <c r="F9" i="34"/>
  <c r="H123" i="32"/>
  <c r="N2" i="24"/>
  <c r="D11" i="42"/>
  <c r="D5" i="42"/>
  <c r="D10" i="42"/>
  <c r="D12" i="42"/>
  <c r="D26" i="42"/>
  <c r="D24" i="42"/>
  <c r="E11" i="42"/>
  <c r="E5" i="42"/>
  <c r="E10" i="42"/>
  <c r="E12" i="42"/>
  <c r="E26" i="42"/>
  <c r="E24" i="42"/>
  <c r="F11" i="42"/>
  <c r="F5" i="42"/>
  <c r="F10" i="42"/>
  <c r="F12" i="42"/>
  <c r="F26" i="42"/>
  <c r="F24" i="42"/>
  <c r="G11" i="42"/>
  <c r="G5" i="42"/>
  <c r="G10" i="42"/>
  <c r="G12" i="42"/>
  <c r="G26" i="42"/>
  <c r="G24" i="42"/>
  <c r="C11" i="42"/>
  <c r="C5" i="42"/>
  <c r="C10" i="42"/>
  <c r="C12" i="42"/>
  <c r="C26" i="42"/>
  <c r="C104" i="38"/>
  <c r="C98" i="38"/>
  <c r="C99" i="38"/>
  <c r="C100" i="38"/>
  <c r="C102" i="38"/>
  <c r="C103" i="38"/>
  <c r="Y16" i="37"/>
  <c r="Y17" i="37"/>
  <c r="Y18" i="37"/>
  <c r="Y19" i="37"/>
  <c r="D14" i="41"/>
  <c r="D15" i="41"/>
  <c r="E14" i="41"/>
  <c r="E15" i="41"/>
  <c r="F14" i="41"/>
  <c r="F15" i="41"/>
  <c r="G14" i="41"/>
  <c r="G15" i="41"/>
  <c r="H14" i="41"/>
  <c r="H15" i="41"/>
  <c r="C16" i="41"/>
  <c r="D98" i="38"/>
  <c r="E98" i="38"/>
  <c r="F98" i="38"/>
  <c r="G98" i="38"/>
  <c r="D102" i="38"/>
  <c r="E102" i="38"/>
  <c r="F102" i="38"/>
  <c r="G102" i="38"/>
  <c r="I48" i="31"/>
  <c r="J48" i="31"/>
  <c r="K48" i="31"/>
  <c r="L48" i="31"/>
  <c r="H48" i="31"/>
  <c r="D103" i="38"/>
  <c r="D99" i="38"/>
  <c r="D104" i="38"/>
  <c r="E103" i="38"/>
  <c r="E99" i="38"/>
  <c r="E104" i="38"/>
  <c r="F103" i="38"/>
  <c r="F99" i="38"/>
  <c r="F104" i="38"/>
  <c r="G103" i="38"/>
  <c r="G99" i="38"/>
  <c r="G104" i="38"/>
  <c r="O27" i="35"/>
  <c r="O26" i="35"/>
  <c r="O20" i="35"/>
  <c r="O21" i="35"/>
  <c r="D22" i="33"/>
  <c r="E22" i="33"/>
  <c r="F22" i="33"/>
  <c r="G22" i="33"/>
  <c r="H22" i="33"/>
  <c r="I22" i="33"/>
  <c r="J22" i="33"/>
  <c r="K22" i="33"/>
  <c r="L22" i="33"/>
  <c r="M22" i="33"/>
  <c r="N22" i="33"/>
  <c r="C24" i="33"/>
  <c r="D24" i="33"/>
  <c r="E24" i="33"/>
  <c r="F24" i="33"/>
  <c r="G24" i="33"/>
  <c r="H24" i="33"/>
  <c r="I24" i="33"/>
  <c r="J24" i="33"/>
  <c r="K24" i="33"/>
  <c r="L24" i="33"/>
  <c r="M24" i="33"/>
  <c r="N24" i="33"/>
  <c r="H12" i="31"/>
  <c r="I12" i="31"/>
  <c r="J12" i="31"/>
  <c r="K12" i="31"/>
  <c r="L12" i="31"/>
  <c r="M12" i="31"/>
  <c r="N12" i="31"/>
  <c r="O12" i="31"/>
  <c r="P12" i="31"/>
  <c r="Q12" i="31"/>
  <c r="R12" i="31"/>
  <c r="S12" i="31"/>
  <c r="T12" i="31"/>
  <c r="H13" i="31"/>
  <c r="I13" i="31"/>
  <c r="J13" i="31"/>
  <c r="K13" i="31"/>
  <c r="L13" i="31"/>
  <c r="M13" i="31"/>
  <c r="N13" i="31"/>
  <c r="O13" i="31"/>
  <c r="P13" i="31"/>
  <c r="Q13" i="31"/>
  <c r="R13" i="31"/>
  <c r="S13" i="31"/>
  <c r="T13" i="31"/>
  <c r="H14" i="31"/>
  <c r="I14" i="31"/>
  <c r="J14" i="31"/>
  <c r="K14" i="31"/>
  <c r="L14" i="31"/>
  <c r="M14" i="31"/>
  <c r="N14" i="31"/>
  <c r="O14" i="31"/>
  <c r="P14" i="31"/>
  <c r="Q14" i="31"/>
  <c r="R14" i="31"/>
  <c r="S14" i="31"/>
  <c r="T14" i="31"/>
  <c r="H15" i="31"/>
  <c r="I15" i="31"/>
  <c r="J15" i="31"/>
  <c r="K15" i="31"/>
  <c r="L15" i="31"/>
  <c r="M15" i="31"/>
  <c r="N15" i="31"/>
  <c r="O15" i="31"/>
  <c r="P15" i="31"/>
  <c r="Q15" i="31"/>
  <c r="R15" i="31"/>
  <c r="S15" i="31"/>
  <c r="T15" i="31"/>
  <c r="F17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K15" i="27"/>
  <c r="L15" i="27"/>
  <c r="M15" i="27"/>
  <c r="N15" i="27"/>
  <c r="E17" i="33"/>
  <c r="F17" i="33"/>
  <c r="G17" i="33"/>
  <c r="H17" i="33"/>
  <c r="I17" i="33"/>
  <c r="J17" i="33"/>
  <c r="K17" i="33"/>
  <c r="L17" i="33"/>
  <c r="M17" i="33"/>
  <c r="N17" i="33"/>
  <c r="Z22" i="37"/>
  <c r="Z23" i="37"/>
  <c r="Z24" i="37"/>
  <c r="Z25" i="37"/>
  <c r="Z21" i="37"/>
  <c r="T15" i="37"/>
  <c r="X15" i="37"/>
  <c r="T16" i="37"/>
  <c r="V22" i="37"/>
  <c r="X16" i="37"/>
  <c r="T17" i="37"/>
  <c r="V23" i="37"/>
  <c r="X17" i="37"/>
  <c r="T18" i="37"/>
  <c r="V24" i="37"/>
  <c r="X18" i="37"/>
  <c r="T19" i="37"/>
  <c r="V25" i="37"/>
  <c r="V21" i="37"/>
  <c r="X19" i="37"/>
  <c r="AA7" i="37"/>
  <c r="W11" i="37"/>
  <c r="U11" i="37"/>
  <c r="X11" i="37"/>
  <c r="M20" i="12"/>
  <c r="T23" i="12"/>
  <c r="U23" i="12"/>
  <c r="T24" i="12"/>
  <c r="U24" i="12"/>
  <c r="T25" i="12"/>
  <c r="U25" i="12"/>
  <c r="T26" i="12"/>
  <c r="U26" i="12"/>
  <c r="T28" i="12"/>
  <c r="U28" i="12"/>
  <c r="T29" i="12"/>
  <c r="S29" i="12"/>
  <c r="U29" i="12"/>
  <c r="T30" i="12"/>
  <c r="S30" i="12"/>
  <c r="U30" i="12"/>
  <c r="T31" i="12"/>
  <c r="S31" i="12"/>
  <c r="U31" i="12"/>
  <c r="U27" i="12"/>
  <c r="U32" i="12"/>
  <c r="R39" i="12"/>
  <c r="S39" i="12"/>
  <c r="T39" i="12"/>
  <c r="R40" i="12"/>
  <c r="S40" i="12"/>
  <c r="T40" i="12"/>
  <c r="R42" i="12"/>
  <c r="S42" i="12"/>
  <c r="T42" i="12"/>
  <c r="R41" i="12"/>
  <c r="S41" i="12"/>
  <c r="T41" i="12"/>
  <c r="R43" i="12"/>
  <c r="S43" i="12"/>
  <c r="T43" i="12"/>
  <c r="T44" i="12"/>
  <c r="AJ7" i="12"/>
  <c r="I4" i="12"/>
  <c r="R7" i="12"/>
  <c r="AF7" i="12"/>
  <c r="S7" i="12"/>
  <c r="AG7" i="12"/>
  <c r="R8" i="12"/>
  <c r="AF8" i="12"/>
  <c r="S8" i="12"/>
  <c r="AG8" i="12"/>
  <c r="R9" i="12"/>
  <c r="AF9" i="12"/>
  <c r="S9" i="12"/>
  <c r="AG9" i="12"/>
  <c r="R10" i="12"/>
  <c r="AF10" i="12"/>
  <c r="S10" i="12"/>
  <c r="AG10" i="12"/>
  <c r="R12" i="12"/>
  <c r="AF12" i="12"/>
  <c r="S12" i="12"/>
  <c r="AG12" i="12"/>
  <c r="R13" i="12"/>
  <c r="AF13" i="12"/>
  <c r="S13" i="12"/>
  <c r="AG13" i="12"/>
  <c r="R14" i="12"/>
  <c r="AF14" i="12"/>
  <c r="S14" i="12"/>
  <c r="AG14" i="12"/>
  <c r="R15" i="12"/>
  <c r="AF15" i="12"/>
  <c r="S15" i="12"/>
  <c r="AG15" i="12"/>
  <c r="AG11" i="12"/>
  <c r="AG16" i="12"/>
  <c r="AP6" i="12"/>
  <c r="AP7" i="12"/>
  <c r="AP8" i="12"/>
  <c r="R11" i="12"/>
  <c r="AF11" i="12"/>
  <c r="H4" i="12"/>
  <c r="AD7" i="12"/>
  <c r="I8" i="12"/>
  <c r="I9" i="12"/>
  <c r="I10" i="12"/>
  <c r="I11" i="12"/>
  <c r="I12" i="12"/>
  <c r="AI20" i="6"/>
  <c r="AI21" i="6"/>
  <c r="AI22" i="6"/>
  <c r="AI23" i="6"/>
  <c r="AI24" i="6"/>
  <c r="AI25" i="6"/>
  <c r="AI26" i="6"/>
  <c r="AI27" i="6"/>
  <c r="AI28" i="6"/>
  <c r="AI29" i="6"/>
  <c r="AI19" i="6"/>
  <c r="U29" i="6"/>
  <c r="AJ29" i="6"/>
  <c r="AJ28" i="6"/>
  <c r="AJ27" i="6"/>
  <c r="AJ26" i="6"/>
  <c r="AJ25" i="6"/>
  <c r="AJ24" i="6"/>
  <c r="AJ23" i="6"/>
  <c r="AJ22" i="6"/>
  <c r="AJ21" i="6"/>
  <c r="AJ20" i="6"/>
  <c r="AJ19" i="6"/>
  <c r="T4" i="7"/>
  <c r="P35" i="11"/>
  <c r="K3697" i="3"/>
  <c r="L3697" i="3"/>
  <c r="M3697" i="3"/>
  <c r="N3697" i="3"/>
  <c r="O3697" i="3"/>
  <c r="P3697" i="3"/>
  <c r="Q3697" i="3"/>
  <c r="R3697" i="3"/>
  <c r="N66" i="37"/>
  <c r="Q66" i="37"/>
  <c r="D25" i="33"/>
  <c r="E25" i="33"/>
  <c r="F25" i="33"/>
  <c r="G25" i="33"/>
  <c r="H25" i="33"/>
  <c r="I25" i="33"/>
  <c r="J25" i="33"/>
  <c r="K25" i="33"/>
  <c r="L25" i="33"/>
  <c r="M25" i="33"/>
  <c r="N25" i="33"/>
  <c r="C18" i="33"/>
  <c r="E20" i="33"/>
  <c r="E21" i="33"/>
  <c r="E18" i="33"/>
  <c r="F18" i="33"/>
  <c r="F20" i="33"/>
  <c r="F21" i="33"/>
  <c r="G18" i="33"/>
  <c r="G20" i="33"/>
  <c r="G21" i="33"/>
  <c r="H18" i="33"/>
  <c r="H20" i="33"/>
  <c r="H21" i="33"/>
  <c r="I18" i="33"/>
  <c r="I20" i="33"/>
  <c r="I21" i="33"/>
  <c r="J18" i="33"/>
  <c r="J20" i="33"/>
  <c r="J21" i="33"/>
  <c r="K18" i="33"/>
  <c r="K20" i="33"/>
  <c r="K21" i="33"/>
  <c r="L18" i="33"/>
  <c r="L20" i="33"/>
  <c r="L21" i="33"/>
  <c r="M18" i="33"/>
  <c r="M20" i="33"/>
  <c r="M21" i="33"/>
  <c r="N18" i="33"/>
  <c r="N20" i="33"/>
  <c r="N21" i="33"/>
  <c r="D21" i="33"/>
  <c r="N38" i="32"/>
  <c r="N39" i="32"/>
  <c r="V26" i="23"/>
  <c r="V25" i="23"/>
  <c r="V24" i="23"/>
  <c r="I22" i="22"/>
  <c r="I23" i="22"/>
  <c r="I24" i="22"/>
  <c r="I25" i="22"/>
  <c r="I26" i="22"/>
  <c r="I15" i="22"/>
  <c r="I16" i="22"/>
  <c r="I17" i="22"/>
  <c r="I18" i="22"/>
  <c r="I19" i="22"/>
  <c r="J26" i="22"/>
  <c r="J25" i="22"/>
  <c r="J24" i="22"/>
  <c r="J23" i="22"/>
  <c r="J22" i="22"/>
  <c r="O27" i="23"/>
  <c r="O25" i="23"/>
  <c r="O26" i="23"/>
  <c r="O24" i="23"/>
  <c r="J16" i="22"/>
  <c r="J17" i="22"/>
  <c r="J18" i="22"/>
  <c r="J19" i="22"/>
  <c r="J15" i="22"/>
  <c r="I3" i="22"/>
  <c r="I4" i="22"/>
  <c r="I5" i="22"/>
  <c r="I6" i="22"/>
  <c r="I7" i="22"/>
  <c r="I8" i="22"/>
  <c r="I9" i="22"/>
  <c r="C29" i="23"/>
  <c r="E29" i="23"/>
  <c r="F29" i="23"/>
  <c r="G29" i="23"/>
  <c r="H29" i="23"/>
  <c r="D29" i="23"/>
  <c r="K4" i="23"/>
  <c r="K5" i="23"/>
  <c r="K6" i="23"/>
  <c r="K7" i="23"/>
  <c r="K8" i="23"/>
  <c r="Q20" i="23"/>
  <c r="Q19" i="23"/>
  <c r="Q18" i="23"/>
  <c r="D14" i="23"/>
  <c r="E15" i="23"/>
  <c r="D4" i="25"/>
  <c r="E4" i="25"/>
  <c r="F4" i="25"/>
  <c r="G4" i="25"/>
  <c r="C4" i="25"/>
  <c r="I10" i="24"/>
  <c r="I9" i="24"/>
  <c r="I7" i="24"/>
  <c r="I6" i="24"/>
  <c r="J4" i="22"/>
  <c r="J5" i="22"/>
  <c r="J6" i="22"/>
  <c r="J7" i="22"/>
  <c r="J8" i="22"/>
  <c r="J9" i="22"/>
  <c r="J3" i="22"/>
  <c r="B31" i="21"/>
  <c r="B32" i="21"/>
  <c r="B33" i="21"/>
  <c r="B30" i="21"/>
  <c r="N7" i="1"/>
  <c r="O7" i="1"/>
  <c r="P7" i="1"/>
  <c r="H3" i="14"/>
  <c r="H12" i="14"/>
  <c r="H11" i="14"/>
  <c r="H10" i="14"/>
  <c r="H9" i="14"/>
  <c r="H8" i="14"/>
  <c r="H7" i="14"/>
  <c r="H6" i="14"/>
  <c r="H5" i="14"/>
  <c r="H4" i="14"/>
  <c r="H17" i="14"/>
  <c r="H18" i="14"/>
  <c r="H19" i="14"/>
  <c r="H20" i="14"/>
  <c r="H21" i="14"/>
  <c r="H22" i="14"/>
  <c r="H23" i="14"/>
  <c r="H24" i="14"/>
  <c r="H25" i="14"/>
  <c r="H16" i="14"/>
  <c r="H26" i="14"/>
  <c r="F26" i="14"/>
  <c r="H13" i="14"/>
  <c r="F13" i="14"/>
  <c r="AK7" i="12"/>
  <c r="D4" i="12"/>
  <c r="V7" i="12"/>
  <c r="W7" i="12"/>
  <c r="V8" i="12"/>
  <c r="W8" i="12"/>
  <c r="V9" i="12"/>
  <c r="W9" i="12"/>
  <c r="V10" i="12"/>
  <c r="W10" i="12"/>
  <c r="V12" i="12"/>
  <c r="W12" i="12"/>
  <c r="V13" i="12"/>
  <c r="W13" i="12"/>
  <c r="V14" i="12"/>
  <c r="W14" i="12"/>
  <c r="V15" i="12"/>
  <c r="W15" i="12"/>
  <c r="W11" i="12"/>
  <c r="W16" i="12"/>
  <c r="AK6" i="12"/>
  <c r="AK8" i="12"/>
  <c r="AL7" i="12"/>
  <c r="E4" i="12"/>
  <c r="X7" i="12"/>
  <c r="Y7" i="12"/>
  <c r="X8" i="12"/>
  <c r="Y8" i="12"/>
  <c r="X9" i="12"/>
  <c r="Y9" i="12"/>
  <c r="X10" i="12"/>
  <c r="Y10" i="12"/>
  <c r="X12" i="12"/>
  <c r="Y12" i="12"/>
  <c r="X13" i="12"/>
  <c r="Y13" i="12"/>
  <c r="X14" i="12"/>
  <c r="Y14" i="12"/>
  <c r="X15" i="12"/>
  <c r="Y15" i="12"/>
  <c r="Y11" i="12"/>
  <c r="Y16" i="12"/>
  <c r="AL6" i="12"/>
  <c r="AL8" i="12"/>
  <c r="AM7" i="12"/>
  <c r="F4" i="12"/>
  <c r="Z7" i="12"/>
  <c r="AA7" i="12"/>
  <c r="Z8" i="12"/>
  <c r="AA8" i="12"/>
  <c r="Z9" i="12"/>
  <c r="AA9" i="12"/>
  <c r="Z10" i="12"/>
  <c r="AA10" i="12"/>
  <c r="Z12" i="12"/>
  <c r="AA12" i="12"/>
  <c r="Z13" i="12"/>
  <c r="AA13" i="12"/>
  <c r="Z14" i="12"/>
  <c r="AA14" i="12"/>
  <c r="Z15" i="12"/>
  <c r="AA15" i="12"/>
  <c r="AA11" i="12"/>
  <c r="AA16" i="12"/>
  <c r="AM6" i="12"/>
  <c r="AM8" i="12"/>
  <c r="AN7" i="12"/>
  <c r="G4" i="12"/>
  <c r="AB7" i="12"/>
  <c r="AC7" i="12"/>
  <c r="AB8" i="12"/>
  <c r="AC8" i="12"/>
  <c r="AB9" i="12"/>
  <c r="AC9" i="12"/>
  <c r="AB10" i="12"/>
  <c r="AC10" i="12"/>
  <c r="AB12" i="12"/>
  <c r="AC12" i="12"/>
  <c r="AB13" i="12"/>
  <c r="AC13" i="12"/>
  <c r="AB14" i="12"/>
  <c r="AC14" i="12"/>
  <c r="AB15" i="12"/>
  <c r="AC15" i="12"/>
  <c r="AC11" i="12"/>
  <c r="AC16" i="12"/>
  <c r="AN6" i="12"/>
  <c r="AN8" i="12"/>
  <c r="AO7" i="12"/>
  <c r="AE7" i="12"/>
  <c r="AD8" i="12"/>
  <c r="AE8" i="12"/>
  <c r="AD9" i="12"/>
  <c r="AE9" i="12"/>
  <c r="AD10" i="12"/>
  <c r="AE10" i="12"/>
  <c r="AD12" i="12"/>
  <c r="AE12" i="12"/>
  <c r="AD13" i="12"/>
  <c r="AE13" i="12"/>
  <c r="AD14" i="12"/>
  <c r="AE14" i="12"/>
  <c r="AD15" i="12"/>
  <c r="AE15" i="12"/>
  <c r="AE11" i="12"/>
  <c r="AE16" i="12"/>
  <c r="AO6" i="12"/>
  <c r="AO8" i="12"/>
  <c r="C4" i="12"/>
  <c r="T7" i="12"/>
  <c r="U7" i="12"/>
  <c r="T8" i="12"/>
  <c r="U8" i="12"/>
  <c r="T9" i="12"/>
  <c r="U9" i="12"/>
  <c r="T10" i="12"/>
  <c r="U10" i="12"/>
  <c r="T12" i="12"/>
  <c r="U12" i="12"/>
  <c r="T13" i="12"/>
  <c r="U13" i="12"/>
  <c r="T14" i="12"/>
  <c r="U14" i="12"/>
  <c r="T15" i="12"/>
  <c r="U15" i="12"/>
  <c r="U11" i="12"/>
  <c r="U16" i="12"/>
  <c r="AJ6" i="12"/>
  <c r="AJ8" i="12"/>
  <c r="M22" i="12"/>
  <c r="R27" i="12"/>
  <c r="T27" i="12"/>
  <c r="M3701" i="3"/>
  <c r="M1436" i="3"/>
  <c r="M1429" i="3"/>
  <c r="C5" i="13"/>
  <c r="C6" i="13"/>
  <c r="AD11" i="12"/>
  <c r="AB11" i="12"/>
  <c r="Z11" i="12"/>
  <c r="X11" i="12"/>
  <c r="V11" i="12"/>
  <c r="T11" i="12"/>
  <c r="D8" i="12"/>
  <c r="D9" i="12"/>
  <c r="D10" i="12"/>
  <c r="D11" i="12"/>
  <c r="D12" i="12"/>
  <c r="E8" i="12"/>
  <c r="E9" i="12"/>
  <c r="E10" i="12"/>
  <c r="E11" i="12"/>
  <c r="E12" i="12"/>
  <c r="F8" i="12"/>
  <c r="F9" i="12"/>
  <c r="F10" i="12"/>
  <c r="F11" i="12"/>
  <c r="F12" i="12"/>
  <c r="G8" i="12"/>
  <c r="G9" i="12"/>
  <c r="G10" i="12"/>
  <c r="G11" i="12"/>
  <c r="G12" i="12"/>
  <c r="H8" i="12"/>
  <c r="H9" i="12"/>
  <c r="H10" i="12"/>
  <c r="H11" i="12"/>
  <c r="H12" i="12"/>
  <c r="C8" i="12"/>
  <c r="C9" i="12"/>
  <c r="C10" i="12"/>
  <c r="C11" i="12"/>
  <c r="C12" i="12"/>
  <c r="AG19" i="6"/>
  <c r="AH19" i="6"/>
  <c r="AG20" i="6"/>
  <c r="AH20" i="6"/>
  <c r="AG21" i="6"/>
  <c r="AH21" i="6"/>
  <c r="AG22" i="6"/>
  <c r="AH22" i="6"/>
  <c r="AG23" i="6"/>
  <c r="AH23" i="6"/>
  <c r="AG24" i="6"/>
  <c r="AH24" i="6"/>
  <c r="AG25" i="6"/>
  <c r="AH25" i="6"/>
  <c r="AG26" i="6"/>
  <c r="AH26" i="6"/>
  <c r="AG27" i="6"/>
  <c r="AH27" i="6"/>
  <c r="AG28" i="6"/>
  <c r="AH28" i="6"/>
  <c r="AG29" i="6"/>
  <c r="AH29" i="6"/>
  <c r="AH30" i="6"/>
  <c r="AE19" i="6"/>
  <c r="AF19" i="6"/>
  <c r="AE20" i="6"/>
  <c r="AF20" i="6"/>
  <c r="AE21" i="6"/>
  <c r="AF21" i="6"/>
  <c r="AE22" i="6"/>
  <c r="AF22" i="6"/>
  <c r="AE23" i="6"/>
  <c r="AF23" i="6"/>
  <c r="AE24" i="6"/>
  <c r="AF24" i="6"/>
  <c r="AE25" i="6"/>
  <c r="AF25" i="6"/>
  <c r="AE26" i="6"/>
  <c r="AF26" i="6"/>
  <c r="AE27" i="6"/>
  <c r="AF27" i="6"/>
  <c r="AE28" i="6"/>
  <c r="AF28" i="6"/>
  <c r="AE29" i="6"/>
  <c r="AF29" i="6"/>
  <c r="AF30" i="6"/>
  <c r="AC19" i="6"/>
  <c r="AD19" i="6"/>
  <c r="AC20" i="6"/>
  <c r="AD20" i="6"/>
  <c r="AC21" i="6"/>
  <c r="AD21" i="6"/>
  <c r="AC22" i="6"/>
  <c r="AD22" i="6"/>
  <c r="AC23" i="6"/>
  <c r="AD23" i="6"/>
  <c r="AC24" i="6"/>
  <c r="AD24" i="6"/>
  <c r="AC25" i="6"/>
  <c r="AD25" i="6"/>
  <c r="AC26" i="6"/>
  <c r="AD26" i="6"/>
  <c r="AC27" i="6"/>
  <c r="AD27" i="6"/>
  <c r="AC28" i="6"/>
  <c r="AD28" i="6"/>
  <c r="AC29" i="6"/>
  <c r="AD29" i="6"/>
  <c r="AD30" i="6"/>
  <c r="AA19" i="6"/>
  <c r="AB19" i="6"/>
  <c r="AA20" i="6"/>
  <c r="AB20" i="6"/>
  <c r="AA21" i="6"/>
  <c r="AB21" i="6"/>
  <c r="AA22" i="6"/>
  <c r="AB22" i="6"/>
  <c r="AA23" i="6"/>
  <c r="AB23" i="6"/>
  <c r="AA24" i="6"/>
  <c r="AB24" i="6"/>
  <c r="AA25" i="6"/>
  <c r="AB25" i="6"/>
  <c r="AA26" i="6"/>
  <c r="AB26" i="6"/>
  <c r="AA27" i="6"/>
  <c r="AB27" i="6"/>
  <c r="AA28" i="6"/>
  <c r="AB28" i="6"/>
  <c r="AA29" i="6"/>
  <c r="AB29" i="6"/>
  <c r="AB30" i="6"/>
  <c r="Y19" i="6"/>
  <c r="Z19" i="6"/>
  <c r="Y20" i="6"/>
  <c r="Z20" i="6"/>
  <c r="Y21" i="6"/>
  <c r="Z21" i="6"/>
  <c r="Y22" i="6"/>
  <c r="Z22" i="6"/>
  <c r="Y23" i="6"/>
  <c r="Z23" i="6"/>
  <c r="Y24" i="6"/>
  <c r="Z24" i="6"/>
  <c r="Y25" i="6"/>
  <c r="Z25" i="6"/>
  <c r="Y26" i="6"/>
  <c r="Z26" i="6"/>
  <c r="Y27" i="6"/>
  <c r="Z27" i="6"/>
  <c r="Y28" i="6"/>
  <c r="Z28" i="6"/>
  <c r="Y29" i="6"/>
  <c r="Z29" i="6"/>
  <c r="Z30" i="6"/>
  <c r="G3" i="6"/>
  <c r="I3" i="6"/>
  <c r="G4" i="6"/>
  <c r="I4" i="6"/>
  <c r="G5" i="6"/>
  <c r="I5" i="6"/>
  <c r="G6" i="6"/>
  <c r="I6" i="6"/>
  <c r="G7" i="6"/>
  <c r="I7" i="6"/>
  <c r="G8" i="6"/>
  <c r="I8" i="6"/>
  <c r="G9" i="6"/>
  <c r="I9" i="6"/>
  <c r="G10" i="6"/>
  <c r="I10" i="6"/>
  <c r="G11" i="6"/>
  <c r="I11" i="6"/>
  <c r="G12" i="6"/>
  <c r="I12" i="6"/>
  <c r="I14" i="6"/>
  <c r="R19" i="6"/>
  <c r="R20" i="6"/>
  <c r="R21" i="6"/>
  <c r="R22" i="6"/>
  <c r="R23" i="6"/>
  <c r="R24" i="6"/>
  <c r="R25" i="6"/>
  <c r="R26" i="6"/>
  <c r="R27" i="6"/>
  <c r="R28" i="6"/>
  <c r="R29" i="6"/>
  <c r="R30" i="6"/>
  <c r="Q30" i="6"/>
  <c r="P30" i="6"/>
  <c r="O4" i="7"/>
  <c r="P4" i="7"/>
  <c r="Q4" i="7"/>
  <c r="R4" i="7"/>
  <c r="S4" i="7"/>
  <c r="N4" i="7"/>
  <c r="K35" i="11"/>
  <c r="L35" i="11"/>
  <c r="M35" i="11"/>
  <c r="N35" i="11"/>
  <c r="O35" i="11"/>
  <c r="J35" i="11"/>
  <c r="J3" i="6"/>
  <c r="K3" i="6"/>
  <c r="L3" i="6"/>
  <c r="M3" i="6"/>
  <c r="J4" i="6"/>
  <c r="K4" i="6"/>
  <c r="L4" i="6"/>
  <c r="M4" i="6"/>
  <c r="J5" i="6"/>
  <c r="K5" i="6"/>
  <c r="L5" i="6"/>
  <c r="M5" i="6"/>
  <c r="J6" i="6"/>
  <c r="K6" i="6"/>
  <c r="L6" i="6"/>
  <c r="M6" i="6"/>
  <c r="J7" i="6"/>
  <c r="K7" i="6"/>
  <c r="L7" i="6"/>
  <c r="M7" i="6"/>
  <c r="J8" i="6"/>
  <c r="K8" i="6"/>
  <c r="L8" i="6"/>
  <c r="M8" i="6"/>
  <c r="J9" i="6"/>
  <c r="K9" i="6"/>
  <c r="L9" i="6"/>
  <c r="M9" i="6"/>
  <c r="J10" i="6"/>
  <c r="K10" i="6"/>
  <c r="L10" i="6"/>
  <c r="M10" i="6"/>
  <c r="J11" i="6"/>
  <c r="K11" i="6"/>
  <c r="L11" i="6"/>
  <c r="M11" i="6"/>
  <c r="J12" i="6"/>
  <c r="K12" i="6"/>
  <c r="L12" i="6"/>
  <c r="M12" i="6"/>
  <c r="J13" i="6"/>
  <c r="K13" i="6"/>
  <c r="G13" i="6"/>
  <c r="A13" i="6"/>
  <c r="L13" i="6"/>
  <c r="M13" i="6"/>
  <c r="M14" i="6"/>
  <c r="E25" i="6"/>
  <c r="E26" i="6"/>
  <c r="E27" i="6"/>
  <c r="E28" i="6"/>
  <c r="E24" i="6"/>
  <c r="F25" i="6"/>
  <c r="G25" i="6"/>
  <c r="F26" i="6"/>
  <c r="G26" i="6"/>
  <c r="F27" i="6"/>
  <c r="G27" i="6"/>
  <c r="F28" i="6"/>
  <c r="G28" i="6"/>
  <c r="F24" i="6"/>
  <c r="G24" i="6"/>
  <c r="L14" i="6"/>
  <c r="G14" i="6"/>
  <c r="H3" i="6"/>
  <c r="H4" i="6"/>
  <c r="H5" i="6"/>
  <c r="H6" i="6"/>
  <c r="H7" i="6"/>
  <c r="H8" i="6"/>
  <c r="H9" i="6"/>
  <c r="H10" i="6"/>
  <c r="H11" i="6"/>
  <c r="H12" i="6"/>
  <c r="H13" i="6"/>
  <c r="H14" i="6"/>
  <c r="D25" i="5"/>
  <c r="C25" i="5"/>
  <c r="E25" i="5"/>
  <c r="F25" i="5"/>
  <c r="G25" i="5"/>
  <c r="H25" i="5"/>
  <c r="I25" i="5"/>
  <c r="J25" i="5"/>
  <c r="K25" i="5"/>
  <c r="D26" i="5"/>
  <c r="E26" i="5"/>
  <c r="F26" i="5"/>
  <c r="G26" i="5"/>
  <c r="H26" i="5"/>
  <c r="I26" i="5"/>
  <c r="J26" i="5"/>
  <c r="K26" i="5"/>
  <c r="C26" i="5"/>
  <c r="K22" i="5"/>
  <c r="K23" i="5"/>
  <c r="K24" i="5"/>
  <c r="K21" i="5"/>
  <c r="D16" i="5"/>
  <c r="E3" i="5"/>
  <c r="E4" i="5"/>
  <c r="E5" i="5"/>
  <c r="E6" i="5"/>
  <c r="E7" i="5"/>
  <c r="D17" i="5"/>
  <c r="E16" i="5"/>
  <c r="E17" i="5"/>
  <c r="F16" i="5"/>
  <c r="F17" i="5"/>
  <c r="G16" i="5"/>
  <c r="G17" i="5"/>
  <c r="C12" i="5"/>
  <c r="C13" i="5"/>
  <c r="C14" i="5"/>
  <c r="C15" i="5"/>
  <c r="C16" i="5"/>
  <c r="C17" i="5"/>
  <c r="D7" i="5"/>
  <c r="D8" i="5"/>
  <c r="C7" i="5"/>
  <c r="C8" i="5"/>
  <c r="E8" i="5"/>
  <c r="M7" i="1"/>
  <c r="R4" i="1"/>
  <c r="S4" i="1"/>
  <c r="R5" i="1"/>
  <c r="S5" i="1"/>
  <c r="R6" i="1"/>
  <c r="S6" i="1"/>
  <c r="R3" i="1"/>
  <c r="S3" i="1"/>
  <c r="D7" i="1"/>
  <c r="C7" i="1"/>
  <c r="D8" i="1"/>
  <c r="E7" i="1"/>
  <c r="E8" i="1"/>
  <c r="F7" i="1"/>
  <c r="F8" i="1"/>
  <c r="G7" i="1"/>
  <c r="G8" i="1"/>
  <c r="H7" i="1"/>
  <c r="H8" i="1"/>
  <c r="I7" i="1"/>
  <c r="I8" i="1"/>
  <c r="J7" i="1"/>
  <c r="J8" i="1"/>
  <c r="K7" i="1"/>
  <c r="K8" i="1"/>
  <c r="L7" i="1"/>
  <c r="L8" i="1"/>
  <c r="M8" i="1"/>
  <c r="Q8" i="1"/>
  <c r="Q7" i="1"/>
  <c r="W19" i="6"/>
  <c r="X19" i="6"/>
  <c r="W20" i="6"/>
  <c r="X20" i="6"/>
  <c r="W21" i="6"/>
  <c r="X21" i="6"/>
  <c r="W22" i="6"/>
  <c r="X22" i="6"/>
  <c r="W23" i="6"/>
  <c r="X23" i="6"/>
  <c r="W24" i="6"/>
  <c r="X24" i="6"/>
  <c r="W25" i="6"/>
  <c r="X25" i="6"/>
  <c r="W26" i="6"/>
  <c r="X26" i="6"/>
  <c r="W27" i="6"/>
  <c r="X27" i="6"/>
  <c r="W28" i="6"/>
  <c r="X28" i="6"/>
  <c r="W29" i="6"/>
  <c r="X29" i="6"/>
  <c r="X30" i="6"/>
  <c r="AJ30" i="6"/>
  <c r="D18" i="33"/>
  <c r="D100" i="38"/>
  <c r="E100" i="38"/>
  <c r="F100" i="38"/>
  <c r="G100" i="38"/>
  <c r="U12" i="31"/>
  <c r="V12" i="31"/>
  <c r="U13" i="31"/>
  <c r="V13" i="31"/>
  <c r="U14" i="31"/>
  <c r="V14" i="31"/>
  <c r="U15" i="31"/>
  <c r="V15" i="31"/>
  <c r="F3" i="33"/>
  <c r="E5" i="36"/>
  <c r="E15" i="36"/>
  <c r="E17" i="36"/>
  <c r="D16" i="43"/>
  <c r="D17" i="43"/>
  <c r="F16" i="43"/>
  <c r="F15" i="43"/>
  <c r="C44" i="38"/>
  <c r="C46" i="38"/>
  <c r="C56" i="38"/>
  <c r="C58" i="38"/>
  <c r="C47" i="38"/>
  <c r="C59" i="38"/>
  <c r="C60" i="38"/>
  <c r="C7" i="40"/>
  <c r="C8" i="40"/>
  <c r="C11" i="40"/>
  <c r="C13" i="40"/>
  <c r="C14" i="40"/>
  <c r="D36" i="41"/>
  <c r="D33" i="41"/>
  <c r="D37" i="41"/>
  <c r="D38" i="41"/>
  <c r="D46" i="41"/>
  <c r="D13" i="44"/>
  <c r="D14" i="43"/>
  <c r="D19" i="43"/>
  <c r="K12" i="44"/>
  <c r="D14" i="44"/>
  <c r="D44" i="38"/>
  <c r="D46" i="38"/>
  <c r="D56" i="38"/>
  <c r="D58" i="38"/>
  <c r="D47" i="38"/>
  <c r="D59" i="38"/>
  <c r="D60" i="38"/>
  <c r="D7" i="40"/>
  <c r="D8" i="40"/>
  <c r="D11" i="40"/>
  <c r="D13" i="40"/>
  <c r="D14" i="40"/>
  <c r="E36" i="41"/>
  <c r="E33" i="41"/>
  <c r="E37" i="41"/>
  <c r="E38" i="41"/>
  <c r="E46" i="41"/>
  <c r="E13" i="44"/>
  <c r="E14" i="44"/>
  <c r="E44" i="38"/>
  <c r="E46" i="38"/>
  <c r="E56" i="38"/>
  <c r="E58" i="38"/>
  <c r="E47" i="38"/>
  <c r="E59" i="38"/>
  <c r="E60" i="38"/>
  <c r="E7" i="40"/>
  <c r="E8" i="40"/>
  <c r="E11" i="40"/>
  <c r="E13" i="40"/>
  <c r="E14" i="40"/>
  <c r="F36" i="41"/>
  <c r="F33" i="41"/>
  <c r="F37" i="41"/>
  <c r="F38" i="41"/>
  <c r="F46" i="41"/>
  <c r="F13" i="44"/>
  <c r="F14" i="44"/>
  <c r="F44" i="38"/>
  <c r="F46" i="38"/>
  <c r="F56" i="38"/>
  <c r="F58" i="38"/>
  <c r="F47" i="38"/>
  <c r="F59" i="38"/>
  <c r="F60" i="38"/>
  <c r="F7" i="40"/>
  <c r="F8" i="40"/>
  <c r="F11" i="40"/>
  <c r="F13" i="40"/>
  <c r="F14" i="40"/>
  <c r="G36" i="41"/>
  <c r="G33" i="41"/>
  <c r="G37" i="41"/>
  <c r="G38" i="41"/>
  <c r="G46" i="41"/>
  <c r="G13" i="44"/>
  <c r="G14" i="44"/>
  <c r="G44" i="38"/>
  <c r="G46" i="38"/>
  <c r="G56" i="38"/>
  <c r="G58" i="38"/>
  <c r="G47" i="38"/>
  <c r="G59" i="38"/>
  <c r="G60" i="38"/>
  <c r="G7" i="40"/>
  <c r="G8" i="40"/>
  <c r="G11" i="40"/>
  <c r="G13" i="40"/>
  <c r="G14" i="40"/>
  <c r="H36" i="41"/>
  <c r="H33" i="41"/>
  <c r="H37" i="41"/>
  <c r="H38" i="41"/>
  <c r="H46" i="41"/>
  <c r="H13" i="44"/>
  <c r="H14" i="44"/>
  <c r="C30" i="41"/>
  <c r="C37" i="41"/>
  <c r="C38" i="41"/>
  <c r="C46" i="41"/>
  <c r="C13" i="44"/>
  <c r="C14" i="44"/>
  <c r="C15" i="44"/>
  <c r="D15" i="44"/>
  <c r="E15" i="44"/>
  <c r="F15" i="44"/>
  <c r="G15" i="44"/>
  <c r="H15" i="44"/>
  <c r="D5" i="44"/>
  <c r="D20" i="43"/>
  <c r="K4" i="44"/>
  <c r="D6" i="44"/>
  <c r="E5" i="44"/>
  <c r="E6" i="44"/>
  <c r="F5" i="44"/>
  <c r="F6" i="44"/>
  <c r="G5" i="44"/>
  <c r="G6" i="44"/>
  <c r="H5" i="44"/>
  <c r="H6" i="44"/>
  <c r="C5" i="44"/>
  <c r="C6" i="44"/>
  <c r="C7" i="44"/>
  <c r="D7" i="44"/>
  <c r="E7" i="44"/>
  <c r="F7" i="44"/>
  <c r="G7" i="44"/>
  <c r="H7" i="44"/>
  <c r="C26" i="43"/>
  <c r="D34" i="43"/>
  <c r="F19" i="52"/>
  <c r="F26" i="52"/>
  <c r="F27" i="52"/>
  <c r="G19" i="52"/>
  <c r="G26" i="52"/>
  <c r="G27" i="52"/>
  <c r="H19" i="52"/>
  <c r="H26" i="52"/>
  <c r="H27" i="52"/>
  <c r="I19" i="52"/>
  <c r="I26" i="52"/>
  <c r="I27" i="52"/>
  <c r="J19" i="52"/>
  <c r="J26" i="52"/>
  <c r="J27" i="52"/>
  <c r="K19" i="52"/>
  <c r="K26" i="52"/>
  <c r="K27" i="52"/>
  <c r="L19" i="52"/>
  <c r="L26" i="52"/>
  <c r="L27" i="52"/>
  <c r="M19" i="52"/>
  <c r="M26" i="52"/>
  <c r="M27" i="52"/>
  <c r="N19" i="52"/>
  <c r="N26" i="52"/>
  <c r="N27" i="52"/>
  <c r="O19" i="52"/>
  <c r="O26" i="52"/>
  <c r="O27" i="52"/>
  <c r="E19" i="52"/>
  <c r="E26" i="52"/>
  <c r="E27" i="52"/>
  <c r="E28" i="52"/>
  <c r="F28" i="52"/>
  <c r="G28" i="52"/>
  <c r="H28" i="52"/>
  <c r="I28" i="52"/>
  <c r="J28" i="52"/>
  <c r="K28" i="52"/>
  <c r="L28" i="52"/>
  <c r="M28" i="52"/>
  <c r="N28" i="52"/>
  <c r="O28" i="52"/>
  <c r="C33" i="33"/>
  <c r="J38" i="41"/>
  <c r="C28" i="43"/>
  <c r="C13" i="49"/>
  <c r="D26" i="43"/>
  <c r="D28" i="43"/>
  <c r="D13" i="49"/>
  <c r="C27" i="43"/>
  <c r="E13" i="49"/>
  <c r="D27" i="43"/>
  <c r="F13" i="49"/>
  <c r="D33" i="43"/>
  <c r="D35" i="43"/>
  <c r="G13" i="49"/>
  <c r="C26" i="33"/>
  <c r="D30" i="33"/>
  <c r="D31" i="33"/>
  <c r="N46" i="41"/>
  <c r="M46" i="41"/>
  <c r="L46" i="41"/>
  <c r="K46" i="41"/>
  <c r="J46" i="41"/>
  <c r="K38" i="41"/>
  <c r="L38" i="41"/>
  <c r="M38" i="41"/>
  <c r="N38" i="41"/>
  <c r="D48" i="38"/>
  <c r="D18" i="42"/>
  <c r="D25" i="42"/>
  <c r="D28" i="42"/>
  <c r="D29" i="42"/>
  <c r="D30" i="42"/>
  <c r="D31" i="42"/>
  <c r="E48" i="38"/>
  <c r="E18" i="42"/>
  <c r="E25" i="42"/>
  <c r="E28" i="42"/>
  <c r="E29" i="42"/>
  <c r="E30" i="42"/>
  <c r="E31" i="42"/>
  <c r="F48" i="38"/>
  <c r="F18" i="42"/>
  <c r="F25" i="42"/>
  <c r="F28" i="42"/>
  <c r="F29" i="42"/>
  <c r="F30" i="42"/>
  <c r="F31" i="42"/>
  <c r="G48" i="38"/>
  <c r="G18" i="42"/>
  <c r="G25" i="42"/>
  <c r="G28" i="42"/>
  <c r="G29" i="42"/>
  <c r="G30" i="42"/>
  <c r="G31" i="42"/>
  <c r="C48" i="38"/>
  <c r="C18" i="42"/>
  <c r="C25" i="42"/>
  <c r="C28" i="42"/>
  <c r="C29" i="42"/>
  <c r="C30" i="42"/>
  <c r="C31" i="42"/>
  <c r="C101" i="38"/>
  <c r="C109" i="38"/>
  <c r="C30" i="33"/>
  <c r="C31" i="33"/>
  <c r="D13" i="41"/>
  <c r="D16" i="41"/>
  <c r="E13" i="41"/>
  <c r="E16" i="41"/>
  <c r="F13" i="41"/>
  <c r="F16" i="41"/>
  <c r="G13" i="41"/>
  <c r="G16" i="41"/>
  <c r="H13" i="41"/>
  <c r="H16" i="41"/>
  <c r="D105" i="38"/>
  <c r="E105" i="38"/>
  <c r="F105" i="38"/>
  <c r="G105" i="38"/>
  <c r="C105" i="38"/>
  <c r="E7" i="36"/>
  <c r="F18" i="36"/>
  <c r="E18" i="36"/>
  <c r="F4" i="36"/>
  <c r="F5" i="36"/>
  <c r="F6" i="36"/>
  <c r="F3" i="36"/>
  <c r="E19" i="33"/>
  <c r="E26" i="33"/>
  <c r="E27" i="33"/>
  <c r="F19" i="33"/>
  <c r="F26" i="33"/>
  <c r="F27" i="33"/>
  <c r="G19" i="33"/>
  <c r="G26" i="33"/>
  <c r="G27" i="33"/>
  <c r="H19" i="33"/>
  <c r="H26" i="33"/>
  <c r="H27" i="33"/>
  <c r="I19" i="33"/>
  <c r="I26" i="33"/>
  <c r="I27" i="33"/>
  <c r="J19" i="33"/>
  <c r="J26" i="33"/>
  <c r="J27" i="33"/>
  <c r="K19" i="33"/>
  <c r="K26" i="33"/>
  <c r="K27" i="33"/>
  <c r="L19" i="33"/>
  <c r="L26" i="33"/>
  <c r="L27" i="33"/>
  <c r="M19" i="33"/>
  <c r="M26" i="33"/>
  <c r="M27" i="33"/>
  <c r="N19" i="33"/>
  <c r="N26" i="33"/>
  <c r="N27" i="33"/>
  <c r="D19" i="33"/>
  <c r="D26" i="33"/>
  <c r="D27" i="33"/>
  <c r="C27" i="33"/>
  <c r="C28" i="33"/>
  <c r="D28" i="33"/>
  <c r="E28" i="33"/>
  <c r="F28" i="33"/>
  <c r="G28" i="33"/>
  <c r="H28" i="33"/>
  <c r="I28" i="33"/>
  <c r="J28" i="33"/>
  <c r="K28" i="33"/>
  <c r="L28" i="33"/>
  <c r="M28" i="33"/>
  <c r="N28" i="33"/>
  <c r="D15" i="40"/>
  <c r="E15" i="40"/>
  <c r="F15" i="40"/>
  <c r="G15" i="40"/>
  <c r="C15" i="40"/>
  <c r="D101" i="38"/>
  <c r="D106" i="38"/>
  <c r="D108" i="38"/>
  <c r="E101" i="38"/>
  <c r="E106" i="38"/>
  <c r="E108" i="38"/>
  <c r="F101" i="38"/>
  <c r="F106" i="38"/>
  <c r="F108" i="38"/>
  <c r="G101" i="38"/>
  <c r="G106" i="38"/>
  <c r="G108" i="38"/>
  <c r="C106" i="38"/>
  <c r="C108" i="38"/>
  <c r="I13" i="49"/>
  <c r="H13" i="49"/>
</calcChain>
</file>

<file path=xl/sharedStrings.xml><?xml version="1.0" encoding="utf-8"?>
<sst xmlns="http://schemas.openxmlformats.org/spreadsheetml/2006/main" count="13340" uniqueCount="4514">
  <si>
    <t>IQUITOS</t>
  </si>
  <si>
    <t>PUNCHANA</t>
  </si>
  <si>
    <t>BELEN</t>
  </si>
  <si>
    <t>SAN JUAN BAUTISTA</t>
  </si>
  <si>
    <t>IQUITOS METROPOLITANO</t>
  </si>
  <si>
    <t>2016*</t>
  </si>
  <si>
    <t>UBICACIÓN</t>
  </si>
  <si>
    <t>Huánuco</t>
  </si>
  <si>
    <t>Amazonas</t>
  </si>
  <si>
    <t>Áncash</t>
  </si>
  <si>
    <t>Apurímac</t>
  </si>
  <si>
    <t>Arequipa</t>
  </si>
  <si>
    <t>Ayacucho</t>
  </si>
  <si>
    <t>Cajamarca</t>
  </si>
  <si>
    <t>Cusco</t>
  </si>
  <si>
    <t>Huancavelica</t>
  </si>
  <si>
    <t>Ica</t>
  </si>
  <si>
    <t>Junín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</si>
  <si>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</si>
  <si>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</si>
  <si>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</si>
  <si>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</si>
  <si>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</si>
  <si>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</si>
  <si>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</si>
  <si>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</si>
  <si>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</si>
  <si>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</si>
  <si>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</si>
  <si>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</si>
  <si>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Departamento</t>
  </si>
  <si>
    <t>Lima</t>
  </si>
  <si>
    <t>Callao</t>
  </si>
  <si>
    <t>Provincia</t>
  </si>
  <si>
    <t>Distrito</t>
  </si>
  <si>
    <t>AMAZONAS</t>
  </si>
  <si>
    <t>CHACHAPOYAS</t>
  </si>
  <si>
    <t>ASUNCION</t>
  </si>
  <si>
    <t>BALSAS</t>
  </si>
  <si>
    <t>CHETO</t>
  </si>
  <si>
    <t>CHILIQUIN</t>
  </si>
  <si>
    <t>CHUQUIBAMBA</t>
  </si>
  <si>
    <t>GRANADA</t>
  </si>
  <si>
    <t>HUANCAS</t>
  </si>
  <si>
    <t>LA JALCA</t>
  </si>
  <si>
    <t>LEIMEBAMBA</t>
  </si>
  <si>
    <t>LEVANTO</t>
  </si>
  <si>
    <t>MAGDALENA</t>
  </si>
  <si>
    <t>MARISCAL CASTILLA</t>
  </si>
  <si>
    <t>MOLINOPAMPA</t>
  </si>
  <si>
    <t>MONTEVIDEO</t>
  </si>
  <si>
    <t>OLLEROS</t>
  </si>
  <si>
    <t>QUINJALCA</t>
  </si>
  <si>
    <t>SAN FRANCISCO DE DAGUAS</t>
  </si>
  <si>
    <t>SAN ISIDRO DE MAINO</t>
  </si>
  <si>
    <t>SOLOCO</t>
  </si>
  <si>
    <t>SONCHE</t>
  </si>
  <si>
    <t>BAGUA</t>
  </si>
  <si>
    <t>ARAMANGO</t>
  </si>
  <si>
    <t>COPALLIN</t>
  </si>
  <si>
    <t>EL PARCO</t>
  </si>
  <si>
    <t>IMAZA</t>
  </si>
  <si>
    <t>LA PECA</t>
  </si>
  <si>
    <t>BONGARA</t>
  </si>
  <si>
    <t>JUMBILLA</t>
  </si>
  <si>
    <t>CHISQUILLA</t>
  </si>
  <si>
    <t>CHURUJA</t>
  </si>
  <si>
    <t>COROSHA</t>
  </si>
  <si>
    <t>CUISPES</t>
  </si>
  <si>
    <t>FLORIDA</t>
  </si>
  <si>
    <t>JAZAN</t>
  </si>
  <si>
    <t>RECTA</t>
  </si>
  <si>
    <t>SAN CARLOS</t>
  </si>
  <si>
    <t>SHIPASBAMBA</t>
  </si>
  <si>
    <t>VALERA</t>
  </si>
  <si>
    <t>YAMBRASBAMBA</t>
  </si>
  <si>
    <t>CONDORCANQUI</t>
  </si>
  <si>
    <t>NIEVA</t>
  </si>
  <si>
    <t>EL CENEPA</t>
  </si>
  <si>
    <t>RIO SANTIAGO</t>
  </si>
  <si>
    <t>LUYA</t>
  </si>
  <si>
    <t>LAMUD</t>
  </si>
  <si>
    <t>CAMPORREDONDO</t>
  </si>
  <si>
    <t>COCABAMBA</t>
  </si>
  <si>
    <t>COLCAMAR</t>
  </si>
  <si>
    <t>CONILA</t>
  </si>
  <si>
    <t>INGUILPATA</t>
  </si>
  <si>
    <t>LONGUITA</t>
  </si>
  <si>
    <t>LONYA CHICO</t>
  </si>
  <si>
    <t>LUYA VIEJO</t>
  </si>
  <si>
    <t>MARIA</t>
  </si>
  <si>
    <t>OCALLI</t>
  </si>
  <si>
    <t>OCUMAL</t>
  </si>
  <si>
    <t>PISUQUIA</t>
  </si>
  <si>
    <t>PROVIDENCIA</t>
  </si>
  <si>
    <t>SAN CRISTOBAL</t>
  </si>
  <si>
    <t>SAN FRANCISCO DEL YESO</t>
  </si>
  <si>
    <t>SAN JERONIMO</t>
  </si>
  <si>
    <t>SAN JUAN DE LOPECANCHA</t>
  </si>
  <si>
    <t>SANTA CATALINA</t>
  </si>
  <si>
    <t>SANTO TOMAS</t>
  </si>
  <si>
    <t>TINGO</t>
  </si>
  <si>
    <t>TRITA</t>
  </si>
  <si>
    <t>RODRIGUEZ DE MENDOZA</t>
  </si>
  <si>
    <t>SAN NICOLAS</t>
  </si>
  <si>
    <t>CHIRIMOTO</t>
  </si>
  <si>
    <t>COCHAMAL</t>
  </si>
  <si>
    <t>HUAMBO</t>
  </si>
  <si>
    <t>LIMABAMBA</t>
  </si>
  <si>
    <t>LONGAR</t>
  </si>
  <si>
    <t>MARISCAL BENAVIDES</t>
  </si>
  <si>
    <t>MILPUC</t>
  </si>
  <si>
    <t>OMIA</t>
  </si>
  <si>
    <t>SANTA ROSA</t>
  </si>
  <si>
    <t>TOTORA</t>
  </si>
  <si>
    <t>VISTA ALEGRE</t>
  </si>
  <si>
    <t>UTCUBAMBA</t>
  </si>
  <si>
    <t>BAGUA GRANDE</t>
  </si>
  <si>
    <t>CAJARURO</t>
  </si>
  <si>
    <t>CUMBA</t>
  </si>
  <si>
    <t>EL MILAGRO</t>
  </si>
  <si>
    <t>JAMALCA</t>
  </si>
  <si>
    <t>LONYA GRANDE</t>
  </si>
  <si>
    <t>YAMON</t>
  </si>
  <si>
    <t>ANCASH</t>
  </si>
  <si>
    <t>HUARAZ</t>
  </si>
  <si>
    <t>COCHABAMBA</t>
  </si>
  <si>
    <t>COLCABAMBA</t>
  </si>
  <si>
    <t>HUANCHAY</t>
  </si>
  <si>
    <t>INDEPENDENCIA</t>
  </si>
  <si>
    <t>JANGAS</t>
  </si>
  <si>
    <t>LA LIBERTAD</t>
  </si>
  <si>
    <t>PAMPAS</t>
  </si>
  <si>
    <t>PARIACOTO</t>
  </si>
  <si>
    <t>PIRA</t>
  </si>
  <si>
    <t>TARICA</t>
  </si>
  <si>
    <t>AIJA</t>
  </si>
  <si>
    <t>CORIS</t>
  </si>
  <si>
    <t>HUACLLAN</t>
  </si>
  <si>
    <t>LA MERCED</t>
  </si>
  <si>
    <t>SUCCHA</t>
  </si>
  <si>
    <t>ANTONIO RAYMONDI</t>
  </si>
  <si>
    <t>LLAMELLIN</t>
  </si>
  <si>
    <t>ACZO</t>
  </si>
  <si>
    <t>CHACCHO</t>
  </si>
  <si>
    <t>CHINGAS</t>
  </si>
  <si>
    <t>MIRGAS</t>
  </si>
  <si>
    <t>SAN JUAN DE RONTOY</t>
  </si>
  <si>
    <t>CHACAS</t>
  </si>
  <si>
    <t>ACOCHACA</t>
  </si>
  <si>
    <t>BOLOGNESI</t>
  </si>
  <si>
    <t>CHIQUIAN</t>
  </si>
  <si>
    <t>ABELARDO PARDO LEZAMETA</t>
  </si>
  <si>
    <t>AQUIA</t>
  </si>
  <si>
    <t>CAJACAY</t>
  </si>
  <si>
    <t>CANIS</t>
  </si>
  <si>
    <t>COLQUIOC</t>
  </si>
  <si>
    <t>HUALLANCA</t>
  </si>
  <si>
    <t>HUASTA</t>
  </si>
  <si>
    <t>HUAYLLACAYAN</t>
  </si>
  <si>
    <t>LA PRIMAVERA</t>
  </si>
  <si>
    <t>MANGAS</t>
  </si>
  <si>
    <t>PACLLON</t>
  </si>
  <si>
    <t>SAN MIGUEL DE CORPANQUI</t>
  </si>
  <si>
    <t>TICLLOS</t>
  </si>
  <si>
    <t>CARHUAZ</t>
  </si>
  <si>
    <t>ACOPAMPA</t>
  </si>
  <si>
    <t>AMASHCA</t>
  </si>
  <si>
    <t>ANTA</t>
  </si>
  <si>
    <t>ATAQUERO</t>
  </si>
  <si>
    <t>MARCARA</t>
  </si>
  <si>
    <t>PARIAHUANCA</t>
  </si>
  <si>
    <t>SAN MIGUEL DE ACO</t>
  </si>
  <si>
    <t>SHILLA</t>
  </si>
  <si>
    <t>TINCO</t>
  </si>
  <si>
    <t>YUNGAR</t>
  </si>
  <si>
    <t>CARLOS FERMIN FITZCARRALD</t>
  </si>
  <si>
    <t>SAN LUIS</t>
  </si>
  <si>
    <t>YAUYA</t>
  </si>
  <si>
    <t>CASMA</t>
  </si>
  <si>
    <t>BUENA VISTA ALTA</t>
  </si>
  <si>
    <t>COMANDANTE NOEL</t>
  </si>
  <si>
    <t>YAUTAN</t>
  </si>
  <si>
    <t>CORONGO</t>
  </si>
  <si>
    <t>ACO</t>
  </si>
  <si>
    <t>BAMBAS</t>
  </si>
  <si>
    <t>CUSCA</t>
  </si>
  <si>
    <t>LA PAMPA</t>
  </si>
  <si>
    <t>YANAC</t>
  </si>
  <si>
    <t>YUPAN</t>
  </si>
  <si>
    <t>HUARI</t>
  </si>
  <si>
    <t>ANRA</t>
  </si>
  <si>
    <t>CAJAY</t>
  </si>
  <si>
    <t>CHAVIN DE HUANTAR</t>
  </si>
  <si>
    <t>HUACACHI</t>
  </si>
  <si>
    <t>HUACCHIS</t>
  </si>
  <si>
    <t>HUACHIS</t>
  </si>
  <si>
    <t>HUANTAR</t>
  </si>
  <si>
    <t>MASIN</t>
  </si>
  <si>
    <t>PAUCAS</t>
  </si>
  <si>
    <t>PONTO</t>
  </si>
  <si>
    <t>RAHUAPAMPA</t>
  </si>
  <si>
    <t>RAPAYAN</t>
  </si>
  <si>
    <t>SAN MARCOS</t>
  </si>
  <si>
    <t>SAN PEDRO DE CHANA</t>
  </si>
  <si>
    <t>UCO</t>
  </si>
  <si>
    <t>HUARMEY</t>
  </si>
  <si>
    <t>COCHAPETI</t>
  </si>
  <si>
    <t>CULEBRAS</t>
  </si>
  <si>
    <t>HUAYAN</t>
  </si>
  <si>
    <t>MALVAS</t>
  </si>
  <si>
    <t>HUAYLAS</t>
  </si>
  <si>
    <t>CARAZ</t>
  </si>
  <si>
    <t>HUATA</t>
  </si>
  <si>
    <t>MATO</t>
  </si>
  <si>
    <t>PAMPAROMAS</t>
  </si>
  <si>
    <t>PUEBLO LIBRE</t>
  </si>
  <si>
    <t>SANTA CRUZ</t>
  </si>
  <si>
    <t>SANTO TORIBIO</t>
  </si>
  <si>
    <t>YURACMARCA</t>
  </si>
  <si>
    <t>MARISCAL LUZURIAGA</t>
  </si>
  <si>
    <t>PISCOBAMBA</t>
  </si>
  <si>
    <t>CASCA</t>
  </si>
  <si>
    <t>ELEAZAR GUZMAN BARRON</t>
  </si>
  <si>
    <t>FIDEL OLIVAS ESCUDERO</t>
  </si>
  <si>
    <t>LLAMA</t>
  </si>
  <si>
    <t>LLUMPA</t>
  </si>
  <si>
    <t>LUCMA</t>
  </si>
  <si>
    <t>MUSGA</t>
  </si>
  <si>
    <t>OCROS</t>
  </si>
  <si>
    <t>ACAS</t>
  </si>
  <si>
    <t>CAJAMARQUILLA</t>
  </si>
  <si>
    <t>CARHUAPAMPA</t>
  </si>
  <si>
    <t>COCHAS</t>
  </si>
  <si>
    <t>CONGAS</t>
  </si>
  <si>
    <t>LLIPA</t>
  </si>
  <si>
    <t>SAN CRISTOBAL DE RAJAN</t>
  </si>
  <si>
    <t>SAN PEDRO</t>
  </si>
  <si>
    <t>SANTIAGO DE CHILCAS</t>
  </si>
  <si>
    <t>PALLASCA</t>
  </si>
  <si>
    <t>CABANA</t>
  </si>
  <si>
    <t>CONCHUCOS</t>
  </si>
  <si>
    <t>HUACASCHUQUE</t>
  </si>
  <si>
    <t>HUANDOVAL</t>
  </si>
  <si>
    <t>LACABAMBA</t>
  </si>
  <si>
    <t>LLAPO</t>
  </si>
  <si>
    <t>TAUCA</t>
  </si>
  <si>
    <t>POMABAMBA</t>
  </si>
  <si>
    <t>HUAYLLAN</t>
  </si>
  <si>
    <t>PAROBAMBA</t>
  </si>
  <si>
    <t>QUINUABAMBA</t>
  </si>
  <si>
    <t>RECUAY</t>
  </si>
  <si>
    <t>CATAC</t>
  </si>
  <si>
    <t>COTAPARACO</t>
  </si>
  <si>
    <t>HUAYLLAPAMPA</t>
  </si>
  <si>
    <t>LLACLLIN</t>
  </si>
  <si>
    <t>MARCA</t>
  </si>
  <si>
    <t>PAMPAS CHICO</t>
  </si>
  <si>
    <t>PARARIN</t>
  </si>
  <si>
    <t>TAPACOCHA</t>
  </si>
  <si>
    <t>TICAPAMPA</t>
  </si>
  <si>
    <t>SANTA</t>
  </si>
  <si>
    <t>CHIMBOTE</t>
  </si>
  <si>
    <t>CACERES DEL PERU</t>
  </si>
  <si>
    <t>COISHCO</t>
  </si>
  <si>
    <t>MACATE</t>
  </si>
  <si>
    <t>MORO</t>
  </si>
  <si>
    <t>NEPEÑA</t>
  </si>
  <si>
    <t>SAMANCO</t>
  </si>
  <si>
    <t>NUEVO CHIMBOTE</t>
  </si>
  <si>
    <t>SIHUAS</t>
  </si>
  <si>
    <t>ACOBAMBA</t>
  </si>
  <si>
    <t>ALFONSO UGARTE</t>
  </si>
  <si>
    <t>CASHAPAMPA</t>
  </si>
  <si>
    <t>CHINGALPO</t>
  </si>
  <si>
    <t>HUAYLLABAMBA</t>
  </si>
  <si>
    <t>QUICHES</t>
  </si>
  <si>
    <t>RAGASH</t>
  </si>
  <si>
    <t>SAN JUAN</t>
  </si>
  <si>
    <t>SICSIBAMBA</t>
  </si>
  <si>
    <t>YUNGAY</t>
  </si>
  <si>
    <t>CASCAPARA</t>
  </si>
  <si>
    <t>MANCOS</t>
  </si>
  <si>
    <t>MATACOTO</t>
  </si>
  <si>
    <t>QUILLO</t>
  </si>
  <si>
    <t>RANRAHIRCA</t>
  </si>
  <si>
    <t>SHUPLUY</t>
  </si>
  <si>
    <t>YANAMA</t>
  </si>
  <si>
    <t>APURIMAC</t>
  </si>
  <si>
    <t>ABANCAY</t>
  </si>
  <si>
    <t>CHACOCHE</t>
  </si>
  <si>
    <t>CIRCA</t>
  </si>
  <si>
    <t>CURAHUASI</t>
  </si>
  <si>
    <t>HUANIPACA</t>
  </si>
  <si>
    <t>LAMBRAMA</t>
  </si>
  <si>
    <t>PICHIRHUA</t>
  </si>
  <si>
    <t>SAN PEDRO DE CACHORA</t>
  </si>
  <si>
    <t>TAMBURCO</t>
  </si>
  <si>
    <t>ANDAHUAYLAS</t>
  </si>
  <si>
    <t>ANDARAPA</t>
  </si>
  <si>
    <t>CHIARA</t>
  </si>
  <si>
    <t>HUANCARAMA</t>
  </si>
  <si>
    <t>HUANCARAY</t>
  </si>
  <si>
    <t>HUAYANA</t>
  </si>
  <si>
    <t>KISHUARA</t>
  </si>
  <si>
    <t>PACOBAMBA</t>
  </si>
  <si>
    <t>PACUCHA</t>
  </si>
  <si>
    <t>PAMPACHIRI</t>
  </si>
  <si>
    <t>POMACOCHA</t>
  </si>
  <si>
    <t>SAN ANTONIO DE CACHI</t>
  </si>
  <si>
    <t>SAN MIGUEL DE CHACCRAMPA</t>
  </si>
  <si>
    <t>SANTA MARIA DE CHICMO</t>
  </si>
  <si>
    <t>TALAVERA</t>
  </si>
  <si>
    <t>TUMAY HUARACA</t>
  </si>
  <si>
    <t>TURPO</t>
  </si>
  <si>
    <t>KAQUIABAMBA</t>
  </si>
  <si>
    <t>ANTABAMBA</t>
  </si>
  <si>
    <t>EL ORO</t>
  </si>
  <si>
    <t>HUAQUIRCA</t>
  </si>
  <si>
    <t>JUAN ESPINOZA MEDRANO</t>
  </si>
  <si>
    <t>OROPESA</t>
  </si>
  <si>
    <t>PACHACONAS</t>
  </si>
  <si>
    <t>SABAINO</t>
  </si>
  <si>
    <t>AYMARAES</t>
  </si>
  <si>
    <t>CHALHUANCA</t>
  </si>
  <si>
    <t>CAPAYA</t>
  </si>
  <si>
    <t>CARAYBAMBA</t>
  </si>
  <si>
    <t>CHAPIMARCA</t>
  </si>
  <si>
    <t>COTARUSE</t>
  </si>
  <si>
    <t>HUAYLLO</t>
  </si>
  <si>
    <t>JUSTO APU SAHUARAURA</t>
  </si>
  <si>
    <t>LUCRE</t>
  </si>
  <si>
    <t>POCOHUANCA</t>
  </si>
  <si>
    <t>SAN JUAN DE CHACÑA</t>
  </si>
  <si>
    <t>SAÑAYCA</t>
  </si>
  <si>
    <t>SORAYA</t>
  </si>
  <si>
    <t>TAPAIRIHUA</t>
  </si>
  <si>
    <t>TINTAY</t>
  </si>
  <si>
    <t>TORAYA</t>
  </si>
  <si>
    <t>YANACA</t>
  </si>
  <si>
    <t>COTABAMBAS</t>
  </si>
  <si>
    <t>TAMBOBAMBA</t>
  </si>
  <si>
    <t>COYLLURQUI</t>
  </si>
  <si>
    <t>HAQUIRA</t>
  </si>
  <si>
    <t>MARA</t>
  </si>
  <si>
    <t>CHALLHUAHUACHO</t>
  </si>
  <si>
    <t>CHINCHEROS</t>
  </si>
  <si>
    <t>ANCO-HUALLO</t>
  </si>
  <si>
    <t>COCHARCAS</t>
  </si>
  <si>
    <t>HUACCANA</t>
  </si>
  <si>
    <t>OCOBAMBA</t>
  </si>
  <si>
    <t>ONGOY</t>
  </si>
  <si>
    <t>URANMARCA</t>
  </si>
  <si>
    <t>RANRACANCHA</t>
  </si>
  <si>
    <t>GRAU</t>
  </si>
  <si>
    <t>CHUQUIBAMBILLA</t>
  </si>
  <si>
    <t>CURPAHUASI</t>
  </si>
  <si>
    <t>GAMARRA</t>
  </si>
  <si>
    <t>HUAYLLATI</t>
  </si>
  <si>
    <t>MAMARA</t>
  </si>
  <si>
    <t>MICAELA BASTIDAS</t>
  </si>
  <si>
    <t>PATAYPAMPA</t>
  </si>
  <si>
    <t>PROGRESO</t>
  </si>
  <si>
    <t>SAN ANTONIO</t>
  </si>
  <si>
    <t>TURPAY</t>
  </si>
  <si>
    <t>VILCABAMBA</t>
  </si>
  <si>
    <t>VIRUNDO</t>
  </si>
  <si>
    <t>CURASCO</t>
  </si>
  <si>
    <t>AREQUIPA</t>
  </si>
  <si>
    <t>ALTO SELVA ALEGRE</t>
  </si>
  <si>
    <t>CAYMA</t>
  </si>
  <si>
    <t>CERRO COLORADO</t>
  </si>
  <si>
    <t>CHARACATO</t>
  </si>
  <si>
    <t>CHIGUATA</t>
  </si>
  <si>
    <t>JACOBO HUNTER</t>
  </si>
  <si>
    <t>LA JOYA</t>
  </si>
  <si>
    <t>MARIANO MELGAR</t>
  </si>
  <si>
    <t>MIRAFLORES</t>
  </si>
  <si>
    <t>MOLLEBAYA</t>
  </si>
  <si>
    <t>PAUCARPATA</t>
  </si>
  <si>
    <t>POCSI</t>
  </si>
  <si>
    <t>POLOBAYA</t>
  </si>
  <si>
    <t>QUEQUEÑA</t>
  </si>
  <si>
    <t>SABANDIA</t>
  </si>
  <si>
    <t>SACHACA</t>
  </si>
  <si>
    <t>SAN JUAN DE SIGUAS</t>
  </si>
  <si>
    <t>SAN JUAN DE TARUCANI</t>
  </si>
  <si>
    <t>SANTA ISABEL DE SIGUAS</t>
  </si>
  <si>
    <t>SANTA RITA DE SIGUAS</t>
  </si>
  <si>
    <t>SOCABAYA</t>
  </si>
  <si>
    <t>TIABAYA</t>
  </si>
  <si>
    <t>UCHUMAYO</t>
  </si>
  <si>
    <t>VITOR</t>
  </si>
  <si>
    <t>YANAHUARA</t>
  </si>
  <si>
    <t>YARABAMBA</t>
  </si>
  <si>
    <t>YURA</t>
  </si>
  <si>
    <t>JOSE LUIS BUSTAMANTE Y RIVERO</t>
  </si>
  <si>
    <t>CAMANA</t>
  </si>
  <si>
    <t>JOSE MARIA QUIMPER</t>
  </si>
  <si>
    <t>MARIANO NICOLAS VALCARCEL</t>
  </si>
  <si>
    <t>MARISCAL CACERES</t>
  </si>
  <si>
    <t>NICOLAS DE PIEROLA</t>
  </si>
  <si>
    <t>OCOÑA</t>
  </si>
  <si>
    <t>QUILCA</t>
  </si>
  <si>
    <t>SAMUEL PASTOR</t>
  </si>
  <si>
    <t>CARAVELI</t>
  </si>
  <si>
    <t>ACARI</t>
  </si>
  <si>
    <t>ATICO</t>
  </si>
  <si>
    <t>ATIQUIPA</t>
  </si>
  <si>
    <t>BELLA UNION</t>
  </si>
  <si>
    <t>CAHUACHO</t>
  </si>
  <si>
    <t>CHALA</t>
  </si>
  <si>
    <t>CHAPARRA</t>
  </si>
  <si>
    <t>HUANUHUANU</t>
  </si>
  <si>
    <t>JAQUI</t>
  </si>
  <si>
    <t>LOMAS</t>
  </si>
  <si>
    <t>QUICACHA</t>
  </si>
  <si>
    <t>YAUCA</t>
  </si>
  <si>
    <t>CASTILLA</t>
  </si>
  <si>
    <t>APLAO</t>
  </si>
  <si>
    <t>ANDAGUA</t>
  </si>
  <si>
    <t>AYO</t>
  </si>
  <si>
    <t>CHACHAS</t>
  </si>
  <si>
    <t>CHILCAYMARCA</t>
  </si>
  <si>
    <t>CHOCO</t>
  </si>
  <si>
    <t>HUANCARQUI</t>
  </si>
  <si>
    <t>MACHAGUAY</t>
  </si>
  <si>
    <t>ORCOPAMPA</t>
  </si>
  <si>
    <t>PAMPACOLCA</t>
  </si>
  <si>
    <t>TIPAN</t>
  </si>
  <si>
    <t>UÑON</t>
  </si>
  <si>
    <t>URACA</t>
  </si>
  <si>
    <t>VIRACO</t>
  </si>
  <si>
    <t>CAYLLOMA</t>
  </si>
  <si>
    <t>CHIVAY</t>
  </si>
  <si>
    <t>ACHOMA</t>
  </si>
  <si>
    <t>CABANACONDE</t>
  </si>
  <si>
    <t>CALLALLI</t>
  </si>
  <si>
    <t>COPORAQUE</t>
  </si>
  <si>
    <t>HUANCA</t>
  </si>
  <si>
    <t>ICHUPAMPA</t>
  </si>
  <si>
    <t>LARI</t>
  </si>
  <si>
    <t>LLUTA</t>
  </si>
  <si>
    <t>MACA</t>
  </si>
  <si>
    <t>MADRIGAL</t>
  </si>
  <si>
    <t>SAN ANTONIO DE CHUCA</t>
  </si>
  <si>
    <t>SIBAYO</t>
  </si>
  <si>
    <t>TAPAY</t>
  </si>
  <si>
    <t>TISCO</t>
  </si>
  <si>
    <t>TUTI</t>
  </si>
  <si>
    <t>YANQUE</t>
  </si>
  <si>
    <t>MAJES</t>
  </si>
  <si>
    <t>CONDESUYOS</t>
  </si>
  <si>
    <t>ANDARAY</t>
  </si>
  <si>
    <t>CAYARANI</t>
  </si>
  <si>
    <t>CHICHAS</t>
  </si>
  <si>
    <t>IRAY</t>
  </si>
  <si>
    <t>RIO GRANDE</t>
  </si>
  <si>
    <t>SALAMANCA</t>
  </si>
  <si>
    <t>YANAQUIHUA</t>
  </si>
  <si>
    <t>ISLAY</t>
  </si>
  <si>
    <t>MOLLENDO</t>
  </si>
  <si>
    <t>COCACHACRA</t>
  </si>
  <si>
    <t>DEAN VALDIVIA</t>
  </si>
  <si>
    <t>MEJIA</t>
  </si>
  <si>
    <t>PUNTA DE BOMBON</t>
  </si>
  <si>
    <t>LA UNION</t>
  </si>
  <si>
    <t>COTAHUASI</t>
  </si>
  <si>
    <t>ALCA</t>
  </si>
  <si>
    <t>CHARCANA</t>
  </si>
  <si>
    <t>HUAYNACOTAS</t>
  </si>
  <si>
    <t>PAMPAMARCA</t>
  </si>
  <si>
    <t>PUYCA</t>
  </si>
  <si>
    <t>QUECHUALLA</t>
  </si>
  <si>
    <t>SAYLA</t>
  </si>
  <si>
    <t>TAURIA</t>
  </si>
  <si>
    <t>TOMEPAMPA</t>
  </si>
  <si>
    <t>TORO</t>
  </si>
  <si>
    <t>AYACUCHO</t>
  </si>
  <si>
    <t>HUAMANGA</t>
  </si>
  <si>
    <t>ACOCRO</t>
  </si>
  <si>
    <t>ACOS VINCHOS</t>
  </si>
  <si>
    <t>CARMEN ALTO</t>
  </si>
  <si>
    <t>PACAYCASA</t>
  </si>
  <si>
    <t>QUINUA</t>
  </si>
  <si>
    <t>SAN JOSE DE TICLLAS</t>
  </si>
  <si>
    <t>SANTIAGO DE PISCHA</t>
  </si>
  <si>
    <t>SOCOS</t>
  </si>
  <si>
    <t>TAMBILLO</t>
  </si>
  <si>
    <t>VINCHOS</t>
  </si>
  <si>
    <t>JESUS NAZARENO</t>
  </si>
  <si>
    <t>ANDRÉS AVELINO CÁCERES DORREGARAY</t>
  </si>
  <si>
    <t>CANGALLO</t>
  </si>
  <si>
    <t>CHUSCHI</t>
  </si>
  <si>
    <t>LOS MOROCHUCOS</t>
  </si>
  <si>
    <t>MARIA PARADO DE BELLIDO</t>
  </si>
  <si>
    <t>PARAS</t>
  </si>
  <si>
    <t>TOTOS</t>
  </si>
  <si>
    <t>HUANCA SANCOS</t>
  </si>
  <si>
    <t>SANCOS</t>
  </si>
  <si>
    <t>CARAPO</t>
  </si>
  <si>
    <t>SACSAMARCA</t>
  </si>
  <si>
    <t>SANTIAGO DE LUCANAMARCA</t>
  </si>
  <si>
    <t>HUANTA</t>
  </si>
  <si>
    <t>AYAHUANCO</t>
  </si>
  <si>
    <t>HUAMANGUILLA</t>
  </si>
  <si>
    <t>IGUAIN</t>
  </si>
  <si>
    <t>LURICOCHA</t>
  </si>
  <si>
    <t>SANTILLANA</t>
  </si>
  <si>
    <t>SIVIA</t>
  </si>
  <si>
    <t>LLOCHEGUA</t>
  </si>
  <si>
    <t>CANAYRE</t>
  </si>
  <si>
    <t>LA MAR</t>
  </si>
  <si>
    <t>SAN MIGUEL</t>
  </si>
  <si>
    <t>ANCO</t>
  </si>
  <si>
    <t>AYNA</t>
  </si>
  <si>
    <t>CHILCAS</t>
  </si>
  <si>
    <t>CHUNGUI</t>
  </si>
  <si>
    <t>LUIS CARRANZA</t>
  </si>
  <si>
    <t>TAMBO</t>
  </si>
  <si>
    <t>SAMUGARI</t>
  </si>
  <si>
    <t>ANCHIHUAY</t>
  </si>
  <si>
    <t>LUCANAS</t>
  </si>
  <si>
    <t>PUQUIO</t>
  </si>
  <si>
    <t>AUCARA</t>
  </si>
  <si>
    <t>CARMEN SALCEDO</t>
  </si>
  <si>
    <t>CHAVIÑA</t>
  </si>
  <si>
    <t>CHIPAO</t>
  </si>
  <si>
    <t>HUAC-HUAS</t>
  </si>
  <si>
    <t>LARAMATE</t>
  </si>
  <si>
    <t>LEONCIO PRADO</t>
  </si>
  <si>
    <t>LLAUTA</t>
  </si>
  <si>
    <t>OCAÑA</t>
  </si>
  <si>
    <t>OTOCA</t>
  </si>
  <si>
    <t>SAISA</t>
  </si>
  <si>
    <t>SAN PEDRO DE PALCO</t>
  </si>
  <si>
    <t>SANTA ANA DE HUAYCAHUACHO</t>
  </si>
  <si>
    <t>SANTA LUCIA</t>
  </si>
  <si>
    <t>PARINACOCHAS</t>
  </si>
  <si>
    <t>CORACORA</t>
  </si>
  <si>
    <t>CHUMPI</t>
  </si>
  <si>
    <t>CORONEL CASTAÑEDA</t>
  </si>
  <si>
    <t>PACAPAUSA</t>
  </si>
  <si>
    <t>PULLO</t>
  </si>
  <si>
    <t>PUYUSCA</t>
  </si>
  <si>
    <t>SAN FRANCISCO DE RAVACAYCO</t>
  </si>
  <si>
    <t>UPAHUACHO</t>
  </si>
  <si>
    <t>PAUCAR DEL SARA SARA</t>
  </si>
  <si>
    <t>PAUSA</t>
  </si>
  <si>
    <t>COLTA</t>
  </si>
  <si>
    <t>CORCULLA</t>
  </si>
  <si>
    <t>LAMPA</t>
  </si>
  <si>
    <t>MARCABAMBA</t>
  </si>
  <si>
    <t>OYOLO</t>
  </si>
  <si>
    <t>PARARCA</t>
  </si>
  <si>
    <t>SAN JAVIER DE ALPABAMBA</t>
  </si>
  <si>
    <t>SAN JOSE DE USHUA</t>
  </si>
  <si>
    <t>SARA SARA</t>
  </si>
  <si>
    <t>SUCRE</t>
  </si>
  <si>
    <t>QUEROBAMBA</t>
  </si>
  <si>
    <t>CHALCOS</t>
  </si>
  <si>
    <t>CHILCAYOC</t>
  </si>
  <si>
    <t>HUACAÑA</t>
  </si>
  <si>
    <t>MORCOLLA</t>
  </si>
  <si>
    <t>PAICO</t>
  </si>
  <si>
    <t>SAN PEDRO DE LARCAY</t>
  </si>
  <si>
    <t>SAN SALVADOR DE QUIJE</t>
  </si>
  <si>
    <t>SANTIAGO DE PAUCARAY</t>
  </si>
  <si>
    <t>SORAS</t>
  </si>
  <si>
    <t>VICTOR FAJARDO</t>
  </si>
  <si>
    <t>HUANCAPI</t>
  </si>
  <si>
    <t>ALCAMENCA</t>
  </si>
  <si>
    <t>APONGO</t>
  </si>
  <si>
    <t>ASQUIPATA</t>
  </si>
  <si>
    <t>CANARIA</t>
  </si>
  <si>
    <t>CAYARA</t>
  </si>
  <si>
    <t>COLCA</t>
  </si>
  <si>
    <t>HUAMANQUIQUIA</t>
  </si>
  <si>
    <t>HUANCARAYLLA</t>
  </si>
  <si>
    <t>HUAYA</t>
  </si>
  <si>
    <t>SARHUA</t>
  </si>
  <si>
    <t>VILCANCHOS</t>
  </si>
  <si>
    <t>VILCAS HUAMAN</t>
  </si>
  <si>
    <t>ACCOMARCA</t>
  </si>
  <si>
    <t>CARHUANCA</t>
  </si>
  <si>
    <t>CONCEPCION</t>
  </si>
  <si>
    <t>HUAMBALPA</t>
  </si>
  <si>
    <t>SAURAMA</t>
  </si>
  <si>
    <t>VISCHONGO</t>
  </si>
  <si>
    <t>CAJAMARCA</t>
  </si>
  <si>
    <t>CHETILLA</t>
  </si>
  <si>
    <t>COSPAN</t>
  </si>
  <si>
    <t>ENCAÑADA</t>
  </si>
  <si>
    <t>JESUS</t>
  </si>
  <si>
    <t>LLACANORA</t>
  </si>
  <si>
    <t>LOS BAÑOS DEL INCA</t>
  </si>
  <si>
    <t>MATARA</t>
  </si>
  <si>
    <t>NAMORA</t>
  </si>
  <si>
    <t>CAJABAMBA</t>
  </si>
  <si>
    <t>CACHACHI</t>
  </si>
  <si>
    <t>CONDEBAMBA</t>
  </si>
  <si>
    <t>SITACOCHA</t>
  </si>
  <si>
    <t>CELENDIN</t>
  </si>
  <si>
    <t>CHUMUCH</t>
  </si>
  <si>
    <t>CORTEGANA</t>
  </si>
  <si>
    <t>HUASMIN</t>
  </si>
  <si>
    <t>JORGE CHAVEZ</t>
  </si>
  <si>
    <t>JOSE GALVEZ</t>
  </si>
  <si>
    <t>MIGUEL IGLESIAS</t>
  </si>
  <si>
    <t>OXAMARCA</t>
  </si>
  <si>
    <t>SOROCHUCO</t>
  </si>
  <si>
    <t>UTCO</t>
  </si>
  <si>
    <t>LA LIBERTAD DE PALLAN</t>
  </si>
  <si>
    <t>CHOTA</t>
  </si>
  <si>
    <t>ANGUIA</t>
  </si>
  <si>
    <t>CHADIN</t>
  </si>
  <si>
    <t>CHIGUIRIP</t>
  </si>
  <si>
    <t>CHIMBAN</t>
  </si>
  <si>
    <t>CHOROPAMPA</t>
  </si>
  <si>
    <t>CONCHAN</t>
  </si>
  <si>
    <t>HUAMBOS</t>
  </si>
  <si>
    <t>LAJAS</t>
  </si>
  <si>
    <t>MIRACOSTA</t>
  </si>
  <si>
    <t>PACCHA</t>
  </si>
  <si>
    <t>PION</t>
  </si>
  <si>
    <t>QUEROCOTO</t>
  </si>
  <si>
    <t>SAN JUAN DE LICUPIS</t>
  </si>
  <si>
    <t>TACABAMBA</t>
  </si>
  <si>
    <t>TOCMOCHE</t>
  </si>
  <si>
    <t>CHALAMARCA</t>
  </si>
  <si>
    <t>CONTUMAZA</t>
  </si>
  <si>
    <t>CHILETE</t>
  </si>
  <si>
    <t>CUPISNIQUE</t>
  </si>
  <si>
    <t>GUZMANGO</t>
  </si>
  <si>
    <t>SAN BENITO</t>
  </si>
  <si>
    <t>SANTA CRUZ DE TOLED</t>
  </si>
  <si>
    <t>TANTARICA</t>
  </si>
  <si>
    <t>YONAN</t>
  </si>
  <si>
    <t>CUTERVO</t>
  </si>
  <si>
    <t>CALLAYUC</t>
  </si>
  <si>
    <t>CHOROS</t>
  </si>
  <si>
    <t>CUJILLO</t>
  </si>
  <si>
    <t>LA RAMADA</t>
  </si>
  <si>
    <t>PIMPINGOS</t>
  </si>
  <si>
    <t>QUEROCOTILLO</t>
  </si>
  <si>
    <t>SAN ANDRES DE CUTERVO</t>
  </si>
  <si>
    <t>SAN JUAN DE CUTERVO</t>
  </si>
  <si>
    <t>SAN LUIS DE LUCMA</t>
  </si>
  <si>
    <t>SANTO DOMINGO DE LA CAPILLA</t>
  </si>
  <si>
    <t>SOCOTA</t>
  </si>
  <si>
    <t>TORIBIO CASANOVA</t>
  </si>
  <si>
    <t>HUALGAYOC</t>
  </si>
  <si>
    <t>BAMBAMARCA</t>
  </si>
  <si>
    <t>CHUGUR</t>
  </si>
  <si>
    <t>JAEN</t>
  </si>
  <si>
    <t>BELLAVISTA</t>
  </si>
  <si>
    <t>CHONTALI</t>
  </si>
  <si>
    <t>COLASAY</t>
  </si>
  <si>
    <t>HUABAL</t>
  </si>
  <si>
    <t>LAS PIRIAS</t>
  </si>
  <si>
    <t>POMAHUACA</t>
  </si>
  <si>
    <t>PUCARA</t>
  </si>
  <si>
    <t>SALLIQUE</t>
  </si>
  <si>
    <t>SAN FELIPE</t>
  </si>
  <si>
    <t>SAN JOSE DEL ALTO</t>
  </si>
  <si>
    <t>SAN IGNACIO</t>
  </si>
  <si>
    <t>CHIRINOS</t>
  </si>
  <si>
    <t>HUARANGO</t>
  </si>
  <si>
    <t>LA COIPA</t>
  </si>
  <si>
    <t>NAMBALLE</t>
  </si>
  <si>
    <t>SAN JOSE DE LOURDES</t>
  </si>
  <si>
    <t>TABACONAS</t>
  </si>
  <si>
    <t>PEDRO GALVEZ</t>
  </si>
  <si>
    <t>CHANCAY</t>
  </si>
  <si>
    <t>EDUARDO VILLANUEVA</t>
  </si>
  <si>
    <t>GREGORIO PITA</t>
  </si>
  <si>
    <t>ICHOCAN</t>
  </si>
  <si>
    <t>JOSE MANUEL QUIROZ</t>
  </si>
  <si>
    <t>JOSE SABOGAL</t>
  </si>
  <si>
    <t>BOLIVAR</t>
  </si>
  <si>
    <t>CALQUIS</t>
  </si>
  <si>
    <t>CATILLUC</t>
  </si>
  <si>
    <t>EL PRADO</t>
  </si>
  <si>
    <t>LA FLORIDA</t>
  </si>
  <si>
    <t>LLAPA</t>
  </si>
  <si>
    <t>NANCHOC</t>
  </si>
  <si>
    <t>NIEPOS</t>
  </si>
  <si>
    <t>SAN GREGORIO</t>
  </si>
  <si>
    <t>SAN SILVESTRE DE COCHAN</t>
  </si>
  <si>
    <t>TONGOD</t>
  </si>
  <si>
    <t>UNION AGUA BLANCA</t>
  </si>
  <si>
    <t>SAN PABLO</t>
  </si>
  <si>
    <t>SAN BERNARDINO</t>
  </si>
  <si>
    <t>TUMBADEN</t>
  </si>
  <si>
    <t>ANDABAMBA</t>
  </si>
  <si>
    <t>CATACHE</t>
  </si>
  <si>
    <t>CHANCAYBAÑOS</t>
  </si>
  <si>
    <t>LA ESPERANZA</t>
  </si>
  <si>
    <t>NINABAMBA</t>
  </si>
  <si>
    <t>PULAN</t>
  </si>
  <si>
    <t>SAUCEPAMPA</t>
  </si>
  <si>
    <t>SEXI</t>
  </si>
  <si>
    <t>UTICYACU</t>
  </si>
  <si>
    <t>YAUYUCAN</t>
  </si>
  <si>
    <t>CALLAO</t>
  </si>
  <si>
    <t>CARMEN DE LA LEGUA REYNOSO</t>
  </si>
  <si>
    <t>LA PERLA</t>
  </si>
  <si>
    <t>LA PUNTA</t>
  </si>
  <si>
    <t>VENTANILLA</t>
  </si>
  <si>
    <t>CUSCO</t>
  </si>
  <si>
    <t>CCORCA</t>
  </si>
  <si>
    <t>POROY</t>
  </si>
  <si>
    <t>SAN SEBASTIAN</t>
  </si>
  <si>
    <t>SANTIAGO</t>
  </si>
  <si>
    <t>SAYLLA</t>
  </si>
  <si>
    <t>WANCHAQ</t>
  </si>
  <si>
    <t>ACOMAYO</t>
  </si>
  <si>
    <t>ACOPIA</t>
  </si>
  <si>
    <t>ACOS</t>
  </si>
  <si>
    <t>MOSOC LLACTA</t>
  </si>
  <si>
    <t>POMACANCHI</t>
  </si>
  <si>
    <t>RONDOCAN</t>
  </si>
  <si>
    <t>SANGARARA</t>
  </si>
  <si>
    <t>ANCAHUASI</t>
  </si>
  <si>
    <t>CACHIMAYO</t>
  </si>
  <si>
    <t>CHINCHAYPUJIO</t>
  </si>
  <si>
    <t>HUAROCONDO</t>
  </si>
  <si>
    <t>LIMATAMBO</t>
  </si>
  <si>
    <t>MOLLEPATA</t>
  </si>
  <si>
    <t>PUCYURA</t>
  </si>
  <si>
    <t>ZURITE</t>
  </si>
  <si>
    <t>CALCA</t>
  </si>
  <si>
    <t>COYA</t>
  </si>
  <si>
    <t>LAMAY</t>
  </si>
  <si>
    <t>LARES</t>
  </si>
  <si>
    <t>PISAC</t>
  </si>
  <si>
    <t>SAN SALVADOR</t>
  </si>
  <si>
    <t>TARAY</t>
  </si>
  <si>
    <t>YANATILE</t>
  </si>
  <si>
    <t>CANAS</t>
  </si>
  <si>
    <t>YANAOCA</t>
  </si>
  <si>
    <t>CHECCA</t>
  </si>
  <si>
    <t>KUNTURKANKI</t>
  </si>
  <si>
    <t>LANGUI</t>
  </si>
  <si>
    <t>LAYO</t>
  </si>
  <si>
    <t>QUEHUE</t>
  </si>
  <si>
    <t>TUPAC AMARU</t>
  </si>
  <si>
    <t>CANCHIS</t>
  </si>
  <si>
    <t>SICUANI</t>
  </si>
  <si>
    <t>CHECACUPE</t>
  </si>
  <si>
    <t>COMBAPATA</t>
  </si>
  <si>
    <t>MARANGANI</t>
  </si>
  <si>
    <t>PITUMARCA</t>
  </si>
  <si>
    <t>TINTA</t>
  </si>
  <si>
    <t>CHUMBIVILCAS</t>
  </si>
  <si>
    <t>CAPACMARCA</t>
  </si>
  <si>
    <t>CHAMACA</t>
  </si>
  <si>
    <t>COLQUEMARCA</t>
  </si>
  <si>
    <t>LIVITACA</t>
  </si>
  <si>
    <t>LLUSCO</t>
  </si>
  <si>
    <t>QUIÑOTA</t>
  </si>
  <si>
    <t>VELILLE</t>
  </si>
  <si>
    <t>ESPINAR</t>
  </si>
  <si>
    <t>CONDOROMA</t>
  </si>
  <si>
    <t>OCORURO</t>
  </si>
  <si>
    <t>PALLPATA</t>
  </si>
  <si>
    <t>PICHIGUA</t>
  </si>
  <si>
    <t>SUYCKUTAMBO</t>
  </si>
  <si>
    <t>ALTO PICHIGUA</t>
  </si>
  <si>
    <t>LA CONVENCION</t>
  </si>
  <si>
    <t>SANTA ANA</t>
  </si>
  <si>
    <t>ECHARATE</t>
  </si>
  <si>
    <t>HUAYOPATA</t>
  </si>
  <si>
    <t>MARANURA</t>
  </si>
  <si>
    <t>QUELLOUNO</t>
  </si>
  <si>
    <t>KIMBIRI</t>
  </si>
  <si>
    <t>SANTA TERESA</t>
  </si>
  <si>
    <t>PICHARI</t>
  </si>
  <si>
    <t>PARURO</t>
  </si>
  <si>
    <t>ACCHA</t>
  </si>
  <si>
    <t>CCAPI</t>
  </si>
  <si>
    <t>COLCHA</t>
  </si>
  <si>
    <t>HUANOQUITE</t>
  </si>
  <si>
    <t>OMACHA</t>
  </si>
  <si>
    <t>PACCARITAMBO</t>
  </si>
  <si>
    <t>PILLPINTO</t>
  </si>
  <si>
    <t>YAURISQUE</t>
  </si>
  <si>
    <t>PAUCARTAMBO</t>
  </si>
  <si>
    <t>CAICAY</t>
  </si>
  <si>
    <t>CHALLABAMBA</t>
  </si>
  <si>
    <t>COLQUEPATA</t>
  </si>
  <si>
    <t>HUANCARANI</t>
  </si>
  <si>
    <t>KOSÑIPATA</t>
  </si>
  <si>
    <t>QUISPICANCHI</t>
  </si>
  <si>
    <t>URCOS</t>
  </si>
  <si>
    <t>ANDAHUAYLILLAS</t>
  </si>
  <si>
    <t>CAMANTI</t>
  </si>
  <si>
    <t>CCARHUAYO</t>
  </si>
  <si>
    <t>CCATCA</t>
  </si>
  <si>
    <t>CUSIPATA</t>
  </si>
  <si>
    <t>HUARO</t>
  </si>
  <si>
    <t>MARCAPATA</t>
  </si>
  <si>
    <t>OCONGATE</t>
  </si>
  <si>
    <t>QUIQUIJANA</t>
  </si>
  <si>
    <t>URUBAMBA</t>
  </si>
  <si>
    <t>CHINCHERO</t>
  </si>
  <si>
    <t>MACHUPICCHU</t>
  </si>
  <si>
    <t>MARAS</t>
  </si>
  <si>
    <t>OLLANTAYTAMBO</t>
  </si>
  <si>
    <t>YUCAY</t>
  </si>
  <si>
    <t>HUANCAVELICA</t>
  </si>
  <si>
    <t>ACOBAMBILLA</t>
  </si>
  <si>
    <t>ACORIA</t>
  </si>
  <si>
    <t>CONAYCA</t>
  </si>
  <si>
    <t>CUENCA</t>
  </si>
  <si>
    <t>HUACHOCOLPA</t>
  </si>
  <si>
    <t>HUAYLLAHUARA</t>
  </si>
  <si>
    <t>IZCUCHACA</t>
  </si>
  <si>
    <t>LARIA</t>
  </si>
  <si>
    <t>MANTA</t>
  </si>
  <si>
    <t>MOYA</t>
  </si>
  <si>
    <t>NUEVO OCCORO</t>
  </si>
  <si>
    <t>PALCA</t>
  </si>
  <si>
    <t>PILCHACA</t>
  </si>
  <si>
    <t>VILCA</t>
  </si>
  <si>
    <t>YAULI</t>
  </si>
  <si>
    <t>ASCENSION</t>
  </si>
  <si>
    <t>HUANDO</t>
  </si>
  <si>
    <t>CAJA</t>
  </si>
  <si>
    <t>MARCAS</t>
  </si>
  <si>
    <t>PAUCARA</t>
  </si>
  <si>
    <t>ROSARIO</t>
  </si>
  <si>
    <t>ANGARAES</t>
  </si>
  <si>
    <t>LIRCAY</t>
  </si>
  <si>
    <t>ANCHONGA</t>
  </si>
  <si>
    <t>CALLANMARCA</t>
  </si>
  <si>
    <t>CCOCHACCASA</t>
  </si>
  <si>
    <t>CHINCHO</t>
  </si>
  <si>
    <t>CONGALLA</t>
  </si>
  <si>
    <t>HUANCA-HUANCA</t>
  </si>
  <si>
    <t>HUAYLLAY GRANDE</t>
  </si>
  <si>
    <t>JULCAMARCA</t>
  </si>
  <si>
    <t>SAN ANTONIO DE ANTAPARCO</t>
  </si>
  <si>
    <t>SANTO TOMAS DE PATA</t>
  </si>
  <si>
    <t>SECCLLA</t>
  </si>
  <si>
    <t>CASTROVIRREYNA</t>
  </si>
  <si>
    <t>ARMA</t>
  </si>
  <si>
    <t>AURAHUA</t>
  </si>
  <si>
    <t>CAPILLAS</t>
  </si>
  <si>
    <t>CHUPAMARCA</t>
  </si>
  <si>
    <t>COCAS</t>
  </si>
  <si>
    <t>HUACHOS</t>
  </si>
  <si>
    <t>HUAMATAMBO</t>
  </si>
  <si>
    <t>MOLLEPAMPA</t>
  </si>
  <si>
    <t>TANTARA</t>
  </si>
  <si>
    <t>TICRAPO</t>
  </si>
  <si>
    <t>CHURCAMPA</t>
  </si>
  <si>
    <t>CHINCHIHUASI</t>
  </si>
  <si>
    <t>EL CARMEN</t>
  </si>
  <si>
    <t>LOCROJA</t>
  </si>
  <si>
    <t>PAUCARBAMBA</t>
  </si>
  <si>
    <t>SAN MIGUEL DE MAYOCC</t>
  </si>
  <si>
    <t>SAN PEDRO DE CORIS</t>
  </si>
  <si>
    <t>PACHAMARCA</t>
  </si>
  <si>
    <t>COSME</t>
  </si>
  <si>
    <t>HUAYTARA</t>
  </si>
  <si>
    <t>AYAVI</t>
  </si>
  <si>
    <t>CORDOVA</t>
  </si>
  <si>
    <t>HUAYACUNDO ARMA</t>
  </si>
  <si>
    <t>LARAMARCA</t>
  </si>
  <si>
    <t>OCOYO</t>
  </si>
  <si>
    <t>PILPICHACA</t>
  </si>
  <si>
    <t>QUERCO</t>
  </si>
  <si>
    <t>QUITO-ARMA</t>
  </si>
  <si>
    <t>SAN ANTONIO DE CUSICANCHA</t>
  </si>
  <si>
    <t>SAN FRANCISCO DE SANGAYAICO</t>
  </si>
  <si>
    <t>SAN ISIDRO</t>
  </si>
  <si>
    <t>SANTIAGO DE CHOCORVOS</t>
  </si>
  <si>
    <t>SANTIAGO DE QUIRAHUARA</t>
  </si>
  <si>
    <t>SANTO DOMINGO DE CAPILLAS</t>
  </si>
  <si>
    <t>TAYACAJA</t>
  </si>
  <si>
    <t>ACOSTAMBO</t>
  </si>
  <si>
    <t>ACRAQUIA</t>
  </si>
  <si>
    <t>AHUAYCHA</t>
  </si>
  <si>
    <t>DANIEL HERNANDEZ</t>
  </si>
  <si>
    <t>HUARIBAMBA</t>
  </si>
  <si>
    <t>ÑAHUIMPUQUIO</t>
  </si>
  <si>
    <t>PAZOS</t>
  </si>
  <si>
    <t>QUISHUAR</t>
  </si>
  <si>
    <t>SALCABAMBA</t>
  </si>
  <si>
    <t>SALCAHUASI</t>
  </si>
  <si>
    <t>SAN MARCOS DE ROCCHAC</t>
  </si>
  <si>
    <t>SURCUBAMBA</t>
  </si>
  <si>
    <t>TINTAY PUNCU</t>
  </si>
  <si>
    <t>HUANUCO</t>
  </si>
  <si>
    <t>AMARILIS</t>
  </si>
  <si>
    <t>CHINCHAO</t>
  </si>
  <si>
    <t>CHURUBAMBA</t>
  </si>
  <si>
    <t>MARGOS</t>
  </si>
  <si>
    <t>QUISQUI</t>
  </si>
  <si>
    <t>SAN FRANCISCO DE CAYRAN</t>
  </si>
  <si>
    <t>SAN PEDRO DE CHAULAN</t>
  </si>
  <si>
    <t>SANTA MARIA DEL VALLE</t>
  </si>
  <si>
    <t>YARUMAYO</t>
  </si>
  <si>
    <t>PILLCO MARCA</t>
  </si>
  <si>
    <t>YACUS</t>
  </si>
  <si>
    <t>AMBO</t>
  </si>
  <si>
    <t>CAYNA</t>
  </si>
  <si>
    <t>COLPAS</t>
  </si>
  <si>
    <t>CONCHAMARCA</t>
  </si>
  <si>
    <t>HUACAR</t>
  </si>
  <si>
    <t>SAN FRANCISCO</t>
  </si>
  <si>
    <t>SAN RAFAEL</t>
  </si>
  <si>
    <t>TOMAY KICHWA</t>
  </si>
  <si>
    <t>DOS DE MAYO</t>
  </si>
  <si>
    <t>CHUQUIS</t>
  </si>
  <si>
    <t>MARIAS</t>
  </si>
  <si>
    <t>PACHAS</t>
  </si>
  <si>
    <t>QUIVILLA</t>
  </si>
  <si>
    <t>RIPAN</t>
  </si>
  <si>
    <t>SHUNQUI</t>
  </si>
  <si>
    <t>SILLAPATA</t>
  </si>
  <si>
    <t>YANAS</t>
  </si>
  <si>
    <t>HUACAYBAMBA</t>
  </si>
  <si>
    <t>CANCHABAMBA</t>
  </si>
  <si>
    <t>PINRA</t>
  </si>
  <si>
    <t>HUAMALIES</t>
  </si>
  <si>
    <t>LLATA</t>
  </si>
  <si>
    <t>ARANCAY</t>
  </si>
  <si>
    <t>CHAVIN DE PARIARCA</t>
  </si>
  <si>
    <t>JACAS GRANDE</t>
  </si>
  <si>
    <t>JIRCAN</t>
  </si>
  <si>
    <t>MONZON</t>
  </si>
  <si>
    <t>PUNCHAO</t>
  </si>
  <si>
    <t>PUÑOS</t>
  </si>
  <si>
    <t>SINGA</t>
  </si>
  <si>
    <t>TANTAMAYO</t>
  </si>
  <si>
    <t>RUPA-RUPA</t>
  </si>
  <si>
    <t>DANIEL ALOMIA ROBLES</t>
  </si>
  <si>
    <t>HERMILIO VALDIZAN</t>
  </si>
  <si>
    <t>JOSE CRESPO Y CASTILLO</t>
  </si>
  <si>
    <t>LUYANDO</t>
  </si>
  <si>
    <t>MARIANO DAMASO BERAUN</t>
  </si>
  <si>
    <t>MARAÑON</t>
  </si>
  <si>
    <t>HUACRACHUCO</t>
  </si>
  <si>
    <t>CHOLON</t>
  </si>
  <si>
    <t>SAN BUENAVENTURA</t>
  </si>
  <si>
    <t>PACHITEA</t>
  </si>
  <si>
    <t>PANAO</t>
  </si>
  <si>
    <t>CHAGLLA</t>
  </si>
  <si>
    <t>MOLINO</t>
  </si>
  <si>
    <t>UMARI</t>
  </si>
  <si>
    <t>PUERTO INCA</t>
  </si>
  <si>
    <t>CODO DEL POZUZO</t>
  </si>
  <si>
    <t>HONORIA</t>
  </si>
  <si>
    <t>TOURNAVISTA</t>
  </si>
  <si>
    <t>YUYAPICHIS</t>
  </si>
  <si>
    <t>LAURICOCHA</t>
  </si>
  <si>
    <t>BAÑOS</t>
  </si>
  <si>
    <t>JIVIA</t>
  </si>
  <si>
    <t>QUEROPALCA</t>
  </si>
  <si>
    <t>RONDOS</t>
  </si>
  <si>
    <t>SAN FRANCISCO DE ASIS</t>
  </si>
  <si>
    <t>SAN MIGUEL DE CAURI</t>
  </si>
  <si>
    <t>YAROWILCA</t>
  </si>
  <si>
    <t>CHAVINILLO</t>
  </si>
  <si>
    <t>CAHUAC</t>
  </si>
  <si>
    <t>CHACABAMBA</t>
  </si>
  <si>
    <t>APARICIO POMARES</t>
  </si>
  <si>
    <t>JACAS CHICO</t>
  </si>
  <si>
    <t>OBAS</t>
  </si>
  <si>
    <t>CHORAS</t>
  </si>
  <si>
    <t>ICA</t>
  </si>
  <si>
    <t>LA TINGUIÑA</t>
  </si>
  <si>
    <t>LOS AQUIJES</t>
  </si>
  <si>
    <t>OCUCAJE</t>
  </si>
  <si>
    <t>PACHACUTEC</t>
  </si>
  <si>
    <t>PARCONA</t>
  </si>
  <si>
    <t>PUEBLO NUEVO</t>
  </si>
  <si>
    <t>SALAS</t>
  </si>
  <si>
    <t>SAN JOSE DE LOS MOLINOS</t>
  </si>
  <si>
    <t>SUBTANJALLA</t>
  </si>
  <si>
    <t>TATE</t>
  </si>
  <si>
    <t>YAUCA DEL ROSARIO</t>
  </si>
  <si>
    <t>CHINCHA</t>
  </si>
  <si>
    <t>CHINCHA ALTA</t>
  </si>
  <si>
    <t>ALTO LARAN</t>
  </si>
  <si>
    <t>CHAVIN</t>
  </si>
  <si>
    <t>CHINCHA BAJA</t>
  </si>
  <si>
    <t>GROCIO PRADO</t>
  </si>
  <si>
    <t>SAN JUAN DE YANAC</t>
  </si>
  <si>
    <t>SAN PEDRO DE HUACARPANA</t>
  </si>
  <si>
    <t>SUNAMPE</t>
  </si>
  <si>
    <t>TAMBO DE MORA</t>
  </si>
  <si>
    <t>NAZCA</t>
  </si>
  <si>
    <t>CHANGUILLO</t>
  </si>
  <si>
    <t>EL INGENIO</t>
  </si>
  <si>
    <t>MARCONA</t>
  </si>
  <si>
    <t>PALPA</t>
  </si>
  <si>
    <t>LLIPATA</t>
  </si>
  <si>
    <t>TIBILLO</t>
  </si>
  <si>
    <t>PISCO</t>
  </si>
  <si>
    <t>HUANCANO</t>
  </si>
  <si>
    <t>HUMAY</t>
  </si>
  <si>
    <t>PARACAS</t>
  </si>
  <si>
    <t>SAN ANDRES</t>
  </si>
  <si>
    <t>SAN CLEMENTE</t>
  </si>
  <si>
    <t>TUPAC AMARU INCA</t>
  </si>
  <si>
    <t>JUNIN</t>
  </si>
  <si>
    <t>HUANCAYO</t>
  </si>
  <si>
    <t>CARHUACALLANGA</t>
  </si>
  <si>
    <t>CHACAPAMPA</t>
  </si>
  <si>
    <t>CHICCHE</t>
  </si>
  <si>
    <t>CHILCA</t>
  </si>
  <si>
    <t>CHONGOS ALTO</t>
  </si>
  <si>
    <t>CHUPURO</t>
  </si>
  <si>
    <t>CULLHUAS</t>
  </si>
  <si>
    <t>EL TAMBO</t>
  </si>
  <si>
    <t>HUACRAPUQUIO</t>
  </si>
  <si>
    <t>HUALHUAS</t>
  </si>
  <si>
    <t>HUANCAN</t>
  </si>
  <si>
    <t>HUASICANCHA</t>
  </si>
  <si>
    <t>HUAYUCACHI</t>
  </si>
  <si>
    <t>INGENIO</t>
  </si>
  <si>
    <t>PILCOMAYO</t>
  </si>
  <si>
    <t>QUICHUAY</t>
  </si>
  <si>
    <t>QUILCAS</t>
  </si>
  <si>
    <t>SAN AGUSTIN</t>
  </si>
  <si>
    <t>SAN JERONIMO DE TUNAN</t>
  </si>
  <si>
    <t>SAÑO</t>
  </si>
  <si>
    <t>SAPALLANGA</t>
  </si>
  <si>
    <t>SICAYA</t>
  </si>
  <si>
    <t>SANTO DOMINGO DE ACOBAMBA</t>
  </si>
  <si>
    <t>VIQUES</t>
  </si>
  <si>
    <t>ANDAMARCA</t>
  </si>
  <si>
    <t>CHAMBARA</t>
  </si>
  <si>
    <t>COMAS</t>
  </si>
  <si>
    <t>HEROINAS TOLEDO</t>
  </si>
  <si>
    <t>MANZANARES</t>
  </si>
  <si>
    <t>MATAHUASI</t>
  </si>
  <si>
    <t>MITO</t>
  </si>
  <si>
    <t>NUEVE DE JULIO</t>
  </si>
  <si>
    <t>ORCOTUNA</t>
  </si>
  <si>
    <t>SAN JOSE DE QUERO</t>
  </si>
  <si>
    <t>SANTA ROSA DE OCOPA</t>
  </si>
  <si>
    <t>CHANCHAMAYO</t>
  </si>
  <si>
    <t>PERENE</t>
  </si>
  <si>
    <t>PICHANAQUI</t>
  </si>
  <si>
    <t>SAN LUIS DE SHUARO</t>
  </si>
  <si>
    <t>SAN RAMON</t>
  </si>
  <si>
    <t>VITOC</t>
  </si>
  <si>
    <t>JAUJA</t>
  </si>
  <si>
    <t>ACOLLA</t>
  </si>
  <si>
    <t>APATA</t>
  </si>
  <si>
    <t>ATAURA</t>
  </si>
  <si>
    <t>CANCHAYLLO</t>
  </si>
  <si>
    <t>CURICACA</t>
  </si>
  <si>
    <t>EL MANTARO</t>
  </si>
  <si>
    <t>HUAMALI</t>
  </si>
  <si>
    <t>HUARIPAMPA</t>
  </si>
  <si>
    <t>HUERTAS</t>
  </si>
  <si>
    <t>JANJAILLO</t>
  </si>
  <si>
    <t>JULCAN</t>
  </si>
  <si>
    <t>LEONOR ORDOÑEZ</t>
  </si>
  <si>
    <t>LLOCLLAPAMPA</t>
  </si>
  <si>
    <t>MARCO</t>
  </si>
  <si>
    <t>MASMA</t>
  </si>
  <si>
    <t>MASMA CHICCHE</t>
  </si>
  <si>
    <t>MOLINOS</t>
  </si>
  <si>
    <t>MONOBAMBA</t>
  </si>
  <si>
    <t>MUQUI</t>
  </si>
  <si>
    <t>MUQUIYAUYO</t>
  </si>
  <si>
    <t>PACA</t>
  </si>
  <si>
    <t>PANCAN</t>
  </si>
  <si>
    <t>PARCO</t>
  </si>
  <si>
    <t>POMACANCHA</t>
  </si>
  <si>
    <t>RICRAN</t>
  </si>
  <si>
    <t>SAN LORENZO</t>
  </si>
  <si>
    <t>SAN PEDRO DE CHUNAN</t>
  </si>
  <si>
    <t>SAUSA</t>
  </si>
  <si>
    <t>SINCOS</t>
  </si>
  <si>
    <t>TUNAN MARCA</t>
  </si>
  <si>
    <t>YAUYOS</t>
  </si>
  <si>
    <t>CARHUAMAYO</t>
  </si>
  <si>
    <t>ONDORES</t>
  </si>
  <si>
    <t>ULCUMAYO</t>
  </si>
  <si>
    <t>SATIPO</t>
  </si>
  <si>
    <t>COVIRIALI</t>
  </si>
  <si>
    <t>LLAYLLA</t>
  </si>
  <si>
    <t>MAZAMARI</t>
  </si>
  <si>
    <t>PAMPA HERMOSA</t>
  </si>
  <si>
    <t>PANGOA</t>
  </si>
  <si>
    <t>RIO NEGRO</t>
  </si>
  <si>
    <t>RIO TAMBO</t>
  </si>
  <si>
    <t>TARMA</t>
  </si>
  <si>
    <t>HUARICOLCA</t>
  </si>
  <si>
    <t>HUASAHUASI</t>
  </si>
  <si>
    <t>PALCAMAYO</t>
  </si>
  <si>
    <t>SAN PEDRO DE CAJAS</t>
  </si>
  <si>
    <t>TAPO</t>
  </si>
  <si>
    <t>LA OROYA</t>
  </si>
  <si>
    <t>CHACAPALPA</t>
  </si>
  <si>
    <t>HUAY-HUAY</t>
  </si>
  <si>
    <t>MARCAPOMACOCHA</t>
  </si>
  <si>
    <t>MOROCOCHA</t>
  </si>
  <si>
    <t>SANTA BARBARA DE CARHUACAYAN</t>
  </si>
  <si>
    <t>SANTA ROSA DE SACCO</t>
  </si>
  <si>
    <t>SUITUCANCHA</t>
  </si>
  <si>
    <t>CHUPACA</t>
  </si>
  <si>
    <t>AHUAC</t>
  </si>
  <si>
    <t>CHONGOS BAJO</t>
  </si>
  <si>
    <t>HUACHAC</t>
  </si>
  <si>
    <t>HUAMANCACA CHICO</t>
  </si>
  <si>
    <t>SAN JUAN DE ISCOS</t>
  </si>
  <si>
    <t>SAN JUAN DE JARPA</t>
  </si>
  <si>
    <t>TRES DE DICIEMBRE</t>
  </si>
  <si>
    <t>YANACANCHA</t>
  </si>
  <si>
    <t>TRUJILLO</t>
  </si>
  <si>
    <t>EL PORVENIR</t>
  </si>
  <si>
    <t>FLORENCIA DE MORA</t>
  </si>
  <si>
    <t>HUANCHACO</t>
  </si>
  <si>
    <t>LAREDO</t>
  </si>
  <si>
    <t>MOCHE</t>
  </si>
  <si>
    <t>POROTO</t>
  </si>
  <si>
    <t>SALAVERRY</t>
  </si>
  <si>
    <t>SIMBAL</t>
  </si>
  <si>
    <t>VICTOR LARCO HERRERA</t>
  </si>
  <si>
    <t>ASCOPE</t>
  </si>
  <si>
    <t>CHICAMA</t>
  </si>
  <si>
    <t>CHOCOPE</t>
  </si>
  <si>
    <t>MAGDALENA DE CAO</t>
  </si>
  <si>
    <t>PAIJAN</t>
  </si>
  <si>
    <t>RAZURI</t>
  </si>
  <si>
    <t>SANTIAGO DE CAO</t>
  </si>
  <si>
    <t>CASA GRANDE</t>
  </si>
  <si>
    <t>CONDORMARCA</t>
  </si>
  <si>
    <t>LONGOTEA</t>
  </si>
  <si>
    <t>UCHUMARCA</t>
  </si>
  <si>
    <t>UCUNCHA</t>
  </si>
  <si>
    <t>CHEPEN</t>
  </si>
  <si>
    <t>PACANGA</t>
  </si>
  <si>
    <t>CALAMARCA</t>
  </si>
  <si>
    <t>CARABAMBA</t>
  </si>
  <si>
    <t>HUASO</t>
  </si>
  <si>
    <t>OTUZCO</t>
  </si>
  <si>
    <t>AGALLPAMPA</t>
  </si>
  <si>
    <t>CHARAT</t>
  </si>
  <si>
    <t>HUARANCHAL</t>
  </si>
  <si>
    <t>LA CUESTA</t>
  </si>
  <si>
    <t>MACHE</t>
  </si>
  <si>
    <t>PARANDAY</t>
  </si>
  <si>
    <t>SALPO</t>
  </si>
  <si>
    <t>SINSICAP</t>
  </si>
  <si>
    <t>USQUIL</t>
  </si>
  <si>
    <t>PACASMAYO</t>
  </si>
  <si>
    <t>SAN PEDRO DE LLOC</t>
  </si>
  <si>
    <t>GUADALUPE</t>
  </si>
  <si>
    <t>JEQUETEPEQUE</t>
  </si>
  <si>
    <t>SAN JOSE</t>
  </si>
  <si>
    <t>PATAZ</t>
  </si>
  <si>
    <t>TAYABAMBA</t>
  </si>
  <si>
    <t>BULDIBUYO</t>
  </si>
  <si>
    <t>CHILLIA</t>
  </si>
  <si>
    <t>HUANCASPATA</t>
  </si>
  <si>
    <t>HUAYLILLAS</t>
  </si>
  <si>
    <t>HUAYO</t>
  </si>
  <si>
    <t>ONGON</t>
  </si>
  <si>
    <t>PARCOY</t>
  </si>
  <si>
    <t>PIAS</t>
  </si>
  <si>
    <t>SANTIAGO DE CHALLAS</t>
  </si>
  <si>
    <t>TAURIJA</t>
  </si>
  <si>
    <t>URPAY</t>
  </si>
  <si>
    <t>SANCHEZ CARRION</t>
  </si>
  <si>
    <t>HUAMACHUCO</t>
  </si>
  <si>
    <t>CHUGAY</t>
  </si>
  <si>
    <t>COCHORCO</t>
  </si>
  <si>
    <t>CURGOS</t>
  </si>
  <si>
    <t>MARCABAL</t>
  </si>
  <si>
    <t>SANAGORAN</t>
  </si>
  <si>
    <t>SARIN</t>
  </si>
  <si>
    <t>SARTIMBAMBA</t>
  </si>
  <si>
    <t>SANTIAGO DE CHUCO</t>
  </si>
  <si>
    <t>ANGASMARCA</t>
  </si>
  <si>
    <t>CACHICADAN</t>
  </si>
  <si>
    <t>MOLLEBAMBA</t>
  </si>
  <si>
    <t>QUIRUVILCA</t>
  </si>
  <si>
    <t>SANTA CRUZ DE CHUCA</t>
  </si>
  <si>
    <t>SITABAMBA</t>
  </si>
  <si>
    <t>GRAN CHIMU</t>
  </si>
  <si>
    <t>CASCAS</t>
  </si>
  <si>
    <t>MARMOT</t>
  </si>
  <si>
    <t>SAYAPULLO</t>
  </si>
  <si>
    <t>VIRU</t>
  </si>
  <si>
    <t>CHAO</t>
  </si>
  <si>
    <t>GUADALUPITO</t>
  </si>
  <si>
    <t>LAMBAYEQUE</t>
  </si>
  <si>
    <t>CHICLAYO</t>
  </si>
  <si>
    <t>CHONGOYAPE</t>
  </si>
  <si>
    <t>ETEN</t>
  </si>
  <si>
    <t>ETEN PUERTO</t>
  </si>
  <si>
    <t>JOSE LEONARDO ORTIZ</t>
  </si>
  <si>
    <t>LA VICTORIA</t>
  </si>
  <si>
    <t>LAGUNAS</t>
  </si>
  <si>
    <t>MONSEFU</t>
  </si>
  <si>
    <t>NUEVA ARICA</t>
  </si>
  <si>
    <t>OYOTUN</t>
  </si>
  <si>
    <t>PICSI</t>
  </si>
  <si>
    <t>PIMENTEL</t>
  </si>
  <si>
    <t>REQUE</t>
  </si>
  <si>
    <t>SAÑA</t>
  </si>
  <si>
    <t>CAYALTI</t>
  </si>
  <si>
    <t>PATAPO</t>
  </si>
  <si>
    <t>POMALCA</t>
  </si>
  <si>
    <t>PUCALA</t>
  </si>
  <si>
    <t>TUMAN</t>
  </si>
  <si>
    <t>FERREÑAFE</t>
  </si>
  <si>
    <t>CAÑARIS</t>
  </si>
  <si>
    <t>INCAHUASI</t>
  </si>
  <si>
    <t>MANUEL ANTONIO MESONES MURO</t>
  </si>
  <si>
    <t>PITIPO</t>
  </si>
  <si>
    <t>CHOCHOPE</t>
  </si>
  <si>
    <t>ILLIMO</t>
  </si>
  <si>
    <t>JAYANCA</t>
  </si>
  <si>
    <t>MOCHUMI</t>
  </si>
  <si>
    <t>MORROPE</t>
  </si>
  <si>
    <t>MOTUPE</t>
  </si>
  <si>
    <t>OLMOS</t>
  </si>
  <si>
    <t>PACORA</t>
  </si>
  <si>
    <t>TUCUME</t>
  </si>
  <si>
    <t>LIMA</t>
  </si>
  <si>
    <t>ANCON</t>
  </si>
  <si>
    <t>ATE</t>
  </si>
  <si>
    <t>BARRANCO</t>
  </si>
  <si>
    <t>BREÑA</t>
  </si>
  <si>
    <t>CARABAYLLO</t>
  </si>
  <si>
    <t>CHACLACAYO</t>
  </si>
  <si>
    <t>CHORRILLOS</t>
  </si>
  <si>
    <t>CIENEGUILLA</t>
  </si>
  <si>
    <t>EL AGUSTINO</t>
  </si>
  <si>
    <t>JESUS MARIA</t>
  </si>
  <si>
    <t>LA MOLINA</t>
  </si>
  <si>
    <t>LINCE</t>
  </si>
  <si>
    <t>LOS OLIVOS</t>
  </si>
  <si>
    <t>LURIGANCHO</t>
  </si>
  <si>
    <t>LURIN</t>
  </si>
  <si>
    <t>MAGDALENA DEL MAR</t>
  </si>
  <si>
    <t>PACHACAMAC</t>
  </si>
  <si>
    <t>PUCUSANA</t>
  </si>
  <si>
    <t>PUENTE PIEDRA</t>
  </si>
  <si>
    <t>PUNTA HERMOSA</t>
  </si>
  <si>
    <t>PUNTA NEGRA</t>
  </si>
  <si>
    <t>RIMAC</t>
  </si>
  <si>
    <t>SAN BARTOLO</t>
  </si>
  <si>
    <t>SAN BORJA</t>
  </si>
  <si>
    <t>SAN JUAN DE LURIGANCHO</t>
  </si>
  <si>
    <t>SAN JUAN DE MIRAFLORES</t>
  </si>
  <si>
    <t>SAN MARTIN DE PORRES</t>
  </si>
  <si>
    <t>SANTA ANITA</t>
  </si>
  <si>
    <t>SANTA MARIA DEL MAR</t>
  </si>
  <si>
    <t>SANTIAGO DE SURCO</t>
  </si>
  <si>
    <t>SURQUILLO</t>
  </si>
  <si>
    <t>VILLA EL SALVADOR</t>
  </si>
  <si>
    <t>VILLA MARIA DEL TRIUNFO</t>
  </si>
  <si>
    <t>BARRANCA</t>
  </si>
  <si>
    <t>PARAMONGA</t>
  </si>
  <si>
    <t>PATIVILCA</t>
  </si>
  <si>
    <t>SUPE</t>
  </si>
  <si>
    <t>SUPE PUERTO</t>
  </si>
  <si>
    <t>CAJATAMBO</t>
  </si>
  <si>
    <t>COPA</t>
  </si>
  <si>
    <t>GORGOR</t>
  </si>
  <si>
    <t>HUANCAPON</t>
  </si>
  <si>
    <t>MANAS</t>
  </si>
  <si>
    <t>CANTA</t>
  </si>
  <si>
    <t>ARAHUAY</t>
  </si>
  <si>
    <t>HUAMANTANGA</t>
  </si>
  <si>
    <t>HUAROS</t>
  </si>
  <si>
    <t>LACHAQUI</t>
  </si>
  <si>
    <t>SANTA ROSA DE QUIVES</t>
  </si>
  <si>
    <t>CAÑETE</t>
  </si>
  <si>
    <t>SAN VICENTE DE CAÑETE</t>
  </si>
  <si>
    <t>ASIA</t>
  </si>
  <si>
    <t>CALANGO</t>
  </si>
  <si>
    <t>CERRO AZUL</t>
  </si>
  <si>
    <t>COAYLLO</t>
  </si>
  <si>
    <t>IMPERIAL</t>
  </si>
  <si>
    <t>LUNAHUANA</t>
  </si>
  <si>
    <t>MALA</t>
  </si>
  <si>
    <t>NUEVO IMPERIAL</t>
  </si>
  <si>
    <t>PACARAN</t>
  </si>
  <si>
    <t>QUILMANA</t>
  </si>
  <si>
    <t>SANTA CRUZ DE FLORES</t>
  </si>
  <si>
    <t>ZUÑIGA</t>
  </si>
  <si>
    <t>HUARAL</t>
  </si>
  <si>
    <t>ATAVILLOS ALTO</t>
  </si>
  <si>
    <t>ATAVILLOS BAJO</t>
  </si>
  <si>
    <t>AUCALLAMA</t>
  </si>
  <si>
    <t>IHUARI</t>
  </si>
  <si>
    <t>LAMPIAN</t>
  </si>
  <si>
    <t>PACARAOS</t>
  </si>
  <si>
    <t>SAN MIGUEL DE ACOS</t>
  </si>
  <si>
    <t>SANTA CRUZ DE ANDAMARCA</t>
  </si>
  <si>
    <t>SUMBILCA</t>
  </si>
  <si>
    <t>VEINTISIETE DE NOVIEMBRE</t>
  </si>
  <si>
    <t>HUAROCHIRI</t>
  </si>
  <si>
    <t>MATUCANA</t>
  </si>
  <si>
    <t>ANTIOQUIA</t>
  </si>
  <si>
    <t>CALLAHUANCA</t>
  </si>
  <si>
    <t>CARAMPOMA</t>
  </si>
  <si>
    <t>CHICLA</t>
  </si>
  <si>
    <t>HUACHUPAMPA</t>
  </si>
  <si>
    <t>HUANZA</t>
  </si>
  <si>
    <t>LAHUAYTAMBO</t>
  </si>
  <si>
    <t>LANGA</t>
  </si>
  <si>
    <t>LARAOS</t>
  </si>
  <si>
    <t>MARIATANA</t>
  </si>
  <si>
    <t>RICARDO PALMA</t>
  </si>
  <si>
    <t>SAN ANDRES DE TUPICOCHA</t>
  </si>
  <si>
    <t>SAN BARTOLOME</t>
  </si>
  <si>
    <t>SAN DAMIAN</t>
  </si>
  <si>
    <t>SAN JUAN DE IRIS</t>
  </si>
  <si>
    <t>SAN JUAN DE TANTARANCHE</t>
  </si>
  <si>
    <t>SAN LORENZO DE QUINTI</t>
  </si>
  <si>
    <t>SAN MATEO</t>
  </si>
  <si>
    <t>SAN MATEO DE OTAO</t>
  </si>
  <si>
    <t>SAN PEDRO DE CASTA</t>
  </si>
  <si>
    <t>SAN PEDRO DE HUANCAYRE</t>
  </si>
  <si>
    <t>SANGALLAYA</t>
  </si>
  <si>
    <t>SANTA CRUZ DE COCACHACRA</t>
  </si>
  <si>
    <t>SANTA EULALIA</t>
  </si>
  <si>
    <t>SANTIAGO DE ANCHUCAYA</t>
  </si>
  <si>
    <t>SANTIAGO DE TUNA</t>
  </si>
  <si>
    <t>SANTO DOMINGO DE LOS OLLEROS</t>
  </si>
  <si>
    <t>SURCO</t>
  </si>
  <si>
    <t>HUAURA</t>
  </si>
  <si>
    <t>HUACHO</t>
  </si>
  <si>
    <t>AMBAR</t>
  </si>
  <si>
    <t>CALETA DE CARQUIN</t>
  </si>
  <si>
    <t>CHECRAS</t>
  </si>
  <si>
    <t>HUALMAY</t>
  </si>
  <si>
    <t>PACCHO</t>
  </si>
  <si>
    <t>SANTA LEONOR</t>
  </si>
  <si>
    <t>SANTA MARIA</t>
  </si>
  <si>
    <t>SAYAN</t>
  </si>
  <si>
    <t>VEGUETA</t>
  </si>
  <si>
    <t>OYON</t>
  </si>
  <si>
    <t>ANDAJES</t>
  </si>
  <si>
    <t>CAUJUL</t>
  </si>
  <si>
    <t>COCHAMARCA</t>
  </si>
  <si>
    <t>NAVAN</t>
  </si>
  <si>
    <t>PACHANGARA</t>
  </si>
  <si>
    <t>ALIS</t>
  </si>
  <si>
    <t>ALLAUCA</t>
  </si>
  <si>
    <t>AYAVIRI</t>
  </si>
  <si>
    <t>AZANGARO</t>
  </si>
  <si>
    <t>CACRA</t>
  </si>
  <si>
    <t>CARANIA</t>
  </si>
  <si>
    <t>CATAHUASI</t>
  </si>
  <si>
    <t>CHOCOS</t>
  </si>
  <si>
    <t>COLONIA</t>
  </si>
  <si>
    <t>HONGOS</t>
  </si>
  <si>
    <t>HUAMPARA</t>
  </si>
  <si>
    <t>HUANCAYA</t>
  </si>
  <si>
    <t>HUANGASCAR</t>
  </si>
  <si>
    <t>HUANTAN</t>
  </si>
  <si>
    <t>HUAÑEC</t>
  </si>
  <si>
    <t>LINCHA</t>
  </si>
  <si>
    <t>MADEAN</t>
  </si>
  <si>
    <t>OMAS</t>
  </si>
  <si>
    <t>PUTINZA</t>
  </si>
  <si>
    <t>QUINCHES</t>
  </si>
  <si>
    <t>QUINOCAY</t>
  </si>
  <si>
    <t>SAN JOAQUIN</t>
  </si>
  <si>
    <t>SAN PEDRO DE PILAS</t>
  </si>
  <si>
    <t>TANTA</t>
  </si>
  <si>
    <t>TAURIPAMPA</t>
  </si>
  <si>
    <t>TOMAS</t>
  </si>
  <si>
    <t>TUPE</t>
  </si>
  <si>
    <t>VIÑAC</t>
  </si>
  <si>
    <t>VITIS</t>
  </si>
  <si>
    <t>LORETO</t>
  </si>
  <si>
    <t>MAYNAS</t>
  </si>
  <si>
    <t>ALTO NANAY</t>
  </si>
  <si>
    <t>FERNANDO LORES</t>
  </si>
  <si>
    <t>INDIANA</t>
  </si>
  <si>
    <t>LAS AMAZONAS</t>
  </si>
  <si>
    <t>MAZAN</t>
  </si>
  <si>
    <t>NAPO</t>
  </si>
  <si>
    <t>TORRES CAUSANA</t>
  </si>
  <si>
    <t>ALTO AMAZONAS</t>
  </si>
  <si>
    <t>YURIMAGUAS</t>
  </si>
  <si>
    <t>BALSAPUERTO</t>
  </si>
  <si>
    <t>JEBEROS</t>
  </si>
  <si>
    <t>TENIENTE CESAR LOPEZ ROJAS</t>
  </si>
  <si>
    <t>NAUTA</t>
  </si>
  <si>
    <t>PARINARI</t>
  </si>
  <si>
    <t>TIGRE</t>
  </si>
  <si>
    <t>TROMPETEROS</t>
  </si>
  <si>
    <t>URARINAS</t>
  </si>
  <si>
    <t>MARISCAL RAMON CASTILLA</t>
  </si>
  <si>
    <t>RAMON CASTILLA</t>
  </si>
  <si>
    <t>PEBAS</t>
  </si>
  <si>
    <t>YAVARI</t>
  </si>
  <si>
    <t>REQUENA</t>
  </si>
  <si>
    <t>ALTO TAPICHE</t>
  </si>
  <si>
    <t>CAPELO</t>
  </si>
  <si>
    <t>EMILIO SAN MARTIN</t>
  </si>
  <si>
    <t>MAQUIA</t>
  </si>
  <si>
    <t>PUINAHUA</t>
  </si>
  <si>
    <t>SAQUENA</t>
  </si>
  <si>
    <t>SOPLIN</t>
  </si>
  <si>
    <t>TAPICHE</t>
  </si>
  <si>
    <t>JENARO HERRERA</t>
  </si>
  <si>
    <t>YAQUERANA</t>
  </si>
  <si>
    <t>UCAYALI</t>
  </si>
  <si>
    <t>CONTAMANA</t>
  </si>
  <si>
    <t>INAHUAYA</t>
  </si>
  <si>
    <t>PADRE MARQUEZ</t>
  </si>
  <si>
    <t>SARAYACU</t>
  </si>
  <si>
    <t>VARGAS GUERRA</t>
  </si>
  <si>
    <t>DATEM DEL MARAÑON</t>
  </si>
  <si>
    <t>CAHUAPANAS</t>
  </si>
  <si>
    <t>MANSERICHE</t>
  </si>
  <si>
    <t>MORONA</t>
  </si>
  <si>
    <t>PASTAZA</t>
  </si>
  <si>
    <t>ANDOAS</t>
  </si>
  <si>
    <t>PUTUMAYO</t>
  </si>
  <si>
    <t>TENIENTE MANUEL CLAVERO</t>
  </si>
  <si>
    <t>MADRE DE DIOS</t>
  </si>
  <si>
    <t>TAMBOPATA</t>
  </si>
  <si>
    <t>INAMBARI</t>
  </si>
  <si>
    <t>LAS PIEDRAS</t>
  </si>
  <si>
    <t>LABERINTO</t>
  </si>
  <si>
    <t>MANU</t>
  </si>
  <si>
    <t>FITZCARRALD</t>
  </si>
  <si>
    <t>HUEPETUHE</t>
  </si>
  <si>
    <t>TAHUAMANU</t>
  </si>
  <si>
    <t>IÑAPARI</t>
  </si>
  <si>
    <t>IBERIA</t>
  </si>
  <si>
    <t>MOQUEGUA</t>
  </si>
  <si>
    <t>MARISCAL NIETO</t>
  </si>
  <si>
    <t>CARUMAS</t>
  </si>
  <si>
    <t>CUCHUMBAYA</t>
  </si>
  <si>
    <t>SAMEGUA</t>
  </si>
  <si>
    <t>TORATA</t>
  </si>
  <si>
    <t>GENERAL SANCHEZ CERRO</t>
  </si>
  <si>
    <t>OMATE</t>
  </si>
  <si>
    <t>CHOJATA</t>
  </si>
  <si>
    <t>COALAQUE</t>
  </si>
  <si>
    <t>ICHUÑA</t>
  </si>
  <si>
    <t>LA CAPILLA</t>
  </si>
  <si>
    <t>LLOQUE</t>
  </si>
  <si>
    <t>MATALAQUE</t>
  </si>
  <si>
    <t>PUQUINA</t>
  </si>
  <si>
    <t>QUINISTAQUILLAS</t>
  </si>
  <si>
    <t>UBINAS</t>
  </si>
  <si>
    <t>YUNGA</t>
  </si>
  <si>
    <t>ILO</t>
  </si>
  <si>
    <t>EL ALGARROBAL</t>
  </si>
  <si>
    <t>PACOCHA</t>
  </si>
  <si>
    <t>PASCO</t>
  </si>
  <si>
    <t>CHAUPIMARCA</t>
  </si>
  <si>
    <t>HUACHON</t>
  </si>
  <si>
    <t>HUARIACA</t>
  </si>
  <si>
    <t>HUAYLLAY</t>
  </si>
  <si>
    <t>NINACACA</t>
  </si>
  <si>
    <t>PALLANCHACRA</t>
  </si>
  <si>
    <t>SAN FRANCISCO DE ASIS DE YARUSYACAN</t>
  </si>
  <si>
    <t>SIMON BOLIVAR</t>
  </si>
  <si>
    <t>TICLACAYAN</t>
  </si>
  <si>
    <t>TINYAHUARCO</t>
  </si>
  <si>
    <t>VICCO</t>
  </si>
  <si>
    <t>DANIEL ALCIDES CARRION</t>
  </si>
  <si>
    <t>YANAHUANCA</t>
  </si>
  <si>
    <t>CHACAYAN</t>
  </si>
  <si>
    <t>GOYLLARISQUIZGA</t>
  </si>
  <si>
    <t>PAUCAR</t>
  </si>
  <si>
    <t>SAN PEDRO DE PILLAO</t>
  </si>
  <si>
    <t>SANTA ANA DE TUSI</t>
  </si>
  <si>
    <t>TAPUC</t>
  </si>
  <si>
    <t>OXAPAMPA</t>
  </si>
  <si>
    <t>CHONTABAMBA</t>
  </si>
  <si>
    <t>HUANCABAMBA</t>
  </si>
  <si>
    <t>PALCAZU</t>
  </si>
  <si>
    <t>POZUZO</t>
  </si>
  <si>
    <t>PUERTO BERMUDEZ</t>
  </si>
  <si>
    <t>VILLA RICA</t>
  </si>
  <si>
    <t>CONSTITUCIÓN</t>
  </si>
  <si>
    <t>PIURA</t>
  </si>
  <si>
    <t>CATACAOS</t>
  </si>
  <si>
    <t>CURA MORI</t>
  </si>
  <si>
    <t>EL TALLAN</t>
  </si>
  <si>
    <t>LA ARENA</t>
  </si>
  <si>
    <t>LAS LOMAS</t>
  </si>
  <si>
    <t>TAMBO GRANDE</t>
  </si>
  <si>
    <t>VENTISEIS DE OCTUBRE</t>
  </si>
  <si>
    <t>AYABACA</t>
  </si>
  <si>
    <t>FRIAS</t>
  </si>
  <si>
    <t>JILILI</t>
  </si>
  <si>
    <t>MONTERO</t>
  </si>
  <si>
    <t>PACAIPAMPA</t>
  </si>
  <si>
    <t>PAIMAS</t>
  </si>
  <si>
    <t>SAPILLICA</t>
  </si>
  <si>
    <t>SICCHEZ</t>
  </si>
  <si>
    <t>SUYO</t>
  </si>
  <si>
    <t>CANCHAQUE</t>
  </si>
  <si>
    <t>EL CARMEN DE LA FRONTERA</t>
  </si>
  <si>
    <t>HUARMACA</t>
  </si>
  <si>
    <t>LALAQUIZ</t>
  </si>
  <si>
    <t>SAN MIGUEL DE EL FAIQUE</t>
  </si>
  <si>
    <t>SONDOR</t>
  </si>
  <si>
    <t>SONDORILLO</t>
  </si>
  <si>
    <t>MORROPON</t>
  </si>
  <si>
    <t>CHULUCANAS</t>
  </si>
  <si>
    <t>BUENOS AIRES</t>
  </si>
  <si>
    <t>CHALACO</t>
  </si>
  <si>
    <t>LA MATANZA</t>
  </si>
  <si>
    <t>SALITRAL</t>
  </si>
  <si>
    <t>SAN JUAN DE BIGOTE</t>
  </si>
  <si>
    <t>SANTA CATALINA DE MOSSA</t>
  </si>
  <si>
    <t>SANTO DOMINGO</t>
  </si>
  <si>
    <t>YAMANGO</t>
  </si>
  <si>
    <t>PAITA</t>
  </si>
  <si>
    <t>AMOTAPE</t>
  </si>
  <si>
    <t>ARENAL</t>
  </si>
  <si>
    <t>COLAN</t>
  </si>
  <si>
    <t>LA HUACA</t>
  </si>
  <si>
    <t>TAMARINDO</t>
  </si>
  <si>
    <t>VICHAYAL</t>
  </si>
  <si>
    <t>SULLANA</t>
  </si>
  <si>
    <t>IGNACIO ESCUDERO</t>
  </si>
  <si>
    <t>LANCONES</t>
  </si>
  <si>
    <t>MARCAVELICA</t>
  </si>
  <si>
    <t>MIGUEL CHECA</t>
  </si>
  <si>
    <t>QUERECOTILLO</t>
  </si>
  <si>
    <t>TALARA</t>
  </si>
  <si>
    <t>PARIÑAS</t>
  </si>
  <si>
    <t>EL ALTO</t>
  </si>
  <si>
    <t>LA BREA</t>
  </si>
  <si>
    <t>LOBITOS</t>
  </si>
  <si>
    <t>LOS ORGANOS</t>
  </si>
  <si>
    <t>MANCORA</t>
  </si>
  <si>
    <t>SECHURA</t>
  </si>
  <si>
    <t>BELLAVISTA DE LA UNION</t>
  </si>
  <si>
    <t>BERNAL</t>
  </si>
  <si>
    <t>CRISTO NOS VALGA</t>
  </si>
  <si>
    <t>VICE</t>
  </si>
  <si>
    <t>RINCONADA LLICUAR</t>
  </si>
  <si>
    <t>PUNO</t>
  </si>
  <si>
    <t>ACORA</t>
  </si>
  <si>
    <t>AMANTANI</t>
  </si>
  <si>
    <t>ATUNCOLLA</t>
  </si>
  <si>
    <t>CAPACHICA</t>
  </si>
  <si>
    <t>CHUCUITO</t>
  </si>
  <si>
    <t>COATA</t>
  </si>
  <si>
    <t>MAÑAZO</t>
  </si>
  <si>
    <t>PAUCARCOLLA</t>
  </si>
  <si>
    <t>PICHACANI</t>
  </si>
  <si>
    <t>PLATERIA</t>
  </si>
  <si>
    <t>TIQUILLACA</t>
  </si>
  <si>
    <t>VILQUE</t>
  </si>
  <si>
    <t>ACHAYA</t>
  </si>
  <si>
    <t>ARAPA</t>
  </si>
  <si>
    <t>ASILLO</t>
  </si>
  <si>
    <t>CAMINACA</t>
  </si>
  <si>
    <t>CHUPA</t>
  </si>
  <si>
    <t>JOSE DOMINGO CHOQUEHUANCA</t>
  </si>
  <si>
    <t>MUÑANI</t>
  </si>
  <si>
    <t>POTONI</t>
  </si>
  <si>
    <t>SAMAN</t>
  </si>
  <si>
    <t>SAN ANTON</t>
  </si>
  <si>
    <t>SAN JUAN DE SALINAS</t>
  </si>
  <si>
    <t>SANTIAGO DE PUPUJA</t>
  </si>
  <si>
    <t>TIRAPATA</t>
  </si>
  <si>
    <t>CARABAYA</t>
  </si>
  <si>
    <t>MACUSANI</t>
  </si>
  <si>
    <t>AJOYANI</t>
  </si>
  <si>
    <t>AYAPATA</t>
  </si>
  <si>
    <t>COASA</t>
  </si>
  <si>
    <t>CORANI</t>
  </si>
  <si>
    <t>CRUCERO</t>
  </si>
  <si>
    <t>ITUATA</t>
  </si>
  <si>
    <t>OLLACHEA</t>
  </si>
  <si>
    <t>SAN GABAN</t>
  </si>
  <si>
    <t>USICAYOS</t>
  </si>
  <si>
    <t>JULI</t>
  </si>
  <si>
    <t>DESAGUADERO</t>
  </si>
  <si>
    <t>HUACULLANI</t>
  </si>
  <si>
    <t>KELLUYO</t>
  </si>
  <si>
    <t>PISACOMA</t>
  </si>
  <si>
    <t>POMATA</t>
  </si>
  <si>
    <t>ZEPITA</t>
  </si>
  <si>
    <t>EL COLLAO</t>
  </si>
  <si>
    <t>ILAVE</t>
  </si>
  <si>
    <t>CAPAZO</t>
  </si>
  <si>
    <t>PILCUYO</t>
  </si>
  <si>
    <t>CONDURIRI</t>
  </si>
  <si>
    <t>HUANCANE</t>
  </si>
  <si>
    <t>COJATA</t>
  </si>
  <si>
    <t>HUATASANI</t>
  </si>
  <si>
    <t>INCHUPALLA</t>
  </si>
  <si>
    <t>PUSI</t>
  </si>
  <si>
    <t>ROSASPATA</t>
  </si>
  <si>
    <t>TARACO</t>
  </si>
  <si>
    <t>VILQUE CHICO</t>
  </si>
  <si>
    <t>CABANILLA</t>
  </si>
  <si>
    <t>CALAPUJA</t>
  </si>
  <si>
    <t>NICASIO</t>
  </si>
  <si>
    <t>OCUVIRI</t>
  </si>
  <si>
    <t>PARATIA</t>
  </si>
  <si>
    <t>VILAVILA</t>
  </si>
  <si>
    <t>MELGAR</t>
  </si>
  <si>
    <t>ANTAUTA</t>
  </si>
  <si>
    <t>CUPI</t>
  </si>
  <si>
    <t>LLALLI</t>
  </si>
  <si>
    <t>MACARI</t>
  </si>
  <si>
    <t>NUÑOA</t>
  </si>
  <si>
    <t>ORURILLO</t>
  </si>
  <si>
    <t>UMACHIRI</t>
  </si>
  <si>
    <t>MOHO</t>
  </si>
  <si>
    <t>CONIMA</t>
  </si>
  <si>
    <t>HUAYRAPATA</t>
  </si>
  <si>
    <t>TILALI</t>
  </si>
  <si>
    <t>SAN ANTONIO DE PUTINA</t>
  </si>
  <si>
    <t>PUTINA</t>
  </si>
  <si>
    <t>ANANEA</t>
  </si>
  <si>
    <t>PEDRO VILCA APAZA</t>
  </si>
  <si>
    <t>QUILCAPUNCU</t>
  </si>
  <si>
    <t>SINA</t>
  </si>
  <si>
    <t>SAN ROMAN</t>
  </si>
  <si>
    <t>JULIACA</t>
  </si>
  <si>
    <t>CABANILLAS</t>
  </si>
  <si>
    <t>CARACOTO</t>
  </si>
  <si>
    <t>SANDIA</t>
  </si>
  <si>
    <t>CUYOCUYO</t>
  </si>
  <si>
    <t>LIMBANI</t>
  </si>
  <si>
    <t>PATAMBUCO</t>
  </si>
  <si>
    <t>PHARA</t>
  </si>
  <si>
    <t>QUIACA</t>
  </si>
  <si>
    <t>SAN JUAN DEL ORO</t>
  </si>
  <si>
    <t>YANAHUAYA</t>
  </si>
  <si>
    <t>ALTO INAMBARI</t>
  </si>
  <si>
    <t>SAN PEDRO DE PUTINA PUNCO</t>
  </si>
  <si>
    <t>YUNGUYO</t>
  </si>
  <si>
    <t>ANAPIA</t>
  </si>
  <si>
    <t>COPANI</t>
  </si>
  <si>
    <t>CUTURAPI</t>
  </si>
  <si>
    <t>OLLARAYA</t>
  </si>
  <si>
    <t>TINICACHI</t>
  </si>
  <si>
    <t>UNICACHI</t>
  </si>
  <si>
    <t>SAN MARTIN</t>
  </si>
  <si>
    <t>MOYOBAMBA</t>
  </si>
  <si>
    <t>CALZADA</t>
  </si>
  <si>
    <t>HABANA</t>
  </si>
  <si>
    <t>JEPELACIO</t>
  </si>
  <si>
    <t>SORITOR</t>
  </si>
  <si>
    <t>YANTALO</t>
  </si>
  <si>
    <t>ALTO BIAVO</t>
  </si>
  <si>
    <t>BAJO BIAVO</t>
  </si>
  <si>
    <t>HUALLAGA</t>
  </si>
  <si>
    <t>EL DORADO</t>
  </si>
  <si>
    <t>SAN JOSE DE SISA</t>
  </si>
  <si>
    <t>AGUA BLANCA</t>
  </si>
  <si>
    <t>SHATOJA</t>
  </si>
  <si>
    <t>SAPOSOA</t>
  </si>
  <si>
    <t>ALTO SAPOSOA</t>
  </si>
  <si>
    <t>EL ESLABON</t>
  </si>
  <si>
    <t>PISCOYACU</t>
  </si>
  <si>
    <t>SACANCHE</t>
  </si>
  <si>
    <t>TINGO DE SAPOSOA</t>
  </si>
  <si>
    <t>LAMAS</t>
  </si>
  <si>
    <t>ALONSO DE ALVARADO</t>
  </si>
  <si>
    <t>BARRANQUITA</t>
  </si>
  <si>
    <t>CAYNARACHI</t>
  </si>
  <si>
    <t>CUÑUMBUQUI</t>
  </si>
  <si>
    <t>PINTO RECODO</t>
  </si>
  <si>
    <t>RUMISAPA</t>
  </si>
  <si>
    <t>SAN ROQUE DE CUMBAZA</t>
  </si>
  <si>
    <t>SHANAO</t>
  </si>
  <si>
    <t>TABALOSOS</t>
  </si>
  <si>
    <t>ZAPATERO</t>
  </si>
  <si>
    <t>JUANJUI</t>
  </si>
  <si>
    <t>CAMPANILLA</t>
  </si>
  <si>
    <t>HUICUNGO</t>
  </si>
  <si>
    <t>PACHIZA</t>
  </si>
  <si>
    <t>PAJARILLO</t>
  </si>
  <si>
    <t>PICOTA</t>
  </si>
  <si>
    <t>CASPISAPA</t>
  </si>
  <si>
    <t>PILLUANA</t>
  </si>
  <si>
    <t>PUCACACA</t>
  </si>
  <si>
    <t>SAN HILARION</t>
  </si>
  <si>
    <t>SHAMBOYACU</t>
  </si>
  <si>
    <t>TINGO DE PONASA</t>
  </si>
  <si>
    <t>TRES UNIDOS</t>
  </si>
  <si>
    <t>RIOJA</t>
  </si>
  <si>
    <t>AWAJUN</t>
  </si>
  <si>
    <t>ELIAS SOPLIN VARGAS</t>
  </si>
  <si>
    <t>NUEVA CAJAMARCA</t>
  </si>
  <si>
    <t>PARDO MIGUEL</t>
  </si>
  <si>
    <t>POSIC</t>
  </si>
  <si>
    <t>SAN FERNANDO</t>
  </si>
  <si>
    <t>YORONGOS</t>
  </si>
  <si>
    <t>YURACYACU</t>
  </si>
  <si>
    <t>TARAPOTO</t>
  </si>
  <si>
    <t>ALBERTO LEVEAU</t>
  </si>
  <si>
    <t>CACATACHI</t>
  </si>
  <si>
    <t>CHAZUTA</t>
  </si>
  <si>
    <t>CHIPURANA</t>
  </si>
  <si>
    <t>HUIMBAYOC</t>
  </si>
  <si>
    <t>JUAN GUERRA</t>
  </si>
  <si>
    <t>LA BANDA DE SHILCAYO</t>
  </si>
  <si>
    <t>MORALES</t>
  </si>
  <si>
    <t>PAPAPLAYA</t>
  </si>
  <si>
    <t>SAUCE</t>
  </si>
  <si>
    <t>SHAPAJA</t>
  </si>
  <si>
    <t>TOCACHE</t>
  </si>
  <si>
    <t>NUEVO PROGRESO</t>
  </si>
  <si>
    <t>POLVORA</t>
  </si>
  <si>
    <t>SHUNTE</t>
  </si>
  <si>
    <t>UCHIZA</t>
  </si>
  <si>
    <t>TACNA</t>
  </si>
  <si>
    <t>ALTO DE LA ALIANZA</t>
  </si>
  <si>
    <t>CALANA</t>
  </si>
  <si>
    <t>CIUDAD NUEVA</t>
  </si>
  <si>
    <t>INCLAN</t>
  </si>
  <si>
    <t>PACHIA</t>
  </si>
  <si>
    <t>POCOLLAY</t>
  </si>
  <si>
    <t>SAMA</t>
  </si>
  <si>
    <t>CORONEL GREGORIO ALBARRACIN LANCHIPA</t>
  </si>
  <si>
    <t>CANDARAVE</t>
  </si>
  <si>
    <t>CAIRANI</t>
  </si>
  <si>
    <t>CAMILACA</t>
  </si>
  <si>
    <t>CURIBAYA</t>
  </si>
  <si>
    <t>HUANUARA</t>
  </si>
  <si>
    <t>QUILAHUANI</t>
  </si>
  <si>
    <t>JORGE BASADRE</t>
  </si>
  <si>
    <t>LOCUMBA</t>
  </si>
  <si>
    <t>ILABAYA</t>
  </si>
  <si>
    <t>ITE</t>
  </si>
  <si>
    <t>TARATA</t>
  </si>
  <si>
    <t>HEROES ALBARRACIN</t>
  </si>
  <si>
    <t>ESTIQUE</t>
  </si>
  <si>
    <t>ESTIQUE-PAMPA</t>
  </si>
  <si>
    <t>SITAJARA</t>
  </si>
  <si>
    <t>SUSAPAYA</t>
  </si>
  <si>
    <t>TARUCACHI</t>
  </si>
  <si>
    <t>TICACO</t>
  </si>
  <si>
    <t>TUMBES</t>
  </si>
  <si>
    <t>CORRALES</t>
  </si>
  <si>
    <t>LA CRUZ</t>
  </si>
  <si>
    <t>PAMPAS DE HOSPITAL</t>
  </si>
  <si>
    <t>SAN JACINTO</t>
  </si>
  <si>
    <t>SAN JUAN DE LA VIRGEN</t>
  </si>
  <si>
    <t>CONTRALMIRANTE VILLAR</t>
  </si>
  <si>
    <t>ZORRITOS</t>
  </si>
  <si>
    <t>CASITAS</t>
  </si>
  <si>
    <t>CANOAS DE PUNTA SAL</t>
  </si>
  <si>
    <t>ZARUMILLA</t>
  </si>
  <si>
    <t>AGUAS VERDES</t>
  </si>
  <si>
    <t>MATAPALO</t>
  </si>
  <si>
    <t>PAPAYAL</t>
  </si>
  <si>
    <t>CORONEL PORTILLO</t>
  </si>
  <si>
    <t>CALLERIA</t>
  </si>
  <si>
    <t>CAMPOVERDE</t>
  </si>
  <si>
    <t>IPARIA</t>
  </si>
  <si>
    <t>MASISEA</t>
  </si>
  <si>
    <t>YARINACOCHA</t>
  </si>
  <si>
    <t>NUEVA REQUENA</t>
  </si>
  <si>
    <t>MANANTAY</t>
  </si>
  <si>
    <t>ATALAYA</t>
  </si>
  <si>
    <t>RAYMONDI</t>
  </si>
  <si>
    <t>SEPAHUA</t>
  </si>
  <si>
    <t>TAHUANIA</t>
  </si>
  <si>
    <t>YURUA</t>
  </si>
  <si>
    <t>PADRE ABAD</t>
  </si>
  <si>
    <t>IRAZOLA</t>
  </si>
  <si>
    <t>CURIMANA</t>
  </si>
  <si>
    <t>PURUS</t>
  </si>
  <si>
    <t>Año</t>
  </si>
  <si>
    <t>Restaurantes</t>
  </si>
  <si>
    <t> AMAZONAS</t>
  </si>
  <si>
    <t> CHACHAPOYAS</t>
  </si>
  <si>
    <t> ASUNCION</t>
  </si>
  <si>
    <t> BALSAS</t>
  </si>
  <si>
    <t> CHETO</t>
  </si>
  <si>
    <t> CHILIQUIN</t>
  </si>
  <si>
    <t> CHUQUIBAMBA</t>
  </si>
  <si>
    <t> GRANADA</t>
  </si>
  <si>
    <t> HUANCAS</t>
  </si>
  <si>
    <t> LA JALCA</t>
  </si>
  <si>
    <t> LEIMEBAMBA</t>
  </si>
  <si>
    <t> LEVANTO</t>
  </si>
  <si>
    <t> MAGDALENA</t>
  </si>
  <si>
    <t> MARISCAL CASTILLA</t>
  </si>
  <si>
    <t> MOLINOPAMPA</t>
  </si>
  <si>
    <t> MONTEVIDEO</t>
  </si>
  <si>
    <t> OLLEROS</t>
  </si>
  <si>
    <t> QUINJALCA</t>
  </si>
  <si>
    <t> SAN FRANCISCO DE DAGUAS</t>
  </si>
  <si>
    <t> SAN ISIDRO DE MAINO</t>
  </si>
  <si>
    <t> SOLOCO</t>
  </si>
  <si>
    <t> SONCHE</t>
  </si>
  <si>
    <t> BAGUA</t>
  </si>
  <si>
    <t> ARAMANGO</t>
  </si>
  <si>
    <t> COPALLIN</t>
  </si>
  <si>
    <t> EL PARCO</t>
  </si>
  <si>
    <t> IMAZA</t>
  </si>
  <si>
    <t> LA PECA</t>
  </si>
  <si>
    <t> BONGARA</t>
  </si>
  <si>
    <t> JUMBILLA</t>
  </si>
  <si>
    <t> CHISQUILLA</t>
  </si>
  <si>
    <t> CHURUJA</t>
  </si>
  <si>
    <t> COROSHA</t>
  </si>
  <si>
    <t> CUISPES</t>
  </si>
  <si>
    <t> FLORIDA</t>
  </si>
  <si>
    <t> JAZAN</t>
  </si>
  <si>
    <t> RECTA</t>
  </si>
  <si>
    <t> SAN CARLOS</t>
  </si>
  <si>
    <t> SHIPASBAMBA</t>
  </si>
  <si>
    <t> VALERA</t>
  </si>
  <si>
    <t> YAMBRASBAMBA</t>
  </si>
  <si>
    <t> CONDORCANQUI</t>
  </si>
  <si>
    <t> NIEVA</t>
  </si>
  <si>
    <t> EL CENEPA</t>
  </si>
  <si>
    <t> RIO SANTIAGO</t>
  </si>
  <si>
    <t> LUYA</t>
  </si>
  <si>
    <t> LAMUD</t>
  </si>
  <si>
    <t> CAMPORREDONDO</t>
  </si>
  <si>
    <t> COCABAMBA</t>
  </si>
  <si>
    <t> COLCAMAR</t>
  </si>
  <si>
    <t> CONILA</t>
  </si>
  <si>
    <t> INGUILPATA</t>
  </si>
  <si>
    <t> LONGUITA</t>
  </si>
  <si>
    <t> LONYA CHICO</t>
  </si>
  <si>
    <t> LUYA VIEJO</t>
  </si>
  <si>
    <t> MARIA</t>
  </si>
  <si>
    <t> OCALLI</t>
  </si>
  <si>
    <t> OCUMAL</t>
  </si>
  <si>
    <t> PISUQUIA</t>
  </si>
  <si>
    <t> PROVIDENCIA</t>
  </si>
  <si>
    <t> SAN CRISTOBAL</t>
  </si>
  <si>
    <t> SAN FRANCISCO DEL YESO</t>
  </si>
  <si>
    <t> SAN JERONIMO</t>
  </si>
  <si>
    <t> SAN JUAN DE LOPECANCHA</t>
  </si>
  <si>
    <t> SANTA CATALINA</t>
  </si>
  <si>
    <t> SANTO TOMAS</t>
  </si>
  <si>
    <t> TINGO</t>
  </si>
  <si>
    <t> TRITA</t>
  </si>
  <si>
    <t> RODRIGUEZ DE MENDOZA</t>
  </si>
  <si>
    <t> SAN NICOLAS</t>
  </si>
  <si>
    <t> CHIRIMOTO</t>
  </si>
  <si>
    <t> COCHAMAL</t>
  </si>
  <si>
    <t> HUAMBO</t>
  </si>
  <si>
    <t> LIMABAMBA</t>
  </si>
  <si>
    <t> LONGAR</t>
  </si>
  <si>
    <t> MARISCAL BENAVIDES</t>
  </si>
  <si>
    <t> MILPUC</t>
  </si>
  <si>
    <t> OMIA</t>
  </si>
  <si>
    <t> SANTA ROSA</t>
  </si>
  <si>
    <t> TOTORA</t>
  </si>
  <si>
    <t> VISTA ALEGRE</t>
  </si>
  <si>
    <t> UTCUBAMBA</t>
  </si>
  <si>
    <t> BAGUA GRANDE</t>
  </si>
  <si>
    <t> CAJARURO</t>
  </si>
  <si>
    <t> CUMBA</t>
  </si>
  <si>
    <t> EL MILAGRO</t>
  </si>
  <si>
    <t> JAMALCA</t>
  </si>
  <si>
    <t> LONYA GRANDE</t>
  </si>
  <si>
    <t> YAMON</t>
  </si>
  <si>
    <t> ANCASH</t>
  </si>
  <si>
    <t> HUARAZ</t>
  </si>
  <si>
    <t> COCHABAMBA</t>
  </si>
  <si>
    <t> COLCABAMBA</t>
  </si>
  <si>
    <t> HUANCHAY</t>
  </si>
  <si>
    <t> INDEPENDENCIA</t>
  </si>
  <si>
    <t> JANGAS</t>
  </si>
  <si>
    <t> LA LIBERTAD</t>
  </si>
  <si>
    <t> PAMPAS</t>
  </si>
  <si>
    <t> PARIACOTO</t>
  </si>
  <si>
    <t> PIRA</t>
  </si>
  <si>
    <t> TARICA</t>
  </si>
  <si>
    <t> AIJA</t>
  </si>
  <si>
    <t> CORIS</t>
  </si>
  <si>
    <t> HUACLLAN</t>
  </si>
  <si>
    <t> LA MERCED</t>
  </si>
  <si>
    <t> SUCCHA</t>
  </si>
  <si>
    <t> ANTONIO RAYMONDI</t>
  </si>
  <si>
    <t> LLAMELLIN</t>
  </si>
  <si>
    <t> ACZO</t>
  </si>
  <si>
    <t> CHACCHO</t>
  </si>
  <si>
    <t> CHINGAS</t>
  </si>
  <si>
    <t> MIRGAS</t>
  </si>
  <si>
    <t> SAN JUAN DE RONTOY</t>
  </si>
  <si>
    <t> CHACAS</t>
  </si>
  <si>
    <t> ACOCHACA</t>
  </si>
  <si>
    <t> BOLOGNESI</t>
  </si>
  <si>
    <t> CHIQUIAN</t>
  </si>
  <si>
    <t> ABELARDO PARDO LEZAMETA</t>
  </si>
  <si>
    <t> AQUIA</t>
  </si>
  <si>
    <t> CAJACAY</t>
  </si>
  <si>
    <t> CANIS</t>
  </si>
  <si>
    <t> COLQUIOC</t>
  </si>
  <si>
    <t> HUALLANCA</t>
  </si>
  <si>
    <t> HUASTA</t>
  </si>
  <si>
    <t> HUAYLLACAYAN</t>
  </si>
  <si>
    <t> LA PRIMAVERA</t>
  </si>
  <si>
    <t> MANGAS</t>
  </si>
  <si>
    <t> PACLLON</t>
  </si>
  <si>
    <t> SAN MIGUEL DE CORPANQUI</t>
  </si>
  <si>
    <t> TICLLOS</t>
  </si>
  <si>
    <t> CARHUAZ</t>
  </si>
  <si>
    <t> ACOPAMPA</t>
  </si>
  <si>
    <t> AMASHCA</t>
  </si>
  <si>
    <t> ANTA</t>
  </si>
  <si>
    <t> ATAQUERO</t>
  </si>
  <si>
    <t> MARCARA</t>
  </si>
  <si>
    <t> PARIAHUANCA</t>
  </si>
  <si>
    <t> SAN MIGUEL DE ACO</t>
  </si>
  <si>
    <t> SHILLA</t>
  </si>
  <si>
    <t> TINCO</t>
  </si>
  <si>
    <t> YUNGAR</t>
  </si>
  <si>
    <t> CARLOS FERMIN FITZCARRALD</t>
  </si>
  <si>
    <t> SAN LUIS</t>
  </si>
  <si>
    <t> YAUYA</t>
  </si>
  <si>
    <t> CASMA</t>
  </si>
  <si>
    <t> BUENA VISTA ALTA</t>
  </si>
  <si>
    <t> COMANDANTE NOEL</t>
  </si>
  <si>
    <t> YAUTAN</t>
  </si>
  <si>
    <t> CORONGO</t>
  </si>
  <si>
    <t> ACO</t>
  </si>
  <si>
    <t> BAMBAS</t>
  </si>
  <si>
    <t> CUSCA</t>
  </si>
  <si>
    <t> LA PAMPA</t>
  </si>
  <si>
    <t> YANAC</t>
  </si>
  <si>
    <t> YUPAN</t>
  </si>
  <si>
    <t> HUARI</t>
  </si>
  <si>
    <t> ANRA</t>
  </si>
  <si>
    <t> CAJAY</t>
  </si>
  <si>
    <t> CHAVIN DE HUANTAR</t>
  </si>
  <si>
    <t> HUACACHI</t>
  </si>
  <si>
    <t> HUACCHIS</t>
  </si>
  <si>
    <t> HUACHIS</t>
  </si>
  <si>
    <t> HUANTAR</t>
  </si>
  <si>
    <t> MASIN</t>
  </si>
  <si>
    <t> PAUCAS</t>
  </si>
  <si>
    <t> PONTO</t>
  </si>
  <si>
    <t> RAHUAPAMPA</t>
  </si>
  <si>
    <t> RAPAYAN</t>
  </si>
  <si>
    <t> SAN MARCOS</t>
  </si>
  <si>
    <t> SAN PEDRO DE CHANA</t>
  </si>
  <si>
    <t> UCO</t>
  </si>
  <si>
    <t> HUARMEY</t>
  </si>
  <si>
    <t> COCHAPETI</t>
  </si>
  <si>
    <t> CULEBRAS</t>
  </si>
  <si>
    <t> HUAYAN</t>
  </si>
  <si>
    <t> MALVAS</t>
  </si>
  <si>
    <t> HUAYLAS</t>
  </si>
  <si>
    <t> CARAZ</t>
  </si>
  <si>
    <t> HUATA</t>
  </si>
  <si>
    <t> MATO</t>
  </si>
  <si>
    <t> PAMPAROMAS</t>
  </si>
  <si>
    <t> PUEBLO LIBRE</t>
  </si>
  <si>
    <t> SANTA CRUZ</t>
  </si>
  <si>
    <t> SANTO TORIBIO</t>
  </si>
  <si>
    <t> YURACMARCA</t>
  </si>
  <si>
    <t> MARISCAL LUZURIAGA</t>
  </si>
  <si>
    <t> PISCOBAMBA</t>
  </si>
  <si>
    <t> CASCA</t>
  </si>
  <si>
    <t> ELEAZAR GUZMAN BARRON</t>
  </si>
  <si>
    <t> FIDEL OLIVAS ESCUDERO</t>
  </si>
  <si>
    <t> LLAMA</t>
  </si>
  <si>
    <t> LLUMPA</t>
  </si>
  <si>
    <t> LUCMA</t>
  </si>
  <si>
    <t> MUSGA</t>
  </si>
  <si>
    <t> OCROS</t>
  </si>
  <si>
    <t> ACAS</t>
  </si>
  <si>
    <t> CAJAMARQUILLA</t>
  </si>
  <si>
    <t> CARHUAPAMPA</t>
  </si>
  <si>
    <t> COCHAS</t>
  </si>
  <si>
    <t> CONGAS</t>
  </si>
  <si>
    <t> LLIPA</t>
  </si>
  <si>
    <t> SAN CRISTOBAL DE RAJAN</t>
  </si>
  <si>
    <t> SAN PEDRO</t>
  </si>
  <si>
    <t> SANTIAGO DE CHILCAS</t>
  </si>
  <si>
    <t> PALLASCA</t>
  </si>
  <si>
    <t> CABANA</t>
  </si>
  <si>
    <t> CONCHUCOS</t>
  </si>
  <si>
    <t> HUACASCHUQUE</t>
  </si>
  <si>
    <t> HUANDOVAL</t>
  </si>
  <si>
    <t> LACABAMBA</t>
  </si>
  <si>
    <t> LLAPO</t>
  </si>
  <si>
    <t> TAUCA</t>
  </si>
  <si>
    <t> POMABAMBA</t>
  </si>
  <si>
    <t> HUAYLLAN</t>
  </si>
  <si>
    <t> PAROBAMBA</t>
  </si>
  <si>
    <t> QUINUABAMBA</t>
  </si>
  <si>
    <t> RECUAY</t>
  </si>
  <si>
    <t> CATAC</t>
  </si>
  <si>
    <t> COTAPARACO</t>
  </si>
  <si>
    <t> HUAYLLAPAMPA</t>
  </si>
  <si>
    <t> LLACLLIN</t>
  </si>
  <si>
    <t> MARCA</t>
  </si>
  <si>
    <t> PAMPAS CHICO</t>
  </si>
  <si>
    <t> PARARIN</t>
  </si>
  <si>
    <t> TAPACOCHA</t>
  </si>
  <si>
    <t> TICAPAMPA</t>
  </si>
  <si>
    <t> SANTA</t>
  </si>
  <si>
    <t> CHIMBOTE</t>
  </si>
  <si>
    <t> CACERES DEL PERU</t>
  </si>
  <si>
    <t> COISHCO</t>
  </si>
  <si>
    <t> MACATE</t>
  </si>
  <si>
    <t> MORO</t>
  </si>
  <si>
    <t> NEPEÑA</t>
  </si>
  <si>
    <t> SAMANCO</t>
  </si>
  <si>
    <t> NUEVO CHIMBOTE</t>
  </si>
  <si>
    <t> SIHUAS</t>
  </si>
  <si>
    <t> ACOBAMBA</t>
  </si>
  <si>
    <t> ALFONSO UGARTE</t>
  </si>
  <si>
    <t> CASHAPAMPA</t>
  </si>
  <si>
    <t> CHINGALPO</t>
  </si>
  <si>
    <t> HUAYLLABAMBA</t>
  </si>
  <si>
    <t> QUICHES</t>
  </si>
  <si>
    <t> RAGASH</t>
  </si>
  <si>
    <t> SAN JUAN</t>
  </si>
  <si>
    <t> SICSIBAMBA</t>
  </si>
  <si>
    <t> YUNGAY</t>
  </si>
  <si>
    <t> CASCAPARA</t>
  </si>
  <si>
    <t> MANCOS</t>
  </si>
  <si>
    <t> MATACOTO</t>
  </si>
  <si>
    <t> QUILLO</t>
  </si>
  <si>
    <t> RANRAHIRCA</t>
  </si>
  <si>
    <t> SHUPLUY</t>
  </si>
  <si>
    <t> YANAMA</t>
  </si>
  <si>
    <t> APURIMAC</t>
  </si>
  <si>
    <t> ABANCAY</t>
  </si>
  <si>
    <t> CHACOCHE</t>
  </si>
  <si>
    <t> CIRCA</t>
  </si>
  <si>
    <t> CURAHUASI</t>
  </si>
  <si>
    <t> HUANIPACA</t>
  </si>
  <si>
    <t> LAMBRAMA</t>
  </si>
  <si>
    <t> PICHIRHUA</t>
  </si>
  <si>
    <t> SAN PEDRO DE CACHORA</t>
  </si>
  <si>
    <t> TAMBURCO</t>
  </si>
  <si>
    <t> ANDAHUAYLAS</t>
  </si>
  <si>
    <t> ANDARAPA</t>
  </si>
  <si>
    <t> CHIARA</t>
  </si>
  <si>
    <t> HUANCARAMA</t>
  </si>
  <si>
    <t> HUANCARAY</t>
  </si>
  <si>
    <t> HUAYANA</t>
  </si>
  <si>
    <t> KISHUARA</t>
  </si>
  <si>
    <t> PACOBAMBA</t>
  </si>
  <si>
    <t> PACUCHA</t>
  </si>
  <si>
    <t> PAMPACHIRI</t>
  </si>
  <si>
    <t> POMACOCHA</t>
  </si>
  <si>
    <t> SAN ANTONIO DE CACHI</t>
  </si>
  <si>
    <t> SAN MIGUEL DE CHACCRAMPA</t>
  </si>
  <si>
    <t> SANTA MARIA DE CHICMO</t>
  </si>
  <si>
    <t> TALAVERA</t>
  </si>
  <si>
    <t> TUMAY HUARACA</t>
  </si>
  <si>
    <t> TURPO</t>
  </si>
  <si>
    <t> KAQUIABAMBA</t>
  </si>
  <si>
    <t> ANTABAMBA</t>
  </si>
  <si>
    <t> EL ORO</t>
  </si>
  <si>
    <t> HUAQUIRCA</t>
  </si>
  <si>
    <t> JUAN ESPINOZA MEDRANO</t>
  </si>
  <si>
    <t> OROPESA</t>
  </si>
  <si>
    <t> PACHACONAS</t>
  </si>
  <si>
    <t> SABAINO</t>
  </si>
  <si>
    <t> AYMARAES</t>
  </si>
  <si>
    <t> CHALHUANCA</t>
  </si>
  <si>
    <t> CAPAYA</t>
  </si>
  <si>
    <t> CARAYBAMBA</t>
  </si>
  <si>
    <t> CHAPIMARCA</t>
  </si>
  <si>
    <t> COTARUSE</t>
  </si>
  <si>
    <t> HUAYLLO</t>
  </si>
  <si>
    <t> JUSTO APU SAHUARAURA</t>
  </si>
  <si>
    <t> LUCRE</t>
  </si>
  <si>
    <t> POCOHUANCA</t>
  </si>
  <si>
    <t> SAN JUAN DE CHACÑA</t>
  </si>
  <si>
    <t> SAÑAYCA</t>
  </si>
  <si>
    <t> SORAYA</t>
  </si>
  <si>
    <t> TAPAIRIHUA</t>
  </si>
  <si>
    <t> TINTAY</t>
  </si>
  <si>
    <t> TORAYA</t>
  </si>
  <si>
    <t> YANACA</t>
  </si>
  <si>
    <t> COTABAMBAS</t>
  </si>
  <si>
    <t> TAMBOBAMBA</t>
  </si>
  <si>
    <t> COYLLURQUI</t>
  </si>
  <si>
    <t> HAQUIRA</t>
  </si>
  <si>
    <t> MARA</t>
  </si>
  <si>
    <t> CHALLHUAHUACHO</t>
  </si>
  <si>
    <t> CHINCHEROS</t>
  </si>
  <si>
    <t> ANCO-HUALLO</t>
  </si>
  <si>
    <t> COCHARCAS</t>
  </si>
  <si>
    <t> HUACCANA</t>
  </si>
  <si>
    <t> OCOBAMBA</t>
  </si>
  <si>
    <t> ONGOY</t>
  </si>
  <si>
    <t> URANMARCA</t>
  </si>
  <si>
    <t> RANRACANCHA</t>
  </si>
  <si>
    <t> GRAU</t>
  </si>
  <si>
    <t> CHUQUIBAMBILLA</t>
  </si>
  <si>
    <t> CURPAHUASI</t>
  </si>
  <si>
    <t> GAMARRA</t>
  </si>
  <si>
    <t> HUAYLLATI</t>
  </si>
  <si>
    <t> MAMARA</t>
  </si>
  <si>
    <t> MICAELA BASTIDAS</t>
  </si>
  <si>
    <t> PATAYPAMPA</t>
  </si>
  <si>
    <t> PROGRESO</t>
  </si>
  <si>
    <t> SAN ANTONIO</t>
  </si>
  <si>
    <t> TURPAY</t>
  </si>
  <si>
    <t> VILCABAMBA</t>
  </si>
  <si>
    <t> VIRUNDO</t>
  </si>
  <si>
    <t> CURASCO</t>
  </si>
  <si>
    <t> AREQUIPA</t>
  </si>
  <si>
    <t> ALTO SELVA ALEGRE</t>
  </si>
  <si>
    <t> CAYMA</t>
  </si>
  <si>
    <t> CERRO COLORADO</t>
  </si>
  <si>
    <t> CHARACATO</t>
  </si>
  <si>
    <t> CHIGUATA</t>
  </si>
  <si>
    <t> JACOBO HUNTER</t>
  </si>
  <si>
    <t> LA JOYA</t>
  </si>
  <si>
    <t> MARIANO MELGAR</t>
  </si>
  <si>
    <t> MIRAFLORES</t>
  </si>
  <si>
    <t> MOLLEBAYA</t>
  </si>
  <si>
    <t> PAUCARPATA</t>
  </si>
  <si>
    <t> POCSI</t>
  </si>
  <si>
    <t> POLOBAYA</t>
  </si>
  <si>
    <t> QUEQUEÑA</t>
  </si>
  <si>
    <t> SABANDIA</t>
  </si>
  <si>
    <t> SACHACA</t>
  </si>
  <si>
    <t> SAN JUAN DE SIGUAS</t>
  </si>
  <si>
    <t> SAN JUAN DE TARUCANI</t>
  </si>
  <si>
    <t> SANTA ISABEL DE SIGUAS</t>
  </si>
  <si>
    <t> SANTA RITA DE SIGUAS</t>
  </si>
  <si>
    <t> SOCABAYA</t>
  </si>
  <si>
    <t> TIABAYA</t>
  </si>
  <si>
    <t> UCHUMAYO</t>
  </si>
  <si>
    <t> VITOR</t>
  </si>
  <si>
    <t> YANAHUARA</t>
  </si>
  <si>
    <t> YARABAMBA</t>
  </si>
  <si>
    <t> YURA</t>
  </si>
  <si>
    <t> JOSE LUIS BUSTAMANTE Y RIVERO</t>
  </si>
  <si>
    <t> CAMANA</t>
  </si>
  <si>
    <t> JOSE MARIA QUIMPER</t>
  </si>
  <si>
    <t> MARIANO NICOLAS VALCARCEL</t>
  </si>
  <si>
    <t> MARISCAL CACERES</t>
  </si>
  <si>
    <t> NICOLAS DE PIEROLA</t>
  </si>
  <si>
    <t> OCOÑA</t>
  </si>
  <si>
    <t> QUILCA</t>
  </si>
  <si>
    <t> SAMUEL PASTOR</t>
  </si>
  <si>
    <t> CARAVELI</t>
  </si>
  <si>
    <t> ACARI</t>
  </si>
  <si>
    <t> ATICO</t>
  </si>
  <si>
    <t> ATIQUIPA</t>
  </si>
  <si>
    <t> BELLA UNION</t>
  </si>
  <si>
    <t> CAHUACHO</t>
  </si>
  <si>
    <t> CHALA</t>
  </si>
  <si>
    <t> CHAPARRA</t>
  </si>
  <si>
    <t> HUANUHUANU</t>
  </si>
  <si>
    <t> JAQUI</t>
  </si>
  <si>
    <t> LOMAS</t>
  </si>
  <si>
    <t> QUICACHA</t>
  </si>
  <si>
    <t> YAUCA</t>
  </si>
  <si>
    <t> CASTILLA</t>
  </si>
  <si>
    <t> APLAO</t>
  </si>
  <si>
    <t> ANDAGUA</t>
  </si>
  <si>
    <t> AYO</t>
  </si>
  <si>
    <t> CHACHAS</t>
  </si>
  <si>
    <t> CHILCAYMARCA</t>
  </si>
  <si>
    <t> CHOCO</t>
  </si>
  <si>
    <t> HUANCARQUI</t>
  </si>
  <si>
    <t> MACHAGUAY</t>
  </si>
  <si>
    <t> ORCOPAMPA</t>
  </si>
  <si>
    <t> PAMPACOLCA</t>
  </si>
  <si>
    <t> TIPAN</t>
  </si>
  <si>
    <t> UÑON</t>
  </si>
  <si>
    <t> URACA</t>
  </si>
  <si>
    <t> VIRACO</t>
  </si>
  <si>
    <t> CAYLLOMA</t>
  </si>
  <si>
    <t> CHIVAY</t>
  </si>
  <si>
    <t> ACHOMA</t>
  </si>
  <si>
    <t> CABANACONDE</t>
  </si>
  <si>
    <t> CALLALLI</t>
  </si>
  <si>
    <t> COPORAQUE</t>
  </si>
  <si>
    <t> HUANCA</t>
  </si>
  <si>
    <t> ICHUPAMPA</t>
  </si>
  <si>
    <t> LARI</t>
  </si>
  <si>
    <t> LLUTA</t>
  </si>
  <si>
    <t> MACA</t>
  </si>
  <si>
    <t> MADRIGAL</t>
  </si>
  <si>
    <t> SAN ANTONIO DE CHUCA</t>
  </si>
  <si>
    <t> SIBAYO</t>
  </si>
  <si>
    <t> TAPAY</t>
  </si>
  <si>
    <t> TISCO</t>
  </si>
  <si>
    <t> TUTI</t>
  </si>
  <si>
    <t> YANQUE</t>
  </si>
  <si>
    <t> MAJES</t>
  </si>
  <si>
    <t> CONDESUYOS</t>
  </si>
  <si>
    <t> ANDARAY</t>
  </si>
  <si>
    <t> CAYARANI</t>
  </si>
  <si>
    <t> CHICHAS</t>
  </si>
  <si>
    <t> IRAY</t>
  </si>
  <si>
    <t> RIO GRANDE</t>
  </si>
  <si>
    <t> SALAMANCA</t>
  </si>
  <si>
    <t> YANAQUIHUA</t>
  </si>
  <si>
    <t> ISLAY</t>
  </si>
  <si>
    <t> MOLLENDO</t>
  </si>
  <si>
    <t> COCACHACRA</t>
  </si>
  <si>
    <t> DEAN VALDIVIA</t>
  </si>
  <si>
    <t> MEJIA</t>
  </si>
  <si>
    <t> PUNTA DE BOMBON</t>
  </si>
  <si>
    <t> LA UNION</t>
  </si>
  <si>
    <t> COTAHUASI</t>
  </si>
  <si>
    <t> ALCA</t>
  </si>
  <si>
    <t> CHARCANA</t>
  </si>
  <si>
    <t> HUAYNACOTAS</t>
  </si>
  <si>
    <t> PAMPAMARCA</t>
  </si>
  <si>
    <t> PUYCA</t>
  </si>
  <si>
    <t> QUECHUALLA</t>
  </si>
  <si>
    <t> SAYLA</t>
  </si>
  <si>
    <t> TAURIA</t>
  </si>
  <si>
    <t> TOMEPAMPA</t>
  </si>
  <si>
    <t> TORO</t>
  </si>
  <si>
    <t> AYACUCHO</t>
  </si>
  <si>
    <t> HUAMANGA</t>
  </si>
  <si>
    <t> ACOCRO</t>
  </si>
  <si>
    <t> ACOS VINCHOS</t>
  </si>
  <si>
    <t> CARMEN ALTO</t>
  </si>
  <si>
    <t> PACAYCASA</t>
  </si>
  <si>
    <t> QUINUA</t>
  </si>
  <si>
    <t> SAN JOSE DE TICLLAS</t>
  </si>
  <si>
    <t> SAN JUAN BAUTISTA</t>
  </si>
  <si>
    <t> SANTIAGO DE PISCHA</t>
  </si>
  <si>
    <t> SOCOS</t>
  </si>
  <si>
    <t> TAMBILLO</t>
  </si>
  <si>
    <t> VINCHOS</t>
  </si>
  <si>
    <t> JESUS NAZARENO</t>
  </si>
  <si>
    <t> CANGALLO</t>
  </si>
  <si>
    <t> CHUSCHI</t>
  </si>
  <si>
    <t> LOS MOROCHUCOS</t>
  </si>
  <si>
    <t> MARIA PARADO DE BELLIDO</t>
  </si>
  <si>
    <t> PARAS</t>
  </si>
  <si>
    <t> TOTOS</t>
  </si>
  <si>
    <t> HUANCA SANCOS</t>
  </si>
  <si>
    <t> SANCOS</t>
  </si>
  <si>
    <t> CARAPO</t>
  </si>
  <si>
    <t> SACSAMARCA</t>
  </si>
  <si>
    <t> SANTIAGO DE LUCANAMARCA</t>
  </si>
  <si>
    <t> HUANTA</t>
  </si>
  <si>
    <t> AYAHUANCO</t>
  </si>
  <si>
    <t> HUAMANGUILLA</t>
  </si>
  <si>
    <t> IGUAIN</t>
  </si>
  <si>
    <t> LURICOCHA</t>
  </si>
  <si>
    <t> SANTILLANA</t>
  </si>
  <si>
    <t> SIVIA</t>
  </si>
  <si>
    <t> LLOCHEGUA</t>
  </si>
  <si>
    <t> LA MAR</t>
  </si>
  <si>
    <t> SAN MIGUEL</t>
  </si>
  <si>
    <t> ANCO</t>
  </si>
  <si>
    <t> AYNA</t>
  </si>
  <si>
    <t> CHILCAS</t>
  </si>
  <si>
    <t> CHUNGUI</t>
  </si>
  <si>
    <t> LUIS CARRANZA</t>
  </si>
  <si>
    <t> TAMBO</t>
  </si>
  <si>
    <t> SAMUGARI</t>
  </si>
  <si>
    <t> LUCANAS</t>
  </si>
  <si>
    <t> PUQUIO</t>
  </si>
  <si>
    <t> AUCARA</t>
  </si>
  <si>
    <t> CARMEN SALCEDO</t>
  </si>
  <si>
    <t> CHAVIÑA</t>
  </si>
  <si>
    <t> CHIPAO</t>
  </si>
  <si>
    <t> HUAC-HUAS</t>
  </si>
  <si>
    <t> LARAMATE</t>
  </si>
  <si>
    <t> LEONCIO PRADO</t>
  </si>
  <si>
    <t> LLAUTA</t>
  </si>
  <si>
    <t> OCAÑA</t>
  </si>
  <si>
    <t> OTOCA</t>
  </si>
  <si>
    <t> SAISA</t>
  </si>
  <si>
    <t> SAN PEDRO DE PALCO</t>
  </si>
  <si>
    <t> SANTA ANA DE HUAYCAHUACHO</t>
  </si>
  <si>
    <t> SANTA LUCIA</t>
  </si>
  <si>
    <t> PARINACOCHAS</t>
  </si>
  <si>
    <t> CORACORA</t>
  </si>
  <si>
    <t> CHUMPI</t>
  </si>
  <si>
    <t> CORONEL CASTAÑEDA</t>
  </si>
  <si>
    <t> PACAPAUSA</t>
  </si>
  <si>
    <t> PULLO</t>
  </si>
  <si>
    <t> PUYUSCA</t>
  </si>
  <si>
    <t> SAN FRANCISCO DE RAVACAYCO</t>
  </si>
  <si>
    <t> UPAHUACHO</t>
  </si>
  <si>
    <t> PAUCAR DEL SARA SARA</t>
  </si>
  <si>
    <t> PAUSA</t>
  </si>
  <si>
    <t> COLTA</t>
  </si>
  <si>
    <t> CORCULLA</t>
  </si>
  <si>
    <t> LAMPA</t>
  </si>
  <si>
    <t> MARCABAMBA</t>
  </si>
  <si>
    <t> OYOLO</t>
  </si>
  <si>
    <t> PARARCA</t>
  </si>
  <si>
    <t> SAN JAVIER DE ALPABAMBA</t>
  </si>
  <si>
    <t> SAN JOSE DE USHUA</t>
  </si>
  <si>
    <t> SARA SARA</t>
  </si>
  <si>
    <t> SUCRE</t>
  </si>
  <si>
    <t> QUEROBAMBA</t>
  </si>
  <si>
    <t> BELEN</t>
  </si>
  <si>
    <t> CHALCOS</t>
  </si>
  <si>
    <t> CHILCAYOC</t>
  </si>
  <si>
    <t> HUACAÑA</t>
  </si>
  <si>
    <t> MORCOLLA</t>
  </si>
  <si>
    <t> PAICO</t>
  </si>
  <si>
    <t> SAN PEDRO DE LARCAY</t>
  </si>
  <si>
    <t> SAN SALVADOR DE QUIJE</t>
  </si>
  <si>
    <t> SANTIAGO DE PAUCARAY</t>
  </si>
  <si>
    <t> SORAS</t>
  </si>
  <si>
    <t> VICTOR FAJARDO</t>
  </si>
  <si>
    <t> HUANCAPI</t>
  </si>
  <si>
    <t> ALCAMENCA</t>
  </si>
  <si>
    <t> APONGO</t>
  </si>
  <si>
    <t> ASQUIPATA</t>
  </si>
  <si>
    <t> CANARIA</t>
  </si>
  <si>
    <t> CAYARA</t>
  </si>
  <si>
    <t> COLCA</t>
  </si>
  <si>
    <t> HUAMANQUIQUIA</t>
  </si>
  <si>
    <t> HUANCARAYLLA</t>
  </si>
  <si>
    <t> HUAYA</t>
  </si>
  <si>
    <t> SARHUA</t>
  </si>
  <si>
    <t> VILCANCHOS</t>
  </si>
  <si>
    <t> VILCAS HUAMAN</t>
  </si>
  <si>
    <t> ACCOMARCA</t>
  </si>
  <si>
    <t> CARHUANCA</t>
  </si>
  <si>
    <t> CONCEPCION</t>
  </si>
  <si>
    <t> HUAMBALPA</t>
  </si>
  <si>
    <t> SAURAMA</t>
  </si>
  <si>
    <t> VISCHONGO</t>
  </si>
  <si>
    <t> CAJAMARCA</t>
  </si>
  <si>
    <t> CHETILLA</t>
  </si>
  <si>
    <t> COSPAN</t>
  </si>
  <si>
    <t> ENCAÑADA</t>
  </si>
  <si>
    <t> JESUS</t>
  </si>
  <si>
    <t> LLACANORA</t>
  </si>
  <si>
    <t> LOS BAÑOS DEL INCA</t>
  </si>
  <si>
    <t> MATARA</t>
  </si>
  <si>
    <t> NAMORA</t>
  </si>
  <si>
    <t> CAJABAMBA</t>
  </si>
  <si>
    <t> CACHACHI</t>
  </si>
  <si>
    <t> CONDEBAMBA</t>
  </si>
  <si>
    <t> SITACOCHA</t>
  </si>
  <si>
    <t> CELENDIN</t>
  </si>
  <si>
    <t> CHUMUCH</t>
  </si>
  <si>
    <t> CORTEGANA</t>
  </si>
  <si>
    <t> HUASMIN</t>
  </si>
  <si>
    <t> JORGE CHAVEZ</t>
  </si>
  <si>
    <t> JOSE GALVEZ</t>
  </si>
  <si>
    <t> MIGUEL IGLESIAS</t>
  </si>
  <si>
    <t> OXAMARCA</t>
  </si>
  <si>
    <t> SOROCHUCO</t>
  </si>
  <si>
    <t> UTCO</t>
  </si>
  <si>
    <t> LA LIBERTAD DE PALLAN</t>
  </si>
  <si>
    <t> CHOTA</t>
  </si>
  <si>
    <t> ANGUIA</t>
  </si>
  <si>
    <t> CHADIN</t>
  </si>
  <si>
    <t> CHIGUIRIP</t>
  </si>
  <si>
    <t> CHIMBAN</t>
  </si>
  <si>
    <t> CHOROPAMPA</t>
  </si>
  <si>
    <t> CONCHAN</t>
  </si>
  <si>
    <t> HUAMBOS</t>
  </si>
  <si>
    <t> LAJAS</t>
  </si>
  <si>
    <t> MIRACOSTA</t>
  </si>
  <si>
    <t> PACCHA</t>
  </si>
  <si>
    <t> PION</t>
  </si>
  <si>
    <t> QUEROCOTO</t>
  </si>
  <si>
    <t> SAN JUAN DE LICUPIS</t>
  </si>
  <si>
    <t> TACABAMBA</t>
  </si>
  <si>
    <t> TOCMOCHE</t>
  </si>
  <si>
    <t> CHALAMARCA</t>
  </si>
  <si>
    <t> CONTUMAZA</t>
  </si>
  <si>
    <t> CHILETE</t>
  </si>
  <si>
    <t> CUPISNIQUE</t>
  </si>
  <si>
    <t> GUZMANGO</t>
  </si>
  <si>
    <t> SAN BENITO</t>
  </si>
  <si>
    <t> SANTA CRUZ DE TOLED</t>
  </si>
  <si>
    <t> TANTARICA</t>
  </si>
  <si>
    <t> YONAN</t>
  </si>
  <si>
    <t> CUTERVO</t>
  </si>
  <si>
    <t> CALLAYUC</t>
  </si>
  <si>
    <t> CHOROS</t>
  </si>
  <si>
    <t> CUJILLO</t>
  </si>
  <si>
    <t> LA RAMADA</t>
  </si>
  <si>
    <t> PIMPINGOS</t>
  </si>
  <si>
    <t> QUEROCOTILLO</t>
  </si>
  <si>
    <t> SAN ANDRES DE CUTERVO</t>
  </si>
  <si>
    <t> SAN JUAN DE CUTERVO</t>
  </si>
  <si>
    <t> SAN LUIS DE LUCMA</t>
  </si>
  <si>
    <t> SANTO DOMINGO DE LA CAPILLA</t>
  </si>
  <si>
    <t> SOCOTA</t>
  </si>
  <si>
    <t> TORIBIO CASANOVA</t>
  </si>
  <si>
    <t> HUALGAYOC</t>
  </si>
  <si>
    <t> BAMBAMARCA</t>
  </si>
  <si>
    <t> CHUGUR</t>
  </si>
  <si>
    <t> JAEN</t>
  </si>
  <si>
    <t> BELLAVISTA</t>
  </si>
  <si>
    <t> CHONTALI</t>
  </si>
  <si>
    <t> COLASAY</t>
  </si>
  <si>
    <t> HUABAL</t>
  </si>
  <si>
    <t> LAS PIRIAS</t>
  </si>
  <si>
    <t> POMAHUACA</t>
  </si>
  <si>
    <t> PUCARA</t>
  </si>
  <si>
    <t> SALLIQUE</t>
  </si>
  <si>
    <t> SAN FELIPE</t>
  </si>
  <si>
    <t> SAN JOSE DEL ALTO</t>
  </si>
  <si>
    <t> SAN IGNACIO</t>
  </si>
  <si>
    <t> CHIRINOS</t>
  </si>
  <si>
    <t> HUARANGO</t>
  </si>
  <si>
    <t> LA COIPA</t>
  </si>
  <si>
    <t> NAMBALLE</t>
  </si>
  <si>
    <t> SAN JOSE DE LOURDES</t>
  </si>
  <si>
    <t> TABACONAS</t>
  </si>
  <si>
    <t> PEDRO GALVEZ</t>
  </si>
  <si>
    <t> CHANCAY</t>
  </si>
  <si>
    <t> EDUARDO VILLANUEVA</t>
  </si>
  <si>
    <t> GREGORIO PITA</t>
  </si>
  <si>
    <t> ICHOCAN</t>
  </si>
  <si>
    <t> JOSE MANUEL QUIROZ</t>
  </si>
  <si>
    <t> JOSE SABOGAL</t>
  </si>
  <si>
    <t> BOLIVAR</t>
  </si>
  <si>
    <t> CALQUIS</t>
  </si>
  <si>
    <t> CATILLUC</t>
  </si>
  <si>
    <t> EL PRADO</t>
  </si>
  <si>
    <t> LA FLORIDA</t>
  </si>
  <si>
    <t> LLAPA</t>
  </si>
  <si>
    <t> NANCHOC</t>
  </si>
  <si>
    <t> NIEPOS</t>
  </si>
  <si>
    <t> SAN GREGORIO</t>
  </si>
  <si>
    <t> SAN SILVESTRE DE COCHAN</t>
  </si>
  <si>
    <t> TONGOD</t>
  </si>
  <si>
    <t> UNION AGUA BLANCA</t>
  </si>
  <si>
    <t> SAN PABLO</t>
  </si>
  <si>
    <t> SAN BERNARDINO</t>
  </si>
  <si>
    <t> TUMBADEN</t>
  </si>
  <si>
    <t> ANDABAMBA</t>
  </si>
  <si>
    <t> CATACHE</t>
  </si>
  <si>
    <t> CHANCAYBAÑOS</t>
  </si>
  <si>
    <t> LA ESPERANZA</t>
  </si>
  <si>
    <t> NINABAMBA</t>
  </si>
  <si>
    <t> PULAN</t>
  </si>
  <si>
    <t> SAUCEPAMPA</t>
  </si>
  <si>
    <t> SEXI</t>
  </si>
  <si>
    <t> UTICYACU</t>
  </si>
  <si>
    <t> YAUYUCAN</t>
  </si>
  <si>
    <t> CALLAO</t>
  </si>
  <si>
    <t> CARMEN DE LA LEGUA REYNOSO</t>
  </si>
  <si>
    <t> LA PERLA</t>
  </si>
  <si>
    <t> LA PUNTA</t>
  </si>
  <si>
    <t> VENTANILLA</t>
  </si>
  <si>
    <t> CUSCO</t>
  </si>
  <si>
    <t> CCORCA</t>
  </si>
  <si>
    <t> POROY</t>
  </si>
  <si>
    <t> SAN SEBASTIAN</t>
  </si>
  <si>
    <t> SANTIAGO</t>
  </si>
  <si>
    <t> SAYLLA</t>
  </si>
  <si>
    <t> WANCHAQ</t>
  </si>
  <si>
    <t> ACOMAYO</t>
  </si>
  <si>
    <t> ACOPIA</t>
  </si>
  <si>
    <t> ACOS</t>
  </si>
  <si>
    <t> MOSOC LLACTA</t>
  </si>
  <si>
    <t> POMACANCHI</t>
  </si>
  <si>
    <t> RONDOCAN</t>
  </si>
  <si>
    <t> SANGARARA</t>
  </si>
  <si>
    <t> ANCAHUASI</t>
  </si>
  <si>
    <t> CACHIMAYO</t>
  </si>
  <si>
    <t> CHINCHAYPUJIO</t>
  </si>
  <si>
    <t> HUAROCONDO</t>
  </si>
  <si>
    <t> LIMATAMBO</t>
  </si>
  <si>
    <t> MOLLEPATA</t>
  </si>
  <si>
    <t> PUCYURA</t>
  </si>
  <si>
    <t> ZURITE</t>
  </si>
  <si>
    <t> CALCA</t>
  </si>
  <si>
    <t> COYA</t>
  </si>
  <si>
    <t> LAMAY</t>
  </si>
  <si>
    <t> LARES</t>
  </si>
  <si>
    <t> PISAC</t>
  </si>
  <si>
    <t> SAN SALVADOR</t>
  </si>
  <si>
    <t> TARAY</t>
  </si>
  <si>
    <t> YANATILE</t>
  </si>
  <si>
    <t> CANAS</t>
  </si>
  <si>
    <t> YANAOCA</t>
  </si>
  <si>
    <t> CHECCA</t>
  </si>
  <si>
    <t> KUNTURKANKI</t>
  </si>
  <si>
    <t> LANGUI</t>
  </si>
  <si>
    <t> LAYO</t>
  </si>
  <si>
    <t> QUEHUE</t>
  </si>
  <si>
    <t> TUPAC AMARU</t>
  </si>
  <si>
    <t> CANCHIS</t>
  </si>
  <si>
    <t> SICUANI</t>
  </si>
  <si>
    <t> CHECACUPE</t>
  </si>
  <si>
    <t> COMBAPATA</t>
  </si>
  <si>
    <t> MARANGANI</t>
  </si>
  <si>
    <t> PITUMARCA</t>
  </si>
  <si>
    <t> TINTA</t>
  </si>
  <si>
    <t> CHUMBIVILCAS</t>
  </si>
  <si>
    <t> CAPACMARCA</t>
  </si>
  <si>
    <t> CHAMACA</t>
  </si>
  <si>
    <t> COLQUEMARCA</t>
  </si>
  <si>
    <t> LIVITACA</t>
  </si>
  <si>
    <t> LLUSCO</t>
  </si>
  <si>
    <t> QUIÑOTA</t>
  </si>
  <si>
    <t> VELILLE</t>
  </si>
  <si>
    <t> ESPINAR</t>
  </si>
  <si>
    <t> CONDOROMA</t>
  </si>
  <si>
    <t> OCORURO</t>
  </si>
  <si>
    <t> PALLPATA</t>
  </si>
  <si>
    <t> PICHIGUA</t>
  </si>
  <si>
    <t> SUYCKUTAMBO</t>
  </si>
  <si>
    <t> ALTO PICHIGUA</t>
  </si>
  <si>
    <t> LA CONVENCION</t>
  </si>
  <si>
    <t> SANTA ANA</t>
  </si>
  <si>
    <t> ECHARATE</t>
  </si>
  <si>
    <t> HUAYOPATA</t>
  </si>
  <si>
    <t> MARANURA</t>
  </si>
  <si>
    <t> QUELLOUNO</t>
  </si>
  <si>
    <t> KIMBIRI</t>
  </si>
  <si>
    <t> SANTA TERESA</t>
  </si>
  <si>
    <t> PICHARI</t>
  </si>
  <si>
    <t> PARURO</t>
  </si>
  <si>
    <t> ACCHA</t>
  </si>
  <si>
    <t> CCAPI</t>
  </si>
  <si>
    <t> COLCHA</t>
  </si>
  <si>
    <t> HUANOQUITE</t>
  </si>
  <si>
    <t> OMACHA</t>
  </si>
  <si>
    <t> PACCARITAMBO</t>
  </si>
  <si>
    <t> PILLPINTO</t>
  </si>
  <si>
    <t> YAURISQUE</t>
  </si>
  <si>
    <t> PAUCARTAMBO</t>
  </si>
  <si>
    <t> CAICAY</t>
  </si>
  <si>
    <t> CHALLABAMBA</t>
  </si>
  <si>
    <t> COLQUEPATA</t>
  </si>
  <si>
    <t> HUANCARANI</t>
  </si>
  <si>
    <t> KOSÑIPATA</t>
  </si>
  <si>
    <t> QUISPICANCHI</t>
  </si>
  <si>
    <t> URCOS</t>
  </si>
  <si>
    <t> ANDAHUAYLILLAS</t>
  </si>
  <si>
    <t> CAMANTI</t>
  </si>
  <si>
    <t> CCARHUAYO</t>
  </si>
  <si>
    <t> CCATCA</t>
  </si>
  <si>
    <t> CUSIPATA</t>
  </si>
  <si>
    <t> HUARO</t>
  </si>
  <si>
    <t> MARCAPATA</t>
  </si>
  <si>
    <t> OCONGATE</t>
  </si>
  <si>
    <t> QUIQUIJANA</t>
  </si>
  <si>
    <t> URUBAMBA</t>
  </si>
  <si>
    <t> CHINCHERO</t>
  </si>
  <si>
    <t> MACHUPICCHU</t>
  </si>
  <si>
    <t> MARAS</t>
  </si>
  <si>
    <t> OLLANTAYTAMBO</t>
  </si>
  <si>
    <t> YUCAY</t>
  </si>
  <si>
    <t> HUANCAVELICA</t>
  </si>
  <si>
    <t> ACOBAMBILLA</t>
  </si>
  <si>
    <t> ACORIA</t>
  </si>
  <si>
    <t> CONAYCA</t>
  </si>
  <si>
    <t> CUENCA</t>
  </si>
  <si>
    <t> HUACHOCOLPA</t>
  </si>
  <si>
    <t> HUAYLLAHUARA</t>
  </si>
  <si>
    <t> IZCUCHACA</t>
  </si>
  <si>
    <t> LARIA</t>
  </si>
  <si>
    <t> MANTA</t>
  </si>
  <si>
    <t> MOYA</t>
  </si>
  <si>
    <t> NUEVO OCCORO</t>
  </si>
  <si>
    <t> PALCA</t>
  </si>
  <si>
    <t> PILCHACA</t>
  </si>
  <si>
    <t> VILCA</t>
  </si>
  <si>
    <t> YAULI</t>
  </si>
  <si>
    <t> ASCENSION</t>
  </si>
  <si>
    <t> HUANDO</t>
  </si>
  <si>
    <t> CAJA</t>
  </si>
  <si>
    <t> MARCAS</t>
  </si>
  <si>
    <t> PAUCARA</t>
  </si>
  <si>
    <t> ROSARIO</t>
  </si>
  <si>
    <t> ANGARAES</t>
  </si>
  <si>
    <t> LIRCAY</t>
  </si>
  <si>
    <t> ANCHONGA</t>
  </si>
  <si>
    <t> CALLANMARCA</t>
  </si>
  <si>
    <t> CCOCHACCASA</t>
  </si>
  <si>
    <t> CHINCHO</t>
  </si>
  <si>
    <t> CONGALLA</t>
  </si>
  <si>
    <t> HUANCA-HUANCA</t>
  </si>
  <si>
    <t> HUAYLLAY GRANDE</t>
  </si>
  <si>
    <t> JULCAMARCA</t>
  </si>
  <si>
    <t> SAN ANTONIO DE ANTAPARCO</t>
  </si>
  <si>
    <t> SANTO TOMAS DE PATA</t>
  </si>
  <si>
    <t> SECCLLA</t>
  </si>
  <si>
    <t> CASTROVIRREYNA</t>
  </si>
  <si>
    <t> ARMA</t>
  </si>
  <si>
    <t> AURAHUA</t>
  </si>
  <si>
    <t> CAPILLAS</t>
  </si>
  <si>
    <t> CHUPAMARCA</t>
  </si>
  <si>
    <t> COCAS</t>
  </si>
  <si>
    <t> HUACHOS</t>
  </si>
  <si>
    <t> HUAMATAMBO</t>
  </si>
  <si>
    <t> MOLLEPAMPA</t>
  </si>
  <si>
    <t> TANTARA</t>
  </si>
  <si>
    <t> TICRAPO</t>
  </si>
  <si>
    <t> CHURCAMPA</t>
  </si>
  <si>
    <t> CHINCHIHUASI</t>
  </si>
  <si>
    <t> EL CARMEN</t>
  </si>
  <si>
    <t> LOCROJA</t>
  </si>
  <si>
    <t> PAUCARBAMBA</t>
  </si>
  <si>
    <t> SAN MIGUEL DE MAYOCC</t>
  </si>
  <si>
    <t> SAN PEDRO DE CORIS</t>
  </si>
  <si>
    <t> PACHAMARCA</t>
  </si>
  <si>
    <t> COSME</t>
  </si>
  <si>
    <t> HUAYTARA</t>
  </si>
  <si>
    <t> AYAVI</t>
  </si>
  <si>
    <t> CORDOVA</t>
  </si>
  <si>
    <t> HUAYACUNDO ARMA</t>
  </si>
  <si>
    <t> LARAMARCA</t>
  </si>
  <si>
    <t> OCOYO</t>
  </si>
  <si>
    <t> PILPICHACA</t>
  </si>
  <si>
    <t> QUERCO</t>
  </si>
  <si>
    <t> QUITO-ARMA</t>
  </si>
  <si>
    <t> SAN ANTONIO DE CUSICANCHA</t>
  </si>
  <si>
    <t> SAN FRANCISCO DE SANGAYAICO</t>
  </si>
  <si>
    <t> SAN ISIDRO</t>
  </si>
  <si>
    <t> SANTIAGO DE CHOCORVOS</t>
  </si>
  <si>
    <t> SANTIAGO DE QUIRAHUARA</t>
  </si>
  <si>
    <t> SANTO DOMINGO DE CAPILLAS</t>
  </si>
  <si>
    <t> TAYACAJA</t>
  </si>
  <si>
    <t> ACOSTAMBO</t>
  </si>
  <si>
    <t> ACRAQUIA</t>
  </si>
  <si>
    <t> AHUAYCHA</t>
  </si>
  <si>
    <t> DANIEL HERNANDEZ</t>
  </si>
  <si>
    <t> HUARIBAMBA</t>
  </si>
  <si>
    <t> ÑAHUIMPUQUIO</t>
  </si>
  <si>
    <t> PAZOS</t>
  </si>
  <si>
    <t> QUISHUAR</t>
  </si>
  <si>
    <t> SALCABAMBA</t>
  </si>
  <si>
    <t> SALCAHUASI</t>
  </si>
  <si>
    <t> SAN MARCOS DE ROCCHAC</t>
  </si>
  <si>
    <t> SURCUBAMBA</t>
  </si>
  <si>
    <t> TINTAY PUNCU</t>
  </si>
  <si>
    <t> HUANUCO</t>
  </si>
  <si>
    <t> AMARILIS</t>
  </si>
  <si>
    <t> CHINCHAO</t>
  </si>
  <si>
    <t> CHURUBAMBA</t>
  </si>
  <si>
    <t> MARGOS</t>
  </si>
  <si>
    <t> QUISQUI</t>
  </si>
  <si>
    <t> SAN FRANCISCO DE CAYRAN</t>
  </si>
  <si>
    <t> SAN PEDRO DE CHAULAN</t>
  </si>
  <si>
    <t> SANTA MARIA DEL VALLE</t>
  </si>
  <si>
    <t> YARUMAYO</t>
  </si>
  <si>
    <t> PILLCO MARCA</t>
  </si>
  <si>
    <t> YACUS</t>
  </si>
  <si>
    <t> AMBO</t>
  </si>
  <si>
    <t> CAYNA</t>
  </si>
  <si>
    <t> COLPAS</t>
  </si>
  <si>
    <t> CONCHAMARCA</t>
  </si>
  <si>
    <t> HUACAR</t>
  </si>
  <si>
    <t> SAN FRANCISCO</t>
  </si>
  <si>
    <t> SAN RAFAEL</t>
  </si>
  <si>
    <t> TOMAY KICHWA</t>
  </si>
  <si>
    <t> DOS DE MAYO</t>
  </si>
  <si>
    <t> CHUQUIS</t>
  </si>
  <si>
    <t> MARIAS</t>
  </si>
  <si>
    <t> PACHAS</t>
  </si>
  <si>
    <t> QUIVILLA</t>
  </si>
  <si>
    <t> RIPAN</t>
  </si>
  <si>
    <t> SHUNQUI</t>
  </si>
  <si>
    <t> SILLAPATA</t>
  </si>
  <si>
    <t> YANAS</t>
  </si>
  <si>
    <t> HUACAYBAMBA</t>
  </si>
  <si>
    <t> CANCHABAMBA</t>
  </si>
  <si>
    <t> PINRA</t>
  </si>
  <si>
    <t> HUAMALIES</t>
  </si>
  <si>
    <t> LLATA</t>
  </si>
  <si>
    <t> ARANCAY</t>
  </si>
  <si>
    <t> CHAVIN DE PARIARCA</t>
  </si>
  <si>
    <t> JACAS GRANDE</t>
  </si>
  <si>
    <t> JIRCAN</t>
  </si>
  <si>
    <t> MONZON</t>
  </si>
  <si>
    <t> PUNCHAO</t>
  </si>
  <si>
    <t> PUÑOS</t>
  </si>
  <si>
    <t> SINGA</t>
  </si>
  <si>
    <t> TANTAMAYO</t>
  </si>
  <si>
    <t> RUPA-RUPA</t>
  </si>
  <si>
    <t> DANIEL ALOMIA ROBLES</t>
  </si>
  <si>
    <t> HERMILIO VALDIZAN</t>
  </si>
  <si>
    <t> JOSE CRESPO Y CASTILLO</t>
  </si>
  <si>
    <t> LUYANDO</t>
  </si>
  <si>
    <t> MARIANO DAMASO BERAUN</t>
  </si>
  <si>
    <t> MARAÑON</t>
  </si>
  <si>
    <t> HUACRACHUCO</t>
  </si>
  <si>
    <t> CHOLON</t>
  </si>
  <si>
    <t> SAN BUENAVENTURA</t>
  </si>
  <si>
    <t> PACHITEA</t>
  </si>
  <si>
    <t> PANAO</t>
  </si>
  <si>
    <t> CHAGLLA</t>
  </si>
  <si>
    <t> MOLINO</t>
  </si>
  <si>
    <t> UMARI</t>
  </si>
  <si>
    <t> PUERTO INCA</t>
  </si>
  <si>
    <t> CODO DEL POZUZO</t>
  </si>
  <si>
    <t> HONORIA</t>
  </si>
  <si>
    <t> TOURNAVISTA</t>
  </si>
  <si>
    <t> YUYAPICHIS</t>
  </si>
  <si>
    <t> LAURICOCHA</t>
  </si>
  <si>
    <t> BAÑOS</t>
  </si>
  <si>
    <t> JIVIA</t>
  </si>
  <si>
    <t> QUEROPALCA</t>
  </si>
  <si>
    <t> RONDOS</t>
  </si>
  <si>
    <t> SAN FRANCISCO DE ASIS</t>
  </si>
  <si>
    <t> SAN MIGUEL DE CAURI</t>
  </si>
  <si>
    <t> YAROWILCA</t>
  </si>
  <si>
    <t> CHAVINILLO</t>
  </si>
  <si>
    <t> CAHUAC</t>
  </si>
  <si>
    <t> CHACABAMBA</t>
  </si>
  <si>
    <t> APARICIO POMARES</t>
  </si>
  <si>
    <t> JACAS CHICO</t>
  </si>
  <si>
    <t> OBAS</t>
  </si>
  <si>
    <t> CHORAS</t>
  </si>
  <si>
    <t> ICA</t>
  </si>
  <si>
    <t> LA TINGUIÑA</t>
  </si>
  <si>
    <t> LOS AQUIJES</t>
  </si>
  <si>
    <t> OCUCAJE</t>
  </si>
  <si>
    <t> PACHACUTEC</t>
  </si>
  <si>
    <t> PARCONA</t>
  </si>
  <si>
    <t> PUEBLO NUEVO</t>
  </si>
  <si>
    <t> SALAS</t>
  </si>
  <si>
    <t> SAN JOSE DE LOS MOLINOS</t>
  </si>
  <si>
    <t> SUBTANJALLA</t>
  </si>
  <si>
    <t> TATE</t>
  </si>
  <si>
    <t> YAUCA DEL ROSARIO</t>
  </si>
  <si>
    <t> CHINCHA</t>
  </si>
  <si>
    <t> CHINCHA ALTA</t>
  </si>
  <si>
    <t> ALTO LARAN</t>
  </si>
  <si>
    <t> CHAVIN</t>
  </si>
  <si>
    <t> CHINCHA BAJA</t>
  </si>
  <si>
    <t> GROCIO PRADO</t>
  </si>
  <si>
    <t> SAN JUAN DE YANAC</t>
  </si>
  <si>
    <t> SAN PEDRO DE HUACARPANA</t>
  </si>
  <si>
    <t> SUNAMPE</t>
  </si>
  <si>
    <t> TAMBO DE MORA</t>
  </si>
  <si>
    <t> NAZCA</t>
  </si>
  <si>
    <t> CHANGUILLO</t>
  </si>
  <si>
    <t> EL INGENIO</t>
  </si>
  <si>
    <t> MARCONA</t>
  </si>
  <si>
    <t> PALPA</t>
  </si>
  <si>
    <t> LLIPATA</t>
  </si>
  <si>
    <t> TIBILLO</t>
  </si>
  <si>
    <t> PISCO</t>
  </si>
  <si>
    <t> HUANCANO</t>
  </si>
  <si>
    <t> HUMAY</t>
  </si>
  <si>
    <t> PARACAS</t>
  </si>
  <si>
    <t> SAN ANDRES</t>
  </si>
  <si>
    <t> SAN CLEMENTE</t>
  </si>
  <si>
    <t> TUPAC AMARU INCA</t>
  </si>
  <si>
    <t> JUNIN</t>
  </si>
  <si>
    <t> HUANCAYO</t>
  </si>
  <si>
    <t> CARHUACALLANGA</t>
  </si>
  <si>
    <t> CHACAPAMPA</t>
  </si>
  <si>
    <t> CHICCHE</t>
  </si>
  <si>
    <t> CHILCA</t>
  </si>
  <si>
    <t> CHONGOS ALTO</t>
  </si>
  <si>
    <t> CHUPURO</t>
  </si>
  <si>
    <t> CULLHUAS</t>
  </si>
  <si>
    <t> EL TAMBO</t>
  </si>
  <si>
    <t> HUACRAPUQUIO</t>
  </si>
  <si>
    <t> HUALHUAS</t>
  </si>
  <si>
    <t> HUANCAN</t>
  </si>
  <si>
    <t> HUASICANCHA</t>
  </si>
  <si>
    <t> HUAYUCACHI</t>
  </si>
  <si>
    <t> INGENIO</t>
  </si>
  <si>
    <t> PILCOMAYO</t>
  </si>
  <si>
    <t> QUICHUAY</t>
  </si>
  <si>
    <t> QUILCAS</t>
  </si>
  <si>
    <t> SAN AGUSTIN</t>
  </si>
  <si>
    <t> SAN JERONIMO DE TUNAN</t>
  </si>
  <si>
    <t> SAÑO</t>
  </si>
  <si>
    <t> SAPALLANGA</t>
  </si>
  <si>
    <t> SICAYA</t>
  </si>
  <si>
    <t> SANTO DOMINGO DE ACOBAMBA</t>
  </si>
  <si>
    <t> VIQUES</t>
  </si>
  <si>
    <t> ANDAMARCA</t>
  </si>
  <si>
    <t> CHAMBARA</t>
  </si>
  <si>
    <t> COMAS</t>
  </si>
  <si>
    <t> HEROINAS TOLEDO</t>
  </si>
  <si>
    <t> MANZANARES</t>
  </si>
  <si>
    <t> MATAHUASI</t>
  </si>
  <si>
    <t> MITO</t>
  </si>
  <si>
    <t> NUEVE DE JULIO</t>
  </si>
  <si>
    <t> ORCOTUNA</t>
  </si>
  <si>
    <t> SAN JOSE DE QUERO</t>
  </si>
  <si>
    <t> SANTA ROSA DE OCOPA</t>
  </si>
  <si>
    <t> CHANCHAMAYO</t>
  </si>
  <si>
    <t> PERENE</t>
  </si>
  <si>
    <t> PICHANAQUI</t>
  </si>
  <si>
    <t> SAN LUIS DE SHUARO</t>
  </si>
  <si>
    <t> SAN RAMON</t>
  </si>
  <si>
    <t> VITOC</t>
  </si>
  <si>
    <t> JAUJA</t>
  </si>
  <si>
    <t> ACOLLA</t>
  </si>
  <si>
    <t> APATA</t>
  </si>
  <si>
    <t> ATAURA</t>
  </si>
  <si>
    <t> CANCHAYLLO</t>
  </si>
  <si>
    <t> CURICACA</t>
  </si>
  <si>
    <t> EL MANTARO</t>
  </si>
  <si>
    <t> HUAMALI</t>
  </si>
  <si>
    <t> HUARIPAMPA</t>
  </si>
  <si>
    <t> HUERTAS</t>
  </si>
  <si>
    <t> JANJAILLO</t>
  </si>
  <si>
    <t> JULCAN</t>
  </si>
  <si>
    <t> LEONOR ORDOÑEZ</t>
  </si>
  <si>
    <t> LLOCLLAPAMPA</t>
  </si>
  <si>
    <t> MARCO</t>
  </si>
  <si>
    <t> MASMA</t>
  </si>
  <si>
    <t> MASMA CHICCHE</t>
  </si>
  <si>
    <t> MOLINOS</t>
  </si>
  <si>
    <t> MONOBAMBA</t>
  </si>
  <si>
    <t> MUQUI</t>
  </si>
  <si>
    <t> MUQUIYAUYO</t>
  </si>
  <si>
    <t> PACA</t>
  </si>
  <si>
    <t> PANCAN</t>
  </si>
  <si>
    <t> PARCO</t>
  </si>
  <si>
    <t> POMACANCHA</t>
  </si>
  <si>
    <t> RICRAN</t>
  </si>
  <si>
    <t> SAN LORENZO</t>
  </si>
  <si>
    <t> SAN PEDRO DE CHUNAN</t>
  </si>
  <si>
    <t> SAUSA</t>
  </si>
  <si>
    <t> SINCOS</t>
  </si>
  <si>
    <t> TUNAN MARCA</t>
  </si>
  <si>
    <t> YAUYOS</t>
  </si>
  <si>
    <t> CARHUAMAYO</t>
  </si>
  <si>
    <t> ONDORES</t>
  </si>
  <si>
    <t> ULCUMAYO</t>
  </si>
  <si>
    <t> SATIPO</t>
  </si>
  <si>
    <t> COVIRIALI</t>
  </si>
  <si>
    <t> LLAYLLA</t>
  </si>
  <si>
    <t> MAZAMARI</t>
  </si>
  <si>
    <t> PAMPA HERMOSA</t>
  </si>
  <si>
    <t> PANGOA</t>
  </si>
  <si>
    <t> RIO NEGRO</t>
  </si>
  <si>
    <t> RIO TAMBO</t>
  </si>
  <si>
    <t> TARMA</t>
  </si>
  <si>
    <t> HUARICOLCA</t>
  </si>
  <si>
    <t> HUASAHUASI</t>
  </si>
  <si>
    <t> PALCAMAYO</t>
  </si>
  <si>
    <t> SAN PEDRO DE CAJAS</t>
  </si>
  <si>
    <t> TAPO</t>
  </si>
  <si>
    <t> LA OROYA</t>
  </si>
  <si>
    <t> CHACAPALPA</t>
  </si>
  <si>
    <t> HUAY-HUAY</t>
  </si>
  <si>
    <t> MARCAPOMACOCHA</t>
  </si>
  <si>
    <t> MOROCOCHA</t>
  </si>
  <si>
    <t> SANTA BARBARA DE CARHUACAYAN</t>
  </si>
  <si>
    <t> SANTA ROSA DE SACCO</t>
  </si>
  <si>
    <t> SUITUCANCHA</t>
  </si>
  <si>
    <t> CHUPACA</t>
  </si>
  <si>
    <t> AHUAC</t>
  </si>
  <si>
    <t> CHONGOS BAJO</t>
  </si>
  <si>
    <t> HUACHAC</t>
  </si>
  <si>
    <t> HUAMANCACA CHICO</t>
  </si>
  <si>
    <t> SAN JUAN DE ISCOS</t>
  </si>
  <si>
    <t> SAN JUAN DE JARPA</t>
  </si>
  <si>
    <t> TRES DE DICIEMBRE</t>
  </si>
  <si>
    <t> YANACANCHA</t>
  </si>
  <si>
    <t> TRUJILLO</t>
  </si>
  <si>
    <t> EL PORVENIR</t>
  </si>
  <si>
    <t> FLORENCIA DE MORA</t>
  </si>
  <si>
    <t> HUANCHACO</t>
  </si>
  <si>
    <t> LAREDO</t>
  </si>
  <si>
    <t> MOCHE</t>
  </si>
  <si>
    <t> POROTO</t>
  </si>
  <si>
    <t> SALAVERRY</t>
  </si>
  <si>
    <t> SIMBAL</t>
  </si>
  <si>
    <t> VICTOR LARCO HERRERA</t>
  </si>
  <si>
    <t> ASCOPE</t>
  </si>
  <si>
    <t> CHICAMA</t>
  </si>
  <si>
    <t> CHOCOPE</t>
  </si>
  <si>
    <t> MAGDALENA DE CAO</t>
  </si>
  <si>
    <t> PAIJAN</t>
  </si>
  <si>
    <t> RAZURI</t>
  </si>
  <si>
    <t> SANTIAGO DE CAO</t>
  </si>
  <si>
    <t> CASA GRANDE</t>
  </si>
  <si>
    <t> CONDORMARCA</t>
  </si>
  <si>
    <t> LONGOTEA</t>
  </si>
  <si>
    <t> UCHUMARCA</t>
  </si>
  <si>
    <t> UCUNCHA</t>
  </si>
  <si>
    <t> CHEPEN</t>
  </si>
  <si>
    <t> PACANGA</t>
  </si>
  <si>
    <t> CALAMARCA</t>
  </si>
  <si>
    <t> CARABAMBA</t>
  </si>
  <si>
    <t> HUASO</t>
  </si>
  <si>
    <t> OTUZCO</t>
  </si>
  <si>
    <t> AGALLPAMPA</t>
  </si>
  <si>
    <t> CHARAT</t>
  </si>
  <si>
    <t> HUARANCHAL</t>
  </si>
  <si>
    <t> LA CUESTA</t>
  </si>
  <si>
    <t> MACHE</t>
  </si>
  <si>
    <t> PARANDAY</t>
  </si>
  <si>
    <t> SALPO</t>
  </si>
  <si>
    <t> SINSICAP</t>
  </si>
  <si>
    <t> USQUIL</t>
  </si>
  <si>
    <t> PACASMAYO</t>
  </si>
  <si>
    <t> SAN PEDRO DE LLOC</t>
  </si>
  <si>
    <t> GUADALUPE</t>
  </si>
  <si>
    <t> JEQUETEPEQUE</t>
  </si>
  <si>
    <t> SAN JOSE</t>
  </si>
  <si>
    <t> PATAZ</t>
  </si>
  <si>
    <t> TAYABAMBA</t>
  </si>
  <si>
    <t> BULDIBUYO</t>
  </si>
  <si>
    <t> CHILLIA</t>
  </si>
  <si>
    <t> HUANCASPATA</t>
  </si>
  <si>
    <t> HUAYLILLAS</t>
  </si>
  <si>
    <t> HUAYO</t>
  </si>
  <si>
    <t> ONGON</t>
  </si>
  <si>
    <t> PARCOY</t>
  </si>
  <si>
    <t> PIAS</t>
  </si>
  <si>
    <t> SANTIAGO DE CHALLAS</t>
  </si>
  <si>
    <t> TAURIJA</t>
  </si>
  <si>
    <t> URPAY</t>
  </si>
  <si>
    <t> SANCHEZ CARRION</t>
  </si>
  <si>
    <t> HUAMACHUCO</t>
  </si>
  <si>
    <t> CHUGAY</t>
  </si>
  <si>
    <t> COCHORCO</t>
  </si>
  <si>
    <t> CURGOS</t>
  </si>
  <si>
    <t> MARCABAL</t>
  </si>
  <si>
    <t> SANAGORAN</t>
  </si>
  <si>
    <t> SARIN</t>
  </si>
  <si>
    <t> SARTIMBAMBA</t>
  </si>
  <si>
    <t> SANTIAGO DE CHUCO</t>
  </si>
  <si>
    <t> ANGASMARCA</t>
  </si>
  <si>
    <t> CACHICADAN</t>
  </si>
  <si>
    <t> MOLLEBAMBA</t>
  </si>
  <si>
    <t> QUIRUVILCA</t>
  </si>
  <si>
    <t> SANTA CRUZ DE CHUCA</t>
  </si>
  <si>
    <t> SITABAMBA</t>
  </si>
  <si>
    <t> GRAN CHIMU</t>
  </si>
  <si>
    <t> CASCAS</t>
  </si>
  <si>
    <t> MARMOT</t>
  </si>
  <si>
    <t> SAYAPULLO</t>
  </si>
  <si>
    <t> VIRU</t>
  </si>
  <si>
    <t> CHAO</t>
  </si>
  <si>
    <t> GUADALUPITO</t>
  </si>
  <si>
    <t> LAMBAYEQUE</t>
  </si>
  <si>
    <t> CHICLAYO</t>
  </si>
  <si>
    <t> CHONGOYAPE</t>
  </si>
  <si>
    <t> ETEN</t>
  </si>
  <si>
    <t> ETEN PUERTO</t>
  </si>
  <si>
    <t> JOSE LEONARDO ORTIZ</t>
  </si>
  <si>
    <t> LA VICTORIA</t>
  </si>
  <si>
    <t> LAGUNAS</t>
  </si>
  <si>
    <t> MONSEFU</t>
  </si>
  <si>
    <t> NUEVA ARICA</t>
  </si>
  <si>
    <t> OYOTUN</t>
  </si>
  <si>
    <t> PICSI</t>
  </si>
  <si>
    <t> PIMENTEL</t>
  </si>
  <si>
    <t> REQUE</t>
  </si>
  <si>
    <t> SAÑA</t>
  </si>
  <si>
    <t> CAYALTI</t>
  </si>
  <si>
    <t> PATAPO</t>
  </si>
  <si>
    <t> POMALCA</t>
  </si>
  <si>
    <t> PUCALA</t>
  </si>
  <si>
    <t> TUMAN</t>
  </si>
  <si>
    <t> FERREÑAFE</t>
  </si>
  <si>
    <t> CAÑARIS</t>
  </si>
  <si>
    <t> INCAHUASI</t>
  </si>
  <si>
    <t> MANUEL ANTONIO MESONES MURO</t>
  </si>
  <si>
    <t> PITIPO</t>
  </si>
  <si>
    <t> CHOCHOPE</t>
  </si>
  <si>
    <t> ILLIMO</t>
  </si>
  <si>
    <t> JAYANCA</t>
  </si>
  <si>
    <t> MOCHUMI</t>
  </si>
  <si>
    <t> MORROPE</t>
  </si>
  <si>
    <t> MOTUPE</t>
  </si>
  <si>
    <t> OLMOS</t>
  </si>
  <si>
    <t> PACORA</t>
  </si>
  <si>
    <t> TUCUME</t>
  </si>
  <si>
    <t> LIMA</t>
  </si>
  <si>
    <t> ANCON</t>
  </si>
  <si>
    <t> ATE</t>
  </si>
  <si>
    <t> BARRANCO</t>
  </si>
  <si>
    <t> BREÑA</t>
  </si>
  <si>
    <t> CARABAYLLO</t>
  </si>
  <si>
    <t> CHACLACAYO</t>
  </si>
  <si>
    <t> CHORRILLOS</t>
  </si>
  <si>
    <t> CIENEGUILLA</t>
  </si>
  <si>
    <t> EL AGUSTINO</t>
  </si>
  <si>
    <t> JESUS MARIA</t>
  </si>
  <si>
    <t> LA MOLINA</t>
  </si>
  <si>
    <t> LINCE</t>
  </si>
  <si>
    <t> LOS OLIVOS</t>
  </si>
  <si>
    <t> LURIGANCHO</t>
  </si>
  <si>
    <t> LURIN</t>
  </si>
  <si>
    <t> MAGDALENA DEL MAR</t>
  </si>
  <si>
    <t> PACHACAMAC</t>
  </si>
  <si>
    <t> PUCUSANA</t>
  </si>
  <si>
    <t> PUENTE PIEDRA</t>
  </si>
  <si>
    <t> PUNTA HERMOSA</t>
  </si>
  <si>
    <t> PUNTA NEGRA</t>
  </si>
  <si>
    <t> RIMAC</t>
  </si>
  <si>
    <t> SAN BARTOLO</t>
  </si>
  <si>
    <t> SAN BORJA</t>
  </si>
  <si>
    <t> SAN JUAN DE LURIGANCHO</t>
  </si>
  <si>
    <t> SAN JUAN DE MIRAFLORES</t>
  </si>
  <si>
    <t> SAN MARTIN DE PORRES</t>
  </si>
  <si>
    <t> SANTA ANITA</t>
  </si>
  <si>
    <t> SANTA MARIA DEL MAR</t>
  </si>
  <si>
    <t> SANTIAGO DE SURCO</t>
  </si>
  <si>
    <t> SURQUILLO</t>
  </si>
  <si>
    <t> VILLA EL SALVADOR</t>
  </si>
  <si>
    <t> VILLA MARIA DEL TRIUNFO</t>
  </si>
  <si>
    <t> BARRANCA</t>
  </si>
  <si>
    <t> PARAMONGA</t>
  </si>
  <si>
    <t> PATIVILCA</t>
  </si>
  <si>
    <t> SUPE</t>
  </si>
  <si>
    <t> SUPE PUERTO</t>
  </si>
  <si>
    <t> CAJATAMBO</t>
  </si>
  <si>
    <t> COPA</t>
  </si>
  <si>
    <t> GORGOR</t>
  </si>
  <si>
    <t> HUANCAPON</t>
  </si>
  <si>
    <t> MANAS</t>
  </si>
  <si>
    <t> CANTA</t>
  </si>
  <si>
    <t> ARAHUAY</t>
  </si>
  <si>
    <t> HUAMANTANGA</t>
  </si>
  <si>
    <t> HUAROS</t>
  </si>
  <si>
    <t> LACHAQUI</t>
  </si>
  <si>
    <t> SANTA ROSA DE QUIVES</t>
  </si>
  <si>
    <t> CAÑETE</t>
  </si>
  <si>
    <t> SAN VICENTE DE CAÑETE</t>
  </si>
  <si>
    <t> ASIA</t>
  </si>
  <si>
    <t> CALANGO</t>
  </si>
  <si>
    <t> CERRO AZUL</t>
  </si>
  <si>
    <t> COAYLLO</t>
  </si>
  <si>
    <t> IMPERIAL</t>
  </si>
  <si>
    <t> LUNAHUANA</t>
  </si>
  <si>
    <t> MALA</t>
  </si>
  <si>
    <t> NUEVO IMPERIAL</t>
  </si>
  <si>
    <t> PACARAN</t>
  </si>
  <si>
    <t> QUILMANA</t>
  </si>
  <si>
    <t> SANTA CRUZ DE FLORES</t>
  </si>
  <si>
    <t> ZUÑIGA</t>
  </si>
  <si>
    <t> HUARAL</t>
  </si>
  <si>
    <t> ATAVILLOS ALTO</t>
  </si>
  <si>
    <t> ATAVILLOS BAJO</t>
  </si>
  <si>
    <t> AUCALLAMA</t>
  </si>
  <si>
    <t> IHUARI</t>
  </si>
  <si>
    <t> LAMPIAN</t>
  </si>
  <si>
    <t> PACARAOS</t>
  </si>
  <si>
    <t> SAN MIGUEL DE ACOS</t>
  </si>
  <si>
    <t> SANTA CRUZ DE ANDAMARCA</t>
  </si>
  <si>
    <t> SUMBILCA</t>
  </si>
  <si>
    <t> VEINTISIETE DE NOVIEMBRE</t>
  </si>
  <si>
    <t> HUAROCHIRI</t>
  </si>
  <si>
    <t> MATUCANA</t>
  </si>
  <si>
    <t> ANTIOQUIA</t>
  </si>
  <si>
    <t> CALLAHUANCA</t>
  </si>
  <si>
    <t> CARAMPOMA</t>
  </si>
  <si>
    <t> CHICLA</t>
  </si>
  <si>
    <t> HUACHUPAMPA</t>
  </si>
  <si>
    <t> HUANZA</t>
  </si>
  <si>
    <t> LAHUAYTAMBO</t>
  </si>
  <si>
    <t> LANGA</t>
  </si>
  <si>
    <t> LARAOS</t>
  </si>
  <si>
    <t> MARIATANA</t>
  </si>
  <si>
    <t> RICARDO PALMA</t>
  </si>
  <si>
    <t> SAN ANDRES DE TUPICOCHA</t>
  </si>
  <si>
    <t> SAN BARTOLOME</t>
  </si>
  <si>
    <t> SAN DAMIAN</t>
  </si>
  <si>
    <t> SAN JUAN DE IRIS</t>
  </si>
  <si>
    <t> SAN JUAN DE TANTARANCHE</t>
  </si>
  <si>
    <t> SAN LORENZO DE QUINTI</t>
  </si>
  <si>
    <t> SAN MATEO</t>
  </si>
  <si>
    <t> SAN MATEO DE OTAO</t>
  </si>
  <si>
    <t> SAN PEDRO DE CASTA</t>
  </si>
  <si>
    <t> SAN PEDRO DE HUANCAYRE</t>
  </si>
  <si>
    <t> SANGALLAYA</t>
  </si>
  <si>
    <t> SANTA CRUZ DE COCACHACRA</t>
  </si>
  <si>
    <t> SANTA EULALIA</t>
  </si>
  <si>
    <t> SANTIAGO DE ANCHUCAYA</t>
  </si>
  <si>
    <t> SANTIAGO DE TUNA</t>
  </si>
  <si>
    <t> SANTO DOMINGO DE LOS OLLEROS</t>
  </si>
  <si>
    <t> SURCO</t>
  </si>
  <si>
    <t> HUAURA</t>
  </si>
  <si>
    <t> HUACHO</t>
  </si>
  <si>
    <t> AMBAR</t>
  </si>
  <si>
    <t> CALETA DE CARQUIN</t>
  </si>
  <si>
    <t> CHECRAS</t>
  </si>
  <si>
    <t> HUALMAY</t>
  </si>
  <si>
    <t> PACCHO</t>
  </si>
  <si>
    <t> SANTA LEONOR</t>
  </si>
  <si>
    <t> SANTA MARIA</t>
  </si>
  <si>
    <t> SAYAN</t>
  </si>
  <si>
    <t> VEGUETA</t>
  </si>
  <si>
    <t> OYON</t>
  </si>
  <si>
    <t> ANDAJES</t>
  </si>
  <si>
    <t> CAUJUL</t>
  </si>
  <si>
    <t> COCHAMARCA</t>
  </si>
  <si>
    <t> NAVAN</t>
  </si>
  <si>
    <t> PACHANGARA</t>
  </si>
  <si>
    <t> ALIS</t>
  </si>
  <si>
    <t> ALLAUCA</t>
  </si>
  <si>
    <t> AYAVIRI</t>
  </si>
  <si>
    <t> AZANGARO</t>
  </si>
  <si>
    <t> CACRA</t>
  </si>
  <si>
    <t> CARANIA</t>
  </si>
  <si>
    <t> CATAHUASI</t>
  </si>
  <si>
    <t> CHOCOS</t>
  </si>
  <si>
    <t> COLONIA</t>
  </si>
  <si>
    <t> HONGOS</t>
  </si>
  <si>
    <t> HUAMPARA</t>
  </si>
  <si>
    <t> HUANCAYA</t>
  </si>
  <si>
    <t> HUANGASCAR</t>
  </si>
  <si>
    <t> HUANTAN</t>
  </si>
  <si>
    <t> HUAÑEC</t>
  </si>
  <si>
    <t> LINCHA</t>
  </si>
  <si>
    <t> MADEAN</t>
  </si>
  <si>
    <t> OMAS</t>
  </si>
  <si>
    <t> PUTINZA</t>
  </si>
  <si>
    <t> QUINCHES</t>
  </si>
  <si>
    <t> QUINOCAY</t>
  </si>
  <si>
    <t> SAN JOAQUIN</t>
  </si>
  <si>
    <t> SAN PEDRO DE PILAS</t>
  </si>
  <si>
    <t> TANTA</t>
  </si>
  <si>
    <t> TAURIPAMPA</t>
  </si>
  <si>
    <t> TOMAS</t>
  </si>
  <si>
    <t> TUPE</t>
  </si>
  <si>
    <t> VIÑAC</t>
  </si>
  <si>
    <t> VITIS</t>
  </si>
  <si>
    <t> LORETO</t>
  </si>
  <si>
    <t> ALTO NANAY</t>
  </si>
  <si>
    <t> FERNANDO LORES</t>
  </si>
  <si>
    <t> INDIANA</t>
  </si>
  <si>
    <t> LAS AMAZONAS</t>
  </si>
  <si>
    <t> MAZAN</t>
  </si>
  <si>
    <t> NAPO</t>
  </si>
  <si>
    <t> PUTUMAYO</t>
  </si>
  <si>
    <t> TORRES CAUSANA</t>
  </si>
  <si>
    <t> TENIENTE MANUEL CLAVERO</t>
  </si>
  <si>
    <t> ALTO AMAZONAS</t>
  </si>
  <si>
    <t> YURIMAGUAS</t>
  </si>
  <si>
    <t> BALSAPUERTO</t>
  </si>
  <si>
    <t> JEBEROS</t>
  </si>
  <si>
    <t> TENIENTE CESAR LOPEZ ROJAS</t>
  </si>
  <si>
    <t> NAUTA</t>
  </si>
  <si>
    <t> PARINARI</t>
  </si>
  <si>
    <t> TIGRE</t>
  </si>
  <si>
    <t> TROMPETEROS</t>
  </si>
  <si>
    <t> URARINAS</t>
  </si>
  <si>
    <t> MARISCAL RAMON CASTILLA</t>
  </si>
  <si>
    <t> RAMON CASTILLA</t>
  </si>
  <si>
    <t> PEBAS</t>
  </si>
  <si>
    <t> YAVARI</t>
  </si>
  <si>
    <t> REQUENA</t>
  </si>
  <si>
    <t> ALTO TAPICHE</t>
  </si>
  <si>
    <t> CAPELO</t>
  </si>
  <si>
    <t> EMILIO SAN MARTIN</t>
  </si>
  <si>
    <t> MAQUIA</t>
  </si>
  <si>
    <t> PUINAHUA</t>
  </si>
  <si>
    <t> SAQUENA</t>
  </si>
  <si>
    <t> SOPLIN</t>
  </si>
  <si>
    <t> TAPICHE</t>
  </si>
  <si>
    <t> JENARO HERRERA</t>
  </si>
  <si>
    <t> YAQUERANA</t>
  </si>
  <si>
    <t> UCAYALI</t>
  </si>
  <si>
    <t> CONTAMANA</t>
  </si>
  <si>
    <t> INAHUAYA</t>
  </si>
  <si>
    <t> PADRE MARQUEZ</t>
  </si>
  <si>
    <t> SARAYACU</t>
  </si>
  <si>
    <t> VARGAS GUERRA</t>
  </si>
  <si>
    <t> DATEM DEL MARAÑON</t>
  </si>
  <si>
    <t> CAHUAPANAS</t>
  </si>
  <si>
    <t> MANSERICHE</t>
  </si>
  <si>
    <t> MORONA</t>
  </si>
  <si>
    <t> PASTAZA</t>
  </si>
  <si>
    <t> ANDOAS</t>
  </si>
  <si>
    <t> MADRE DE DIOS</t>
  </si>
  <si>
    <t> TAMBOPATA</t>
  </si>
  <si>
    <t> INAMBARI</t>
  </si>
  <si>
    <t> LAS PIEDRAS</t>
  </si>
  <si>
    <t> LABERINTO</t>
  </si>
  <si>
    <t> MANU</t>
  </si>
  <si>
    <t> FITZCARRALD</t>
  </si>
  <si>
    <t> HUEPETUHE</t>
  </si>
  <si>
    <t> TAHUAMANU</t>
  </si>
  <si>
    <t> IÑAPARI</t>
  </si>
  <si>
    <t> IBERIA</t>
  </si>
  <si>
    <t> MOQUEGUA</t>
  </si>
  <si>
    <t> MARISCAL NIETO</t>
  </si>
  <si>
    <t> CARUMAS</t>
  </si>
  <si>
    <t> CUCHUMBAYA</t>
  </si>
  <si>
    <t> SAMEGUA</t>
  </si>
  <si>
    <t> TORATA</t>
  </si>
  <si>
    <t> GENERAL SANCHEZ CERRO</t>
  </si>
  <si>
    <t> OMATE</t>
  </si>
  <si>
    <t> CHOJATA</t>
  </si>
  <si>
    <t> COALAQUE</t>
  </si>
  <si>
    <t> ICHUÑA</t>
  </si>
  <si>
    <t> LA CAPILLA</t>
  </si>
  <si>
    <t> LLOQUE</t>
  </si>
  <si>
    <t> MATALAQUE</t>
  </si>
  <si>
    <t> PUQUINA</t>
  </si>
  <si>
    <t> QUINISTAQUILLAS</t>
  </si>
  <si>
    <t> UBINAS</t>
  </si>
  <si>
    <t> YUNGA</t>
  </si>
  <si>
    <t> ILO</t>
  </si>
  <si>
    <t> EL ALGARROBAL</t>
  </si>
  <si>
    <t> PACOCHA</t>
  </si>
  <si>
    <t> PASCO</t>
  </si>
  <si>
    <t> CHAUPIMARCA</t>
  </si>
  <si>
    <t> HUACHON</t>
  </si>
  <si>
    <t> HUARIACA</t>
  </si>
  <si>
    <t> HUAYLLAY</t>
  </si>
  <si>
    <t> NINACACA</t>
  </si>
  <si>
    <t> PALLANCHACRA</t>
  </si>
  <si>
    <t> SAN FRANCISCO DE ASIS DE YARUSYACAN</t>
  </si>
  <si>
    <t> SIMON BOLIVAR</t>
  </si>
  <si>
    <t> TICLACAYAN</t>
  </si>
  <si>
    <t> TINYAHUARCO</t>
  </si>
  <si>
    <t> VICCO</t>
  </si>
  <si>
    <t> DANIEL ALCIDES CARRION</t>
  </si>
  <si>
    <t> YANAHUANCA</t>
  </si>
  <si>
    <t> CHACAYAN</t>
  </si>
  <si>
    <t> GOYLLARISQUIZGA</t>
  </si>
  <si>
    <t> PAUCAR</t>
  </si>
  <si>
    <t> SAN PEDRO DE PILLAO</t>
  </si>
  <si>
    <t> SANTA ANA DE TUSI</t>
  </si>
  <si>
    <t> TAPUC</t>
  </si>
  <si>
    <t> OXAPAMPA</t>
  </si>
  <si>
    <t> CHONTABAMBA</t>
  </si>
  <si>
    <t> HUANCABAMBA</t>
  </si>
  <si>
    <t> PALCAZU</t>
  </si>
  <si>
    <t> POZUZO</t>
  </si>
  <si>
    <t> PUERTO BERMUDEZ</t>
  </si>
  <si>
    <t> VILLA RICA</t>
  </si>
  <si>
    <t> CONSTITUCIÓN</t>
  </si>
  <si>
    <t> PIURA</t>
  </si>
  <si>
    <t> CATACAOS</t>
  </si>
  <si>
    <t> CURA MORI</t>
  </si>
  <si>
    <t> EL TALLAN</t>
  </si>
  <si>
    <t> LA ARENA</t>
  </si>
  <si>
    <t> LAS LOMAS</t>
  </si>
  <si>
    <t> TAMBO GRANDE</t>
  </si>
  <si>
    <t> AYABACA</t>
  </si>
  <si>
    <t> FRIAS</t>
  </si>
  <si>
    <t> JILILI</t>
  </si>
  <si>
    <t> MONTERO</t>
  </si>
  <si>
    <t> PACAIPAMPA</t>
  </si>
  <si>
    <t> PAIMAS</t>
  </si>
  <si>
    <t> SAPILLICA</t>
  </si>
  <si>
    <t> SICCHEZ</t>
  </si>
  <si>
    <t> SUYO</t>
  </si>
  <si>
    <t> CANCHAQUE</t>
  </si>
  <si>
    <t> EL CARMEN DE LA FRONTERA</t>
  </si>
  <si>
    <t> HUARMACA</t>
  </si>
  <si>
    <t> LALAQUIZ</t>
  </si>
  <si>
    <t> SAN MIGUEL DE EL FAIQUE</t>
  </si>
  <si>
    <t> SONDOR</t>
  </si>
  <si>
    <t> SONDORILLO</t>
  </si>
  <si>
    <t> MORROPON</t>
  </si>
  <si>
    <t> CHULUCANAS</t>
  </si>
  <si>
    <t> BUENOS AIRES</t>
  </si>
  <si>
    <t> CHALACO</t>
  </si>
  <si>
    <t> LA MATANZA</t>
  </si>
  <si>
    <t> SALITRAL</t>
  </si>
  <si>
    <t> SAN JUAN DE BIGOTE</t>
  </si>
  <si>
    <t> SANTA CATALINA DE MOSSA</t>
  </si>
  <si>
    <t> SANTO DOMINGO</t>
  </si>
  <si>
    <t> YAMANGO</t>
  </si>
  <si>
    <t> PAITA</t>
  </si>
  <si>
    <t> AMOTAPE</t>
  </si>
  <si>
    <t> ARENAL</t>
  </si>
  <si>
    <t> COLAN</t>
  </si>
  <si>
    <t> LA HUACA</t>
  </si>
  <si>
    <t> TAMARINDO</t>
  </si>
  <si>
    <t> VICHAYAL</t>
  </si>
  <si>
    <t> SULLANA</t>
  </si>
  <si>
    <t> IGNACIO ESCUDERO</t>
  </si>
  <si>
    <t> LANCONES</t>
  </si>
  <si>
    <t> MARCAVELICA</t>
  </si>
  <si>
    <t> MIGUEL CHECA</t>
  </si>
  <si>
    <t> QUERECOTILLO</t>
  </si>
  <si>
    <t> TALARA</t>
  </si>
  <si>
    <t> PARIÑAS</t>
  </si>
  <si>
    <t> EL ALTO</t>
  </si>
  <si>
    <t> LA BREA</t>
  </si>
  <si>
    <t> LOBITOS</t>
  </si>
  <si>
    <t> LOS ORGANOS</t>
  </si>
  <si>
    <t> MANCORA</t>
  </si>
  <si>
    <t> SECHURA</t>
  </si>
  <si>
    <t> BELLAVISTA DE LA UNION</t>
  </si>
  <si>
    <t> BERNAL</t>
  </si>
  <si>
    <t> CRISTO NOS VALGA</t>
  </si>
  <si>
    <t> VICE</t>
  </si>
  <si>
    <t> RINCONADA LLICUAR</t>
  </si>
  <si>
    <t> PUNO</t>
  </si>
  <si>
    <t> ACORA</t>
  </si>
  <si>
    <t> AMANTANI</t>
  </si>
  <si>
    <t> ATUNCOLLA</t>
  </si>
  <si>
    <t> CAPACHICA</t>
  </si>
  <si>
    <t> CHUCUITO</t>
  </si>
  <si>
    <t> COATA</t>
  </si>
  <si>
    <t> MAÑAZO</t>
  </si>
  <si>
    <t> PAUCARCOLLA</t>
  </si>
  <si>
    <t> PICHACANI</t>
  </si>
  <si>
    <t> PLATERIA</t>
  </si>
  <si>
    <t> TIQUILLACA</t>
  </si>
  <si>
    <t> VILQUE</t>
  </si>
  <si>
    <t> ACHAYA</t>
  </si>
  <si>
    <t> ARAPA</t>
  </si>
  <si>
    <t> ASILLO</t>
  </si>
  <si>
    <t> CAMINACA</t>
  </si>
  <si>
    <t> CHUPA</t>
  </si>
  <si>
    <t> JOSE DOMINGO CHOQUEHUANCA</t>
  </si>
  <si>
    <t> MUÑANI</t>
  </si>
  <si>
    <t> POTONI</t>
  </si>
  <si>
    <t> SAMAN</t>
  </si>
  <si>
    <t> SAN ANTON</t>
  </si>
  <si>
    <t> SAN JUAN DE SALINAS</t>
  </si>
  <si>
    <t> SANTIAGO DE PUPUJA</t>
  </si>
  <si>
    <t> TIRAPATA</t>
  </si>
  <si>
    <t> CARABAYA</t>
  </si>
  <si>
    <t> MACUSANI</t>
  </si>
  <si>
    <t> AJOYANI</t>
  </si>
  <si>
    <t> AYAPATA</t>
  </si>
  <si>
    <t> COASA</t>
  </si>
  <si>
    <t> CORANI</t>
  </si>
  <si>
    <t> CRUCERO</t>
  </si>
  <si>
    <t> ITUATA</t>
  </si>
  <si>
    <t> OLLACHEA</t>
  </si>
  <si>
    <t> SAN GABAN</t>
  </si>
  <si>
    <t> USICAYOS</t>
  </si>
  <si>
    <t> JULI</t>
  </si>
  <si>
    <t> DESAGUADERO</t>
  </si>
  <si>
    <t> HUACULLANI</t>
  </si>
  <si>
    <t> KELLUYO</t>
  </si>
  <si>
    <t> PISACOMA</t>
  </si>
  <si>
    <t> POMATA</t>
  </si>
  <si>
    <t> ZEPITA</t>
  </si>
  <si>
    <t> EL COLLAO</t>
  </si>
  <si>
    <t> ILAVE</t>
  </si>
  <si>
    <t> CAPAZO</t>
  </si>
  <si>
    <t> PILCUYO</t>
  </si>
  <si>
    <t> CONDURIRI</t>
  </si>
  <si>
    <t> HUANCANE</t>
  </si>
  <si>
    <t> COJATA</t>
  </si>
  <si>
    <t> HUATASANI</t>
  </si>
  <si>
    <t> INCHUPALLA</t>
  </si>
  <si>
    <t> PUSI</t>
  </si>
  <si>
    <t> ROSASPATA</t>
  </si>
  <si>
    <t> TARACO</t>
  </si>
  <si>
    <t> VILQUE CHICO</t>
  </si>
  <si>
    <t> CABANILLA</t>
  </si>
  <si>
    <t> CALAPUJA</t>
  </si>
  <si>
    <t> NICASIO</t>
  </si>
  <si>
    <t> OCUVIRI</t>
  </si>
  <si>
    <t> PARATIA</t>
  </si>
  <si>
    <t> VILAVILA</t>
  </si>
  <si>
    <t> MELGAR</t>
  </si>
  <si>
    <t> ANTAUTA</t>
  </si>
  <si>
    <t> CUPI</t>
  </si>
  <si>
    <t> LLALLI</t>
  </si>
  <si>
    <t> MACARI</t>
  </si>
  <si>
    <t> NUÑOA</t>
  </si>
  <si>
    <t> ORURILLO</t>
  </si>
  <si>
    <t> UMACHIRI</t>
  </si>
  <si>
    <t> MOHO</t>
  </si>
  <si>
    <t> CONIMA</t>
  </si>
  <si>
    <t> HUAYRAPATA</t>
  </si>
  <si>
    <t> TILALI</t>
  </si>
  <si>
    <t> SAN ANTONIO DE PUTINA</t>
  </si>
  <si>
    <t> PUTINA</t>
  </si>
  <si>
    <t> ANANEA</t>
  </si>
  <si>
    <t> PEDRO VILCA APAZA</t>
  </si>
  <si>
    <t> QUILCAPUNCU</t>
  </si>
  <si>
    <t> SINA</t>
  </si>
  <si>
    <t> SAN ROMAN</t>
  </si>
  <si>
    <t> JULIACA</t>
  </si>
  <si>
    <t> CABANILLAS</t>
  </si>
  <si>
    <t> CARACOTO</t>
  </si>
  <si>
    <t> SANDIA</t>
  </si>
  <si>
    <t> CUYOCUYO</t>
  </si>
  <si>
    <t> LIMBANI</t>
  </si>
  <si>
    <t> PATAMBUCO</t>
  </si>
  <si>
    <t> PHARA</t>
  </si>
  <si>
    <t> QUIACA</t>
  </si>
  <si>
    <t> SAN JUAN DEL ORO</t>
  </si>
  <si>
    <t> YANAHUAYA</t>
  </si>
  <si>
    <t> ALTO INAMBARI</t>
  </si>
  <si>
    <t> SAN PEDRO DE PUTINA PUNCO</t>
  </si>
  <si>
    <t> YUNGUYO</t>
  </si>
  <si>
    <t> ANAPIA</t>
  </si>
  <si>
    <t> COPANI</t>
  </si>
  <si>
    <t> CUTURAPI</t>
  </si>
  <si>
    <t> OLLARAYA</t>
  </si>
  <si>
    <t> TINICACHI</t>
  </si>
  <si>
    <t> UNICACHI</t>
  </si>
  <si>
    <t> SAN MARTIN</t>
  </si>
  <si>
    <t> MOYOBAMBA</t>
  </si>
  <si>
    <t> CALZADA</t>
  </si>
  <si>
    <t> HABANA</t>
  </si>
  <si>
    <t> JEPELACIO</t>
  </si>
  <si>
    <t> SORITOR</t>
  </si>
  <si>
    <t> YANTALO</t>
  </si>
  <si>
    <t> ALTO BIAVO</t>
  </si>
  <si>
    <t> BAJO BIAVO</t>
  </si>
  <si>
    <t> HUALLAGA</t>
  </si>
  <si>
    <t> EL DORADO</t>
  </si>
  <si>
    <t> SAN JOSE DE SISA</t>
  </si>
  <si>
    <t> AGUA BLANCA</t>
  </si>
  <si>
    <t> SHATOJA</t>
  </si>
  <si>
    <t> SAPOSOA</t>
  </si>
  <si>
    <t> ALTO SAPOSOA</t>
  </si>
  <si>
    <t> EL ESLABON</t>
  </si>
  <si>
    <t> PISCOYACU</t>
  </si>
  <si>
    <t> SACANCHE</t>
  </si>
  <si>
    <t> TINGO DE SAPOSOA</t>
  </si>
  <si>
    <t> LAMAS</t>
  </si>
  <si>
    <t> ALONSO DE ALVARADO</t>
  </si>
  <si>
    <t> BARRANQUITA</t>
  </si>
  <si>
    <t> CAYNARACHI</t>
  </si>
  <si>
    <t> CUÑUMBUQUI</t>
  </si>
  <si>
    <t> PINTO RECODO</t>
  </si>
  <si>
    <t> RUMISAPA</t>
  </si>
  <si>
    <t> SAN ROQUE DE CUMBAZA</t>
  </si>
  <si>
    <t> SHANAO</t>
  </si>
  <si>
    <t> TABALOSOS</t>
  </si>
  <si>
    <t> ZAPATERO</t>
  </si>
  <si>
    <t> JUANJUI</t>
  </si>
  <si>
    <t> CAMPANILLA</t>
  </si>
  <si>
    <t> HUICUNGO</t>
  </si>
  <si>
    <t> PACHIZA</t>
  </si>
  <si>
    <t> PAJARILLO</t>
  </si>
  <si>
    <t> PICOTA</t>
  </si>
  <si>
    <t> CASPISAPA</t>
  </si>
  <si>
    <t> PILLUANA</t>
  </si>
  <si>
    <t> PUCACACA</t>
  </si>
  <si>
    <t> SAN HILARION</t>
  </si>
  <si>
    <t> SHAMBOYACU</t>
  </si>
  <si>
    <t> TINGO DE PONASA</t>
  </si>
  <si>
    <t> TRES UNIDOS</t>
  </si>
  <si>
    <t> RIOJA</t>
  </si>
  <si>
    <t> AWAJUN</t>
  </si>
  <si>
    <t> ELIAS SOPLIN VARGAS</t>
  </si>
  <si>
    <t> NUEVA CAJAMARCA</t>
  </si>
  <si>
    <t> PARDO MIGUEL</t>
  </si>
  <si>
    <t> POSIC</t>
  </si>
  <si>
    <t> SAN FERNANDO</t>
  </si>
  <si>
    <t> YORONGOS</t>
  </si>
  <si>
    <t> YURACYACU</t>
  </si>
  <si>
    <t> TARAPOTO</t>
  </si>
  <si>
    <t> ALBERTO LEVEAU</t>
  </si>
  <si>
    <t> CACATACHI</t>
  </si>
  <si>
    <t> CHAZUTA</t>
  </si>
  <si>
    <t> CHIPURANA</t>
  </si>
  <si>
    <t> HUIMBAYOC</t>
  </si>
  <si>
    <t> JUAN GUERRA</t>
  </si>
  <si>
    <t> LA BANDA DE SHILCAYO</t>
  </si>
  <si>
    <t> MORALES</t>
  </si>
  <si>
    <t> PAPAPLAYA</t>
  </si>
  <si>
    <t> SAUCE</t>
  </si>
  <si>
    <t> SHAPAJA</t>
  </si>
  <si>
    <t> TOCACHE</t>
  </si>
  <si>
    <t> NUEVO PROGRESO</t>
  </si>
  <si>
    <t> POLVORA</t>
  </si>
  <si>
    <t> SHUNTE</t>
  </si>
  <si>
    <t> UCHIZA</t>
  </si>
  <si>
    <t> TACNA</t>
  </si>
  <si>
    <t> ALTO DE LA ALIANZA</t>
  </si>
  <si>
    <t> CALANA</t>
  </si>
  <si>
    <t> CIUDAD NUEVA</t>
  </si>
  <si>
    <t> INCLAN</t>
  </si>
  <si>
    <t> PACHIA</t>
  </si>
  <si>
    <t> POCOLLAY</t>
  </si>
  <si>
    <t> SAMA</t>
  </si>
  <si>
    <t> CORONEL GREGORIO ALBARRACIN LANCHIPA</t>
  </si>
  <si>
    <t> CANDARAVE</t>
  </si>
  <si>
    <t> CAIRANI</t>
  </si>
  <si>
    <t> CAMILACA</t>
  </si>
  <si>
    <t> CURIBAYA</t>
  </si>
  <si>
    <t> HUANUARA</t>
  </si>
  <si>
    <t> QUILAHUANI</t>
  </si>
  <si>
    <t> JORGE BASADRE</t>
  </si>
  <si>
    <t> LOCUMBA</t>
  </si>
  <si>
    <t> ILABAYA</t>
  </si>
  <si>
    <t> ITE</t>
  </si>
  <si>
    <t> TARATA</t>
  </si>
  <si>
    <t> HEROES ALBARRACIN</t>
  </si>
  <si>
    <t> ESTIQUE</t>
  </si>
  <si>
    <t> ESTIQUE-PAMPA</t>
  </si>
  <si>
    <t> SITAJARA</t>
  </si>
  <si>
    <t> SUSAPAYA</t>
  </si>
  <si>
    <t> TARUCACHI</t>
  </si>
  <si>
    <t> TICACO</t>
  </si>
  <si>
    <t> TUMBES</t>
  </si>
  <si>
    <t> CORRALES</t>
  </si>
  <si>
    <t> LA CRUZ</t>
  </si>
  <si>
    <t> PAMPAS DE HOSPITAL</t>
  </si>
  <si>
    <t> SAN JACINTO</t>
  </si>
  <si>
    <t> SAN JUAN DE LA VIRGEN</t>
  </si>
  <si>
    <t> CONTRALMIRANTE VILLAR</t>
  </si>
  <si>
    <t> ZORRITOS</t>
  </si>
  <si>
    <t> CASITAS</t>
  </si>
  <si>
    <t> CANOAS DE PUNTA SAL</t>
  </si>
  <si>
    <t> ZARUMILLA</t>
  </si>
  <si>
    <t> AGUAS VERDES</t>
  </si>
  <si>
    <t> MATAPALO</t>
  </si>
  <si>
    <t> PAPAYAL</t>
  </si>
  <si>
    <t> CORONEL PORTILLO</t>
  </si>
  <si>
    <t> CALLERIA</t>
  </si>
  <si>
    <t> CAMPOVERDE</t>
  </si>
  <si>
    <t> IPARIA</t>
  </si>
  <si>
    <t> MASISEA</t>
  </si>
  <si>
    <t> YARINACOCHA</t>
  </si>
  <si>
    <t> NUEVA REQUENA</t>
  </si>
  <si>
    <t> MANANTAY</t>
  </si>
  <si>
    <t> ATALAYA</t>
  </si>
  <si>
    <t> RAYMONDI</t>
  </si>
  <si>
    <t> SEPAHUA</t>
  </si>
  <si>
    <t> TAHUANIA</t>
  </si>
  <si>
    <t> YURUA</t>
  </si>
  <si>
    <t> PADRE ABAD</t>
  </si>
  <si>
    <t> IRAZOLA</t>
  </si>
  <si>
    <t> CURIMANA</t>
  </si>
  <si>
    <t> PURUS</t>
  </si>
  <si>
    <t>Marca</t>
  </si>
  <si>
    <t>Establecimiento</t>
  </si>
  <si>
    <t>Belén</t>
  </si>
  <si>
    <t>BAYLON GAMARRA JOSE LUIS</t>
  </si>
  <si>
    <t>LLAMA GAS PUCALLPA S.A.</t>
  </si>
  <si>
    <t>COMERCIAL JULCA EIRL</t>
  </si>
  <si>
    <t>Amazon Gas</t>
  </si>
  <si>
    <t>Llama Gas</t>
  </si>
  <si>
    <t>Iquitos</t>
  </si>
  <si>
    <t>RICO GAS E.I.R.L.</t>
  </si>
  <si>
    <t>MULTISERVICIOS LUZ GAS E.I.R.L.</t>
  </si>
  <si>
    <t>DAYRO RESTREPO VASQUEZ</t>
  </si>
  <si>
    <t>UNIGAS</t>
  </si>
  <si>
    <t>Punchana</t>
  </si>
  <si>
    <t>VICTOR AUGUSTO SIFUENTES RIOS</t>
  </si>
  <si>
    <t>San Juan Bautista</t>
  </si>
  <si>
    <t>Pecsagas</t>
  </si>
  <si>
    <t>JOHNNY RUIZ VELA</t>
  </si>
  <si>
    <t>SERVICENTRO BELEN S.R.L.</t>
  </si>
  <si>
    <t>INVERSIONES MULTIPLES MLVE E.I.R.L</t>
  </si>
  <si>
    <t>FASANANDO ARICARI LUCRECIA ABIGAIL</t>
  </si>
  <si>
    <t>MARITHA ELALUFF GUERRA</t>
  </si>
  <si>
    <t>Número de locales</t>
  </si>
  <si>
    <t>Hombre</t>
  </si>
  <si>
    <t>Mujer</t>
  </si>
  <si>
    <t>Total</t>
  </si>
  <si>
    <t>Total (Iquitos M.)</t>
  </si>
  <si>
    <t>%</t>
  </si>
  <si>
    <t>0 - 14 años</t>
  </si>
  <si>
    <t>15 - 29 años</t>
  </si>
  <si>
    <t>30 - 44 años</t>
  </si>
  <si>
    <t>45 - 64 años</t>
  </si>
  <si>
    <t>65 años a más</t>
  </si>
  <si>
    <t>Sin nivel</t>
  </si>
  <si>
    <t>Educ. Inicial</t>
  </si>
  <si>
    <t>Primaria</t>
  </si>
  <si>
    <t>Secundaria</t>
  </si>
  <si>
    <t>Sup. No Univ. Incompleto</t>
  </si>
  <si>
    <t>Sup. No Univ. Completo</t>
  </si>
  <si>
    <t>Sup. Univ. Incompleto</t>
  </si>
  <si>
    <t>Sup. Univ. Completo</t>
  </si>
  <si>
    <t xml:space="preserve"> 1 persona</t>
  </si>
  <si>
    <t xml:space="preserve"> 2 personas</t>
  </si>
  <si>
    <t xml:space="preserve"> 3 personas</t>
  </si>
  <si>
    <t xml:space="preserve"> 4 personas</t>
  </si>
  <si>
    <t xml:space="preserve"> 5 personas</t>
  </si>
  <si>
    <t xml:space="preserve"> 6 personas</t>
  </si>
  <si>
    <t xml:space="preserve"> 7 personas</t>
  </si>
  <si>
    <t xml:space="preserve"> 8 personas</t>
  </si>
  <si>
    <t xml:space="preserve"> 9 personas</t>
  </si>
  <si>
    <t xml:space="preserve"> 10 personas</t>
  </si>
  <si>
    <t xml:space="preserve"> 11 personas o más</t>
  </si>
  <si>
    <t>TOTAL</t>
  </si>
  <si>
    <t>San Juan B.</t>
  </si>
  <si>
    <t>Hogares</t>
  </si>
  <si>
    <t>N</t>
  </si>
  <si>
    <t>Semanalmente</t>
  </si>
  <si>
    <t>Quincenalmente</t>
  </si>
  <si>
    <t>Mensualmente</t>
  </si>
  <si>
    <t>Bimestralmente</t>
  </si>
  <si>
    <t>Otros</t>
  </si>
  <si>
    <t>Población Iquitos Metropolitano</t>
  </si>
  <si>
    <t>Resumen</t>
  </si>
  <si>
    <t>Estadísticas de la regresión</t>
  </si>
  <si>
    <t>Coeficiente de correlación múltiple</t>
  </si>
  <si>
    <t>Coeficiente de determinación R^2</t>
  </si>
  <si>
    <t>R^2  ajustado</t>
  </si>
  <si>
    <t>Error típico</t>
  </si>
  <si>
    <t>Observaciones</t>
  </si>
  <si>
    <t>ANÁLISIS DE VARIANZA</t>
  </si>
  <si>
    <t>Regresión</t>
  </si>
  <si>
    <t>Residuos</t>
  </si>
  <si>
    <t>Intercepción</t>
  </si>
  <si>
    <t>Grados de libertad</t>
  </si>
  <si>
    <t>Suma de cuadrados</t>
  </si>
  <si>
    <t>Promedio de los cuadrados</t>
  </si>
  <si>
    <t>F</t>
  </si>
  <si>
    <t>Valor crítico de F</t>
  </si>
  <si>
    <t>Coeficientes</t>
  </si>
  <si>
    <t>Estadístico t</t>
  </si>
  <si>
    <t>Probabilidad</t>
  </si>
  <si>
    <t>Inferior 95%</t>
  </si>
  <si>
    <t>Superior 95%</t>
  </si>
  <si>
    <t>Inferior 95.0%</t>
  </si>
  <si>
    <t>Superior 95.0%</t>
  </si>
  <si>
    <t>Variable X 1</t>
  </si>
  <si>
    <t>Variable X 2</t>
  </si>
  <si>
    <t>Variable X 3</t>
  </si>
  <si>
    <t>Variable X 4</t>
  </si>
  <si>
    <t>Variable X 5</t>
  </si>
  <si>
    <t>Variable X 6</t>
  </si>
  <si>
    <t>Variable X 7</t>
  </si>
  <si>
    <t>Variable X 8</t>
  </si>
  <si>
    <t>Variable X 9</t>
  </si>
  <si>
    <t>Variable X 10</t>
  </si>
  <si>
    <t>Variable X 11</t>
  </si>
  <si>
    <t>Años</t>
  </si>
  <si>
    <t># de habitantes</t>
  </si>
  <si>
    <t># de habitantes por hogar</t>
  </si>
  <si>
    <t># de hogares</t>
  </si>
  <si>
    <t># de personas</t>
  </si>
  <si>
    <t># prom. de habitantes</t>
  </si>
  <si>
    <t># de hogares por NSE</t>
  </si>
  <si>
    <t>A/B</t>
  </si>
  <si>
    <t>C</t>
  </si>
  <si>
    <t>D</t>
  </si>
  <si>
    <t>E</t>
  </si>
  <si>
    <t>20 días</t>
  </si>
  <si>
    <t>Mes y medio</t>
  </si>
  <si>
    <t>3 meses</t>
  </si>
  <si>
    <t>4 meses</t>
  </si>
  <si>
    <t>Frecuencia</t>
  </si>
  <si>
    <t>Demanda mensual</t>
  </si>
  <si>
    <t>-</t>
  </si>
  <si>
    <t>Factor de multip.</t>
  </si>
  <si>
    <t>Oferta anual</t>
  </si>
  <si>
    <t>Número</t>
  </si>
  <si>
    <t>% de consumo</t>
  </si>
  <si>
    <t># de restaurantes</t>
  </si>
  <si>
    <t>% de variación</t>
  </si>
  <si>
    <t>Diario</t>
  </si>
  <si>
    <t>Interdiario</t>
  </si>
  <si>
    <t>3 días</t>
  </si>
  <si>
    <t>5 días</t>
  </si>
  <si>
    <t>15 días</t>
  </si>
  <si>
    <t># de restaur.</t>
  </si>
  <si>
    <t># de balones comprados por pedido</t>
  </si>
  <si>
    <t>5 o más</t>
  </si>
  <si>
    <t># de restaurantes encuestados</t>
  </si>
  <si>
    <t>Demanda anual hogares</t>
  </si>
  <si>
    <t>Demanda anual restaurantes</t>
  </si>
  <si>
    <t>DEMANDA TOTAL (10 Kg.)</t>
  </si>
  <si>
    <t>Peso ponderado</t>
  </si>
  <si>
    <t>Puntaje</t>
  </si>
  <si>
    <t>Peso</t>
  </si>
  <si>
    <t>Fatores Internos</t>
  </si>
  <si>
    <t>FORTALEZAS</t>
  </si>
  <si>
    <t>Producto de calidad y alineado a los más altos estándares de seguridad establecidos por ley.</t>
  </si>
  <si>
    <t>DEBILIDADES</t>
  </si>
  <si>
    <t>Costos logísticos altos.</t>
  </si>
  <si>
    <t>Empresa nueva en el mercado.</t>
  </si>
  <si>
    <t>Precio del producto acorde al promedio de aquellos presentes en el mercado.</t>
  </si>
  <si>
    <t>Planeamiento de mejores campañas publicitarias.</t>
  </si>
  <si>
    <t>No poseer línea de productos (solo se comercializarán balones de 10 Kg.).</t>
  </si>
  <si>
    <t>AMENAZAS</t>
  </si>
  <si>
    <t>OPORTUNIDADES</t>
  </si>
  <si>
    <t>Factores Externos</t>
  </si>
  <si>
    <t>Bajo consumo a nivel departamental de GLP para cocinar.</t>
  </si>
  <si>
    <t>Incremento en el aporte al PBI por parte de los restaurantes.</t>
  </si>
  <si>
    <t>Alto poder de negociación de los proveedores.</t>
  </si>
  <si>
    <t>Precio del producto elevado en comparación al promedio de los productos sustitutos.</t>
  </si>
  <si>
    <t>Alianza con una marca líder en el mercado nacional y de gran presencia.</t>
  </si>
  <si>
    <t>RESULTADOS MATRIZ EXTERNA</t>
  </si>
  <si>
    <t>RESULTADOS MATRIZ INTERNA</t>
  </si>
  <si>
    <t>Estrategias FO</t>
  </si>
  <si>
    <t>Estrategias DO</t>
  </si>
  <si>
    <t>Estrategias FA</t>
  </si>
  <si>
    <t>Estrategias DA</t>
  </si>
  <si>
    <t>• Comenzar a gestionar a futuro la línea de productos, como balones de 45 Kg. o servicio de abastecimiento de GLP a granel.                                • Elevar el concepto de calidad y seguridad del producto a comercializar para así lograr diferenciarlo de los productos sustitutos y convencer al cliente del valor agregado que tiene.</t>
  </si>
  <si>
    <t>Factor</t>
  </si>
  <si>
    <t>F1</t>
  </si>
  <si>
    <t>F2</t>
  </si>
  <si>
    <t>F3</t>
  </si>
  <si>
    <t>F4</t>
  </si>
  <si>
    <t>F5</t>
  </si>
  <si>
    <t>F6</t>
  </si>
  <si>
    <t>Poderación</t>
  </si>
  <si>
    <t>Precio</t>
  </si>
  <si>
    <t>F1:</t>
  </si>
  <si>
    <t>F2:</t>
  </si>
  <si>
    <t>F3:</t>
  </si>
  <si>
    <t>F5:</t>
  </si>
  <si>
    <t>F6:</t>
  </si>
  <si>
    <t>F4:</t>
  </si>
  <si>
    <t>Tamaño</t>
  </si>
  <si>
    <t>Accesibilidad</t>
  </si>
  <si>
    <t>Cercanía</t>
  </si>
  <si>
    <t>Desarrollo comercial</t>
  </si>
  <si>
    <t>Zona</t>
  </si>
  <si>
    <t>Terreno</t>
  </si>
  <si>
    <t>Terreno 1</t>
  </si>
  <si>
    <t>Terreno 2</t>
  </si>
  <si>
    <t>Terreno 3</t>
  </si>
  <si>
    <t>F1 (25.00%)</t>
  </si>
  <si>
    <t>F2 (18.33%)</t>
  </si>
  <si>
    <t>F3 (11.67%)</t>
  </si>
  <si>
    <t>F4 (11.67%)</t>
  </si>
  <si>
    <t>F5 (11.67%)</t>
  </si>
  <si>
    <t>F6 (21.67%)</t>
  </si>
  <si>
    <t>Modelo</t>
  </si>
  <si>
    <t>Capacidad de carga bruta</t>
  </si>
  <si>
    <t>Mejoras realizadas</t>
  </si>
  <si>
    <t>Hyundai</t>
  </si>
  <si>
    <t>HD 120</t>
  </si>
  <si>
    <t>8.5 TN = 650 balones</t>
  </si>
  <si>
    <t>HD 78</t>
  </si>
  <si>
    <t>Precio (S/.)</t>
  </si>
  <si>
    <t>Precio (USD)</t>
  </si>
  <si>
    <t>Precio de las mejoras (S/.)</t>
  </si>
  <si>
    <t>Precio final (S/.)</t>
  </si>
  <si>
    <t>5.5 TN = 275 balones</t>
  </si>
  <si>
    <t>Precio dólar</t>
  </si>
  <si>
    <t>Precio de la mejora (S/.)</t>
  </si>
  <si>
    <t>Extintor UL 10A 120B C Polvo Químico Seco ABC Modelo A411 (20 Libras)</t>
  </si>
  <si>
    <t>Silenciador mata chispa</t>
  </si>
  <si>
    <t>Carrocería doble eje de madera (adecuadamente pintada y señalizada)</t>
  </si>
  <si>
    <t>Foto referencial</t>
  </si>
  <si>
    <t>Precio de la mejora (USD)</t>
  </si>
  <si>
    <t>Carrocería simple de madera (adecuadamente pintada y señalizada)</t>
  </si>
  <si>
    <t>Extintor UL 10A 120B C Polvo Químico Seco ABC Modelo B456 (10 Libras)</t>
  </si>
  <si>
    <t>Demanda anual</t>
  </si>
  <si>
    <t>Demanda diaria del proyecto</t>
  </si>
  <si>
    <t>Dirección</t>
  </si>
  <si>
    <t>Área de terreno</t>
  </si>
  <si>
    <t>Área construida</t>
  </si>
  <si>
    <t>Por el Frente</t>
  </si>
  <si>
    <t>Por la Derecha</t>
  </si>
  <si>
    <t>Por la Izquierda</t>
  </si>
  <si>
    <t>Por el Fondo</t>
  </si>
  <si>
    <t>19.5 m</t>
  </si>
  <si>
    <t>127.7 m</t>
  </si>
  <si>
    <t>92.3 m</t>
  </si>
  <si>
    <t>58.5 m</t>
  </si>
  <si>
    <t>Av. Guardia Civil #563</t>
  </si>
  <si>
    <t>Tipo de zona</t>
  </si>
  <si>
    <t>Urbana</t>
  </si>
  <si>
    <t>Prolongación Las Camelias Km 2</t>
  </si>
  <si>
    <t>San Juan</t>
  </si>
  <si>
    <t>Rural</t>
  </si>
  <si>
    <t>3,292.30 m²</t>
  </si>
  <si>
    <t>2,289.30 m²</t>
  </si>
  <si>
    <t>Av. Abelardo Quiñonez Km 2.5</t>
  </si>
  <si>
    <t>2,579.50 m²</t>
  </si>
  <si>
    <t>2,232.90 m²</t>
  </si>
  <si>
    <t>39.6 m</t>
  </si>
  <si>
    <t>54.2 m</t>
  </si>
  <si>
    <t>55.48 m</t>
  </si>
  <si>
    <t>50 m</t>
  </si>
  <si>
    <t>2,500.00 m²</t>
  </si>
  <si>
    <t>Jr. Maynas #840</t>
  </si>
  <si>
    <t>Alquiler (USD)</t>
  </si>
  <si>
    <t>Alquiler (S/.)</t>
  </si>
  <si>
    <t>10.2 m</t>
  </si>
  <si>
    <t>51 m</t>
  </si>
  <si>
    <t>12.8 m</t>
  </si>
  <si>
    <t>589 m²</t>
  </si>
  <si>
    <t>Calle Periodistas #793</t>
  </si>
  <si>
    <t>145 m²</t>
  </si>
  <si>
    <t>10 m</t>
  </si>
  <si>
    <t>14.5 m</t>
  </si>
  <si>
    <t>Calle Moore #235</t>
  </si>
  <si>
    <t>133.1 m²</t>
  </si>
  <si>
    <t>12.1 m</t>
  </si>
  <si>
    <t>11 m</t>
  </si>
  <si>
    <t>136.68 m²</t>
  </si>
  <si>
    <t>Calle Castilla #442</t>
  </si>
  <si>
    <t>13.4 m</t>
  </si>
  <si>
    <t>F1 (37.50%)</t>
  </si>
  <si>
    <t>F2 (29.17%)</t>
  </si>
  <si>
    <t>F3 (16.67%)</t>
  </si>
  <si>
    <t>F4 (16.67%)</t>
  </si>
  <si>
    <t>Terreno 4</t>
  </si>
  <si>
    <t>Decripción</t>
  </si>
  <si>
    <t>Unidades Requeridas</t>
  </si>
  <si>
    <t>Ítem</t>
  </si>
  <si>
    <t>Extintor UL 10A 160B C Alta Performance Polvo Químico Seco ABC (30 libras)</t>
  </si>
  <si>
    <t>Impresora HP Multifuncional Deskjet GT5820</t>
  </si>
  <si>
    <t>Sillón Gerencial Negro Asenti 226296-7</t>
  </si>
  <si>
    <t>Sillón Cuertina Negro Asenti 234488-2</t>
  </si>
  <si>
    <t>Sillón Ejecutivo Negro Karson 161564-5</t>
  </si>
  <si>
    <t>Computadora de Escritorio HP All In One 20-R010zw</t>
  </si>
  <si>
    <t>Escritorio Canarias Asenti 226236-3</t>
  </si>
  <si>
    <t>Escritorio Tripoli Asenti 226225-8</t>
  </si>
  <si>
    <t>Escritorio de Vidrio Asenti 226731-4</t>
  </si>
  <si>
    <t>Kit de 4 Cámaras de Seguridad HD Hik Vision + DVR Hik Vision Turbo HD</t>
  </si>
  <si>
    <t>Teléfono Panasonic KX-TSC11B</t>
  </si>
  <si>
    <t>Sillón Fijo Iso Negro Asenti 1112-6</t>
  </si>
  <si>
    <t>Nokia 310</t>
  </si>
  <si>
    <t>Nokia 105</t>
  </si>
  <si>
    <t>Lifan</t>
  </si>
  <si>
    <t>Cargo 200</t>
  </si>
  <si>
    <t>10 balones</t>
  </si>
  <si>
    <t>Chacarera 150</t>
  </si>
  <si>
    <t>3 balones</t>
  </si>
  <si>
    <t>Consumo diario de combustible</t>
  </si>
  <si>
    <t>1 gal</t>
  </si>
  <si>
    <t>4/3 gal</t>
  </si>
  <si>
    <t>Clase</t>
  </si>
  <si>
    <t>Categoría</t>
  </si>
  <si>
    <t>Tarifa (S/./m³)</t>
  </si>
  <si>
    <t>Social</t>
  </si>
  <si>
    <t>Doméstico</t>
  </si>
  <si>
    <t>Comercial</t>
  </si>
  <si>
    <t>Industrial</t>
  </si>
  <si>
    <t>Estatal</t>
  </si>
  <si>
    <t>Residencial</t>
  </si>
  <si>
    <t>No Residencial</t>
  </si>
  <si>
    <t>Servicio</t>
  </si>
  <si>
    <t>Agua y desagüe</t>
  </si>
  <si>
    <t>Energía eléctrica</t>
  </si>
  <si>
    <t>Recojo de R.R.S.S.</t>
  </si>
  <si>
    <t>Proveedor</t>
  </si>
  <si>
    <t>Tarifa</t>
  </si>
  <si>
    <t>m³</t>
  </si>
  <si>
    <t>kW/h</t>
  </si>
  <si>
    <t>mes</t>
  </si>
  <si>
    <t>Electro Oriente S.A.</t>
  </si>
  <si>
    <t>Autonomía</t>
  </si>
  <si>
    <t>17 km/gal</t>
  </si>
  <si>
    <t>21 km/gal</t>
  </si>
  <si>
    <t>75 km/gal</t>
  </si>
  <si>
    <t>100 km/gal</t>
  </si>
  <si>
    <t>Sedaloreto S.A.</t>
  </si>
  <si>
    <t>75 km</t>
  </si>
  <si>
    <t>133.3 km</t>
  </si>
  <si>
    <t>Distancia recorrida por día</t>
  </si>
  <si>
    <t>59.5 km</t>
  </si>
  <si>
    <t>3.5 gal</t>
  </si>
  <si>
    <t>31.5 km</t>
  </si>
  <si>
    <t>1.5 gal</t>
  </si>
  <si>
    <t>Distancia promedio recorrida por día</t>
  </si>
  <si>
    <t>Precio promedio de combustible</t>
  </si>
  <si>
    <t>Precio promedio de combustible (Gas 90)</t>
  </si>
  <si>
    <t>Costo promedio diario (2018)</t>
  </si>
  <si>
    <t>Costo promedio diario (2019)</t>
  </si>
  <si>
    <t>Costo promedio diario (2020)</t>
  </si>
  <si>
    <t>Costo promedio diario (2021)</t>
  </si>
  <si>
    <t>#</t>
  </si>
  <si>
    <t>Actividades del proceso</t>
  </si>
  <si>
    <t>Inicio del proceso</t>
  </si>
  <si>
    <t>Gerente General</t>
  </si>
  <si>
    <t>Proveedor (Solgas Perú)</t>
  </si>
  <si>
    <t>Generar orden de compra SCOP</t>
  </si>
  <si>
    <t>Aprobar orden de compra pendiente</t>
  </si>
  <si>
    <t>Emitir factura por mercadería y transporte</t>
  </si>
  <si>
    <t>Asistente Gerencial (Pucallpa)</t>
  </si>
  <si>
    <t>Verificar estado y volumen de la mercadería</t>
  </si>
  <si>
    <t>¿Los cilindros están en buenas condiciones y concuerdan con el volumen pedido?</t>
  </si>
  <si>
    <t>Diagrama de Flujo</t>
  </si>
  <si>
    <t>Generar reporte de mercancía faltante y/o en mal estado para Solgas</t>
  </si>
  <si>
    <t>Devolver cilindros en mal estado</t>
  </si>
  <si>
    <t>Cancelar factura por total de cilindros arribados en buen estado</t>
  </si>
  <si>
    <t>Transportar mercadería al puerto de Pucallpa</t>
  </si>
  <si>
    <t>Transportar mercadería al puerto de Iquitos</t>
  </si>
  <si>
    <t>Empresa de transporte fluvial (Dos Mil E.I.R.L.)</t>
  </si>
  <si>
    <t>Asistente Gerencial (Iquitos)</t>
  </si>
  <si>
    <t>Aprobar pago por total de cilindros arribados en buen estado</t>
  </si>
  <si>
    <t>¿Los cilindros están en buenas condiciones y concuerdan con el volumen despachado en el puerto de Pucallpa?</t>
  </si>
  <si>
    <t>Emitir factura por transporte fluvial</t>
  </si>
  <si>
    <t>Aprobar pago por transporte fluvial por los cilindros en buen estado</t>
  </si>
  <si>
    <t>Generar guía de remisión (Trujillo - Puerto de Pucallpa)</t>
  </si>
  <si>
    <t>Generar guía de remisión (Puerto de Pucallpa - Puerto de Iquitos)</t>
  </si>
  <si>
    <t>Transportar mercadería al almacén principal</t>
  </si>
  <si>
    <t>Chofer del camión de 8.5 TN</t>
  </si>
  <si>
    <t>Generar reporte de mercancía faltante y/o en mal estado para Dos Mil</t>
  </si>
  <si>
    <t>Generar guía de remisión (Puerto de Iquitos - Almacén Principal)</t>
  </si>
  <si>
    <t>Generar guía de remisión (Almacén Principal - Puntos de Venta)</t>
  </si>
  <si>
    <t>Transportar mercadería a los puntos de venta</t>
  </si>
  <si>
    <t>Fin del proceso</t>
  </si>
  <si>
    <t>Chofer del camión de 5.5 TN</t>
  </si>
  <si>
    <t>Cliente</t>
  </si>
  <si>
    <t>Gestor Comercial</t>
  </si>
  <si>
    <t>Vendedor</t>
  </si>
  <si>
    <t>Acercarse al local de su conveniencia</t>
  </si>
  <si>
    <t>Realizar llamada</t>
  </si>
  <si>
    <t>Despachar producto</t>
  </si>
  <si>
    <t>Tomar datos del cliente</t>
  </si>
  <si>
    <t>Contactar al vendedor más conveniente</t>
  </si>
  <si>
    <t>¿El vendedor cuenta con la capacidad necesaria para poder abastecer al cliente?</t>
  </si>
  <si>
    <t>Regresar a local de conveniencia a recargar carga</t>
  </si>
  <si>
    <t>Llevar el pedido al cliente</t>
  </si>
  <si>
    <t>Instalar el producto</t>
  </si>
  <si>
    <t>Generar factura o boleta de venta</t>
  </si>
  <si>
    <t>Cancelar factura o boleta de compra</t>
  </si>
  <si>
    <t>¿El cliente requiere el servicio de delivery?</t>
  </si>
  <si>
    <t>Internet y telefonía fija</t>
  </si>
  <si>
    <t>Movistar</t>
  </si>
  <si>
    <t>Costo promedio mensual (2018)</t>
  </si>
  <si>
    <t>Costo promedio mensual (2019)</t>
  </si>
  <si>
    <t>Costo promedio mensual (2020)</t>
  </si>
  <si>
    <t>Costo promedio mensual (2021)</t>
  </si>
  <si>
    <t>Razón social</t>
  </si>
  <si>
    <t>Abastible Gas del Perú S.A.C.</t>
  </si>
  <si>
    <t>Sachaca</t>
  </si>
  <si>
    <t xml:space="preserve">KM. 3.5 VARIANTE DE UCHUMAYO </t>
  </si>
  <si>
    <t xml:space="preserve">CARRETERA CENTRAL KM. 7.5 - SAN AGUSTIN DE CAJAS </t>
  </si>
  <si>
    <t>Huacayo</t>
  </si>
  <si>
    <t>Huancayo</t>
  </si>
  <si>
    <t xml:space="preserve">MZ. A LOTES 4-9 URB. SANTA LEONOR </t>
  </si>
  <si>
    <t>Trujillo</t>
  </si>
  <si>
    <t xml:space="preserve">MZ. C LOTES 17-18-19 PARQUE INDUSTRIAL </t>
  </si>
  <si>
    <t>Chiclayo</t>
  </si>
  <si>
    <t>Pimentel</t>
  </si>
  <si>
    <t xml:space="preserve">AUTOPISTA VENTANILLA KM. 16.5 </t>
  </si>
  <si>
    <t>Ventanilla</t>
  </si>
  <si>
    <t xml:space="preserve">INTERSECCIONES MZ. G JR. N° 3 ZONA INDUSTRIAL </t>
  </si>
  <si>
    <t>ALTURA KM. 10 CARRETERA FEDERICO BASADRE. A 800 MTS. MARGEN IZQUIERDO</t>
  </si>
  <si>
    <t>Coronel Portillo</t>
  </si>
  <si>
    <t>Yarinacocha</t>
  </si>
  <si>
    <t xml:space="preserve">AV. NICOLAS DE PIEROLA N° 107 URB. SEMI-RURAL PACHACUTEC </t>
  </si>
  <si>
    <t>Cerro Colorado</t>
  </si>
  <si>
    <t>Zeta Gas Andino S.A.</t>
  </si>
  <si>
    <t xml:space="preserve">CARRETERA AEROPUERTO KM. 4.2 </t>
  </si>
  <si>
    <t xml:space="preserve">AV. PROLONGACION JUAN SANTOS ATAHUALPA N° 602-698 </t>
  </si>
  <si>
    <t>Tarma</t>
  </si>
  <si>
    <t xml:space="preserve">CALLE REAL OVALO LA MARINA LOTE 50 </t>
  </si>
  <si>
    <t xml:space="preserve">MZ. M-I URB. OQUENDO </t>
  </si>
  <si>
    <t>Lima Gas S.A.</t>
  </si>
  <si>
    <t xml:space="preserve">LOTE 8 MZ. Ñ ASOCIACION CENTRO INDUSTRIAL LAS CANTEÑAS </t>
  </si>
  <si>
    <t xml:space="preserve">AV. CAMINO A LA VICTORIA No 702 </t>
  </si>
  <si>
    <t xml:space="preserve">MZ. F-1 LOTE 9 PARQUE INDUSTRIAL </t>
  </si>
  <si>
    <t xml:space="preserve">MZ. C LOTES 33-34-35 PARQUE INDUSTRIAL </t>
  </si>
  <si>
    <t xml:space="preserve">CALLE A. ZONA 7. FUNDO BOCANEGRA </t>
  </si>
  <si>
    <t xml:space="preserve">MZ. A 11-12. LOTE 6-B. ZONA INDUSTRIAL </t>
  </si>
  <si>
    <t xml:space="preserve">PARQUE INDUSTRIAL TAPARACHI MZ-D. LOTE 15-B </t>
  </si>
  <si>
    <t>San Román</t>
  </si>
  <si>
    <t>Juliaca</t>
  </si>
  <si>
    <t>Zeta Gas</t>
  </si>
  <si>
    <t>Solgas</t>
  </si>
  <si>
    <t>Lima Gas</t>
  </si>
  <si>
    <t>Precio Unitario</t>
  </si>
  <si>
    <t>Número de plantas a nivel nacional</t>
  </si>
  <si>
    <t>Pluspetrol</t>
  </si>
  <si>
    <t>Porcentaje de participación en el costo logístico</t>
  </si>
  <si>
    <t>F2 (25.00%)</t>
  </si>
  <si>
    <t>F3 (25.00%)</t>
  </si>
  <si>
    <t>F4 (25.00%)</t>
  </si>
  <si>
    <t>Puesto</t>
  </si>
  <si>
    <t>Grado de instrucción</t>
  </si>
  <si>
    <t>Gatificación (JUL &amp; DIC)</t>
  </si>
  <si>
    <t>Seguro Social (mensual)</t>
  </si>
  <si>
    <t>Asistente Gerencial</t>
  </si>
  <si>
    <t>Chofer de camión</t>
  </si>
  <si>
    <t>Estibador</t>
  </si>
  <si>
    <t>Profesional</t>
  </si>
  <si>
    <t>Técnico</t>
  </si>
  <si>
    <t>Plazas 2018</t>
  </si>
  <si>
    <t>Plazas 2019</t>
  </si>
  <si>
    <t>Plazas 2020</t>
  </si>
  <si>
    <t>Plazas 2021</t>
  </si>
  <si>
    <t>Plazas 2022</t>
  </si>
  <si>
    <t>Descripción</t>
  </si>
  <si>
    <t>Cerco perimétrico</t>
  </si>
  <si>
    <t>1.1.</t>
  </si>
  <si>
    <t>Materiales</t>
  </si>
  <si>
    <t>CEMENTO</t>
  </si>
  <si>
    <t>ARENA GRUESA</t>
  </si>
  <si>
    <t>ARENA FINA</t>
  </si>
  <si>
    <t>PIEDRA GRANDE DE 6" A 8"</t>
  </si>
  <si>
    <t>FIERRO  DE 12  mm.</t>
  </si>
  <si>
    <t>FIERRO DE 3/8"</t>
  </si>
  <si>
    <t>FIERRO DE 8mm</t>
  </si>
  <si>
    <t>FIERRO DE 6 MM</t>
  </si>
  <si>
    <t>ALAMBRE Nº 16</t>
  </si>
  <si>
    <t>ALAMBRE Nº 08</t>
  </si>
  <si>
    <t>CLAVOS</t>
  </si>
  <si>
    <t>BLOQUES DINO DE 12 CM</t>
  </si>
  <si>
    <t>PUERTAS DE FIERRO</t>
  </si>
  <si>
    <t>CAJAS OCTOGONALES</t>
  </si>
  <si>
    <t>CAJAS RECTANGULARES</t>
  </si>
  <si>
    <t>TUBO DE 3/4" LUZ</t>
  </si>
  <si>
    <t>CURVAS DE 3/4"</t>
  </si>
  <si>
    <t>PEGAMENTO</t>
  </si>
  <si>
    <t>FLUORESCENTES</t>
  </si>
  <si>
    <t>INTERRUPTORES</t>
  </si>
  <si>
    <t>TOMACORRIENTES</t>
  </si>
  <si>
    <t>ALAMBRE ELECTRICO Nº 10</t>
  </si>
  <si>
    <t>ALAMBRE ELECTRICO Nº 12</t>
  </si>
  <si>
    <t>ALAMBRE ELECTRICO Nº 14</t>
  </si>
  <si>
    <t xml:space="preserve">TABLERO DE DISTRIBUCION </t>
  </si>
  <si>
    <t xml:space="preserve">LLAVE TERMOMAGNETICA </t>
  </si>
  <si>
    <t>MEDIDOR TRIFASICO</t>
  </si>
  <si>
    <t>ACCESORIOS DE INST. ELECTRICA</t>
  </si>
  <si>
    <t>HORMIGÓN</t>
  </si>
  <si>
    <t>PIEDRA CHANCADA 3/4"</t>
  </si>
  <si>
    <t>LLAVE TERMOMAGNETICA TRIFÁSICA</t>
  </si>
  <si>
    <t>Unidad</t>
  </si>
  <si>
    <t>bolsa</t>
  </si>
  <si>
    <t>galón</t>
  </si>
  <si>
    <t>rollo</t>
  </si>
  <si>
    <t>global</t>
  </si>
  <si>
    <t>m²</t>
  </si>
  <si>
    <t>varilla</t>
  </si>
  <si>
    <t>unidad</t>
  </si>
  <si>
    <t>Kg</t>
  </si>
  <si>
    <t>Costo unitario</t>
  </si>
  <si>
    <t>Cantidad</t>
  </si>
  <si>
    <t>Costo total</t>
  </si>
  <si>
    <t>1.2.</t>
  </si>
  <si>
    <t>Mano de obra</t>
  </si>
  <si>
    <t>CIMIENTO</t>
  </si>
  <si>
    <t>SOBRECIMIENTO</t>
  </si>
  <si>
    <t>COLUMNAS 1ER. TRAMO</t>
  </si>
  <si>
    <t>COLUMNAS 2DO. TRAMO</t>
  </si>
  <si>
    <t>VIGAS INTERMEDIAS</t>
  </si>
  <si>
    <t>VIGAS FINALES</t>
  </si>
  <si>
    <t xml:space="preserve">MUROS DE BLOQUES DINO 12 cm. </t>
  </si>
  <si>
    <t>TARRAJEO DE COLUMNAS</t>
  </si>
  <si>
    <t>TARRAJEO DE VIGAS</t>
  </si>
  <si>
    <t>INSTALACIONES ELECTRICAS</t>
  </si>
  <si>
    <t>m</t>
  </si>
  <si>
    <t>ZAPATAS 1.20 x 1.20 m</t>
  </si>
  <si>
    <t>L1</t>
  </si>
  <si>
    <t>L2</t>
  </si>
  <si>
    <t>L3</t>
  </si>
  <si>
    <t>L4</t>
  </si>
  <si>
    <t>MUROS DE BLOQUES DINO 12 cm</t>
  </si>
  <si>
    <t>Patio de almacenamiento y maniobras</t>
  </si>
  <si>
    <t>GRAVILLA</t>
  </si>
  <si>
    <t>NIVELACION, REFINE Y COMPACTADO</t>
  </si>
  <si>
    <t>INSTALACIONES SANITARIAS</t>
  </si>
  <si>
    <t>PISO DE CONCRETO</t>
  </si>
  <si>
    <t>Oficinas administrativas</t>
  </si>
  <si>
    <t>2.1.</t>
  </si>
  <si>
    <t>2.2.</t>
  </si>
  <si>
    <t>3.1.</t>
  </si>
  <si>
    <t>FIERRO DE 1/2"</t>
  </si>
  <si>
    <t>LADRILLO DE ARCILLA QUEMADA</t>
  </si>
  <si>
    <t>PUERTAS DE MADERA</t>
  </si>
  <si>
    <t>LIJA</t>
  </si>
  <si>
    <t>SINOLID</t>
  </si>
  <si>
    <t>PEGAMENTO PARA CERAMICA</t>
  </si>
  <si>
    <t>FRAGUA</t>
  </si>
  <si>
    <t>INODORO</t>
  </si>
  <si>
    <t xml:space="preserve">LAVATORIO </t>
  </si>
  <si>
    <t>TUBO DE 4"</t>
  </si>
  <si>
    <t>TUBO DE 2"</t>
  </si>
  <si>
    <t>TUBO DE 3/4" AGUA</t>
  </si>
  <si>
    <t>TUBO DE 1/2"</t>
  </si>
  <si>
    <t>ACCESORIOS DE AGUA Y DESAGUE</t>
  </si>
  <si>
    <t>KIT DE BAÑO COMPLETO</t>
  </si>
  <si>
    <t>3.2.</t>
  </si>
  <si>
    <t xml:space="preserve">COLUMNAS </t>
  </si>
  <si>
    <t>VIGAS</t>
  </si>
  <si>
    <t>TECHO ALIGERADO</t>
  </si>
  <si>
    <t>ESCALERA DE CONCRETO</t>
  </si>
  <si>
    <t>TARRAJEO DE CIELORASO</t>
  </si>
  <si>
    <t>TARRAJEO DE COLUMNAS Y MUROS</t>
  </si>
  <si>
    <t>PINTURA</t>
  </si>
  <si>
    <t>CONTRAPISO</t>
  </si>
  <si>
    <t>COLOCACION DE APARATOS SANIT.</t>
  </si>
  <si>
    <t>pliego</t>
  </si>
  <si>
    <t>COSTO TOTAL DEL TERRENO</t>
  </si>
  <si>
    <t>VENTANA DE VIDRIO de 6 mm</t>
  </si>
  <si>
    <t>CERAMICA PARA PISO Y PARED</t>
  </si>
  <si>
    <t>ASENTADO DE LOSETAS</t>
  </si>
  <si>
    <t>COSTO TOTAL</t>
  </si>
  <si>
    <t>PROMEDIO</t>
  </si>
  <si>
    <t>Concepto /Mes</t>
  </si>
  <si>
    <t>Demanda</t>
  </si>
  <si>
    <t>Ingresos</t>
  </si>
  <si>
    <t>PRECIO Venta</t>
  </si>
  <si>
    <t>PRECIO compra</t>
  </si>
  <si>
    <t>Costo del prod.</t>
  </si>
  <si>
    <t>Remuneraciones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</si>
  <si>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</si>
  <si>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</si>
  <si>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</si>
  <si>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</si>
  <si>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</si>
  <si>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</si>
  <si>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</si>
  <si>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</si>
  <si>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</si>
  <si>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</si>
  <si>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</si>
  <si>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</si>
  <si>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CTS                (MAY &amp; NOV)</t>
  </si>
  <si>
    <t>Costo logístico</t>
  </si>
  <si>
    <t>Transporte de balones llenos</t>
  </si>
  <si>
    <t>Transporte de balones vacíos</t>
  </si>
  <si>
    <t>Estiba en Pucallp (llenos)</t>
  </si>
  <si>
    <t>Estiba en Pucallp (vacíos)</t>
  </si>
  <si>
    <t>Servicios</t>
  </si>
  <si>
    <t>Alquiler</t>
  </si>
  <si>
    <t>Publicidad</t>
  </si>
  <si>
    <t>Combustible</t>
  </si>
  <si>
    <t>Egresos</t>
  </si>
  <si>
    <t>Ingresos - Egresos</t>
  </si>
  <si>
    <t>Saldo acumulado</t>
  </si>
  <si>
    <t>Ubicación</t>
  </si>
  <si>
    <t>Área</t>
  </si>
  <si>
    <t>Alquiler mensual</t>
  </si>
  <si>
    <t>Pintura (gal)</t>
  </si>
  <si>
    <t>Precio por galón</t>
  </si>
  <si>
    <t>Costo de inversión</t>
  </si>
  <si>
    <t>Construcción del almacén principal</t>
  </si>
  <si>
    <t>Alquiler de los puntos de venta</t>
  </si>
  <si>
    <t>Vehículos</t>
  </si>
  <si>
    <t>Costo</t>
  </si>
  <si>
    <t>Inversión en activos tangibles</t>
  </si>
  <si>
    <t>Búsqueda y reserva de nombre en SUNARP</t>
  </si>
  <si>
    <t>Elaboración de minuta de constitución</t>
  </si>
  <si>
    <t>Escritura pública e inscripción en los registros públicos</t>
  </si>
  <si>
    <t>Inscripción de los trabajadores en EsSalud</t>
  </si>
  <si>
    <t>Autorización del libro de planillas</t>
  </si>
  <si>
    <t>Legalización de libros contables</t>
  </si>
  <si>
    <t>Capacitación del personal</t>
  </si>
  <si>
    <t>Office 365 (tres licencias)</t>
  </si>
  <si>
    <t>Anuncios en radio (primer mes)</t>
  </si>
  <si>
    <t>Vales de descuento</t>
  </si>
  <si>
    <t>Volantes</t>
  </si>
  <si>
    <t>Trámites de constitución</t>
  </si>
  <si>
    <t>Software</t>
  </si>
  <si>
    <t>Publicidad y promoción de apertura</t>
  </si>
  <si>
    <t>Inversión en activos intangibles</t>
  </si>
  <si>
    <t>Radio</t>
  </si>
  <si>
    <t>Cupones</t>
  </si>
  <si>
    <t>Capital de trabajo</t>
  </si>
  <si>
    <t>Monto de resguardo</t>
  </si>
  <si>
    <t>Inversión Total</t>
  </si>
  <si>
    <t>Aporte propio</t>
  </si>
  <si>
    <t>Deuda</t>
  </si>
  <si>
    <t>Constancia de inspección sanitaria</t>
  </si>
  <si>
    <t>Inspección Técnica de Seguridad a Edificaciones (INDECI)</t>
  </si>
  <si>
    <t>Entidad Financiera</t>
  </si>
  <si>
    <t>Comercio</t>
  </si>
  <si>
    <t>Crédito</t>
  </si>
  <si>
    <t>Financiero</t>
  </si>
  <si>
    <t>BIF</t>
  </si>
  <si>
    <t>Scotiabank</t>
  </si>
  <si>
    <t>Citibank</t>
  </si>
  <si>
    <t>Interbank</t>
  </si>
  <si>
    <t>Mibanco</t>
  </si>
  <si>
    <t>GNB</t>
  </si>
  <si>
    <t>Santander</t>
  </si>
  <si>
    <t>Tasa Efectiva Mensual</t>
  </si>
  <si>
    <t>Tasa Efectiva Anual</t>
  </si>
  <si>
    <t>Modalidad de pago</t>
  </si>
  <si>
    <t>60 cuotas mensuales</t>
  </si>
  <si>
    <t>Cuota</t>
  </si>
  <si>
    <t>ITF</t>
  </si>
  <si>
    <t>Periodo</t>
  </si>
  <si>
    <t>Fecha</t>
  </si>
  <si>
    <t>Saldo inicial</t>
  </si>
  <si>
    <t>Amortización</t>
  </si>
  <si>
    <t>Interés</t>
  </si>
  <si>
    <t>TOTAL / MES</t>
  </si>
  <si>
    <t>2015 - 2022</t>
  </si>
  <si>
    <t>Demanda 2018</t>
  </si>
  <si>
    <t>MES</t>
  </si>
  <si>
    <t>Saldo final</t>
  </si>
  <si>
    <t>Ventas (und.)</t>
  </si>
  <si>
    <t>PRESUPUESTO DE INGRESOS</t>
  </si>
  <si>
    <t>PRESUPUESTO DE EGRESOS</t>
  </si>
  <si>
    <t>Precio unitario</t>
  </si>
  <si>
    <t>Total de unidades (2018)</t>
  </si>
  <si>
    <t>Costo promedio diario (2022)</t>
  </si>
  <si>
    <t>TOTAL 2018</t>
  </si>
  <si>
    <t>TOTAL 2019</t>
  </si>
  <si>
    <t>TOTAL 2020</t>
  </si>
  <si>
    <t>TOTAL 2021</t>
  </si>
  <si>
    <t>TOTAL 2022</t>
  </si>
  <si>
    <t>TOTALES</t>
  </si>
  <si>
    <t>MOD 2018</t>
  </si>
  <si>
    <t>MOI 2018</t>
  </si>
  <si>
    <t>MOD 2019</t>
  </si>
  <si>
    <t>MOI 2019</t>
  </si>
  <si>
    <t>MOD 2020</t>
  </si>
  <si>
    <t>MOI 2020</t>
  </si>
  <si>
    <t>MOD 2021</t>
  </si>
  <si>
    <t>MOI 2021</t>
  </si>
  <si>
    <t>MOD 2022</t>
  </si>
  <si>
    <t>MOI 2022</t>
  </si>
  <si>
    <t>MOD</t>
  </si>
  <si>
    <t>MOI</t>
  </si>
  <si>
    <t>Presupuesto de mano de obra directa</t>
  </si>
  <si>
    <t>IGV</t>
  </si>
  <si>
    <t>Costo promedio mensual (2022)</t>
  </si>
  <si>
    <t>Presupuesto de insumos</t>
  </si>
  <si>
    <t>Combustible (sin IGV)</t>
  </si>
  <si>
    <t>Presupuesto de costos indirectos</t>
  </si>
  <si>
    <t>Alquileres</t>
  </si>
  <si>
    <t>Útiles de oficina</t>
  </si>
  <si>
    <t>Útiles de limpieza</t>
  </si>
  <si>
    <t>Enería eléctrica</t>
  </si>
  <si>
    <t>Internet y telefono</t>
  </si>
  <si>
    <t>Precio Unitatario</t>
  </si>
  <si>
    <t>Costo Total</t>
  </si>
  <si>
    <t>Telefonía móvil</t>
  </si>
  <si>
    <t>Legal - contable</t>
  </si>
  <si>
    <t>Mant. HD-120</t>
  </si>
  <si>
    <t>Mant. HD-65</t>
  </si>
  <si>
    <t>Mant. Moto</t>
  </si>
  <si>
    <t>Mant. Furgonetas</t>
  </si>
  <si>
    <t>Limpieza principal</t>
  </si>
  <si>
    <t>Limpieza secund.</t>
  </si>
  <si>
    <t>Mensual</t>
  </si>
  <si>
    <t>Furgonetas</t>
  </si>
  <si>
    <t>Total (sin IGV)</t>
  </si>
  <si>
    <t>Presupuesto de gastos de ventas</t>
  </si>
  <si>
    <t>Costo unit.</t>
  </si>
  <si>
    <t>Logist. Unit.</t>
  </si>
  <si>
    <t>Gasto logístico unit.</t>
  </si>
  <si>
    <t>Presupuesto de compras de producto</t>
  </si>
  <si>
    <t>Presupuesto de gastos financieros</t>
  </si>
  <si>
    <t>Interés del préstamo</t>
  </si>
  <si>
    <t>Insumos</t>
  </si>
  <si>
    <t>Costos indirectos</t>
  </si>
  <si>
    <t>Compras</t>
  </si>
  <si>
    <t>Gasto de ventas</t>
  </si>
  <si>
    <t>Gastos financieros</t>
  </si>
  <si>
    <t>Utilidades netas</t>
  </si>
  <si>
    <t>ESTADO DE GANANCIAS Y PÉRDIDAS</t>
  </si>
  <si>
    <t>Ventas netas</t>
  </si>
  <si>
    <t>TOTAL INGRESOS BRUTOS</t>
  </si>
  <si>
    <t>Costo de ventas</t>
  </si>
  <si>
    <t>UTILIDAD BRUTA</t>
  </si>
  <si>
    <t>Gastos administrativos</t>
  </si>
  <si>
    <t>Gastos de ventas</t>
  </si>
  <si>
    <t>UTILIDAD OPERATIVA</t>
  </si>
  <si>
    <t>Gastos de venta</t>
  </si>
  <si>
    <t>Depreciación</t>
  </si>
  <si>
    <t>UTILIDAD ANTES DEL IR</t>
  </si>
  <si>
    <t>Impuesto a la renta (29.5%)</t>
  </si>
  <si>
    <t>UTILIDAD NETA DEL EJERCICIO</t>
  </si>
  <si>
    <t>IR</t>
  </si>
  <si>
    <t>Presupuesto de costo de ventas</t>
  </si>
  <si>
    <t>ADM 2018</t>
  </si>
  <si>
    <t>ADM 2019</t>
  </si>
  <si>
    <t>ADM 2020</t>
  </si>
  <si>
    <t>ADM 2021</t>
  </si>
  <si>
    <t>ADM 2022</t>
  </si>
  <si>
    <t>ADM</t>
  </si>
  <si>
    <t>Presupuesto de gastos administrativos</t>
  </si>
  <si>
    <t>Sueldos administrat.</t>
  </si>
  <si>
    <t>Gastos administrat.</t>
  </si>
  <si>
    <t>Edificios (5%)</t>
  </si>
  <si>
    <t>Vehículos (20%)</t>
  </si>
  <si>
    <t>Muebles y enseres (10%)</t>
  </si>
  <si>
    <t>Muebles y enseres</t>
  </si>
  <si>
    <t>Equipos de proces.</t>
  </si>
  <si>
    <t>Equipos de procesamiento</t>
  </si>
  <si>
    <t>Tasa</t>
  </si>
  <si>
    <t>Equipos de proc. (25%)</t>
  </si>
  <si>
    <t>Costo del terreno</t>
  </si>
  <si>
    <t>Val. Res.</t>
  </si>
  <si>
    <t>MÓDULO DEL IGV</t>
  </si>
  <si>
    <t>TOTAL IGV Ingresos</t>
  </si>
  <si>
    <t>IGV Egresos</t>
  </si>
  <si>
    <t>IGV Ingresos</t>
  </si>
  <si>
    <t>Activos tangibles</t>
  </si>
  <si>
    <t>Activos intangibles</t>
  </si>
  <si>
    <t>TOTAL IGV Egresos</t>
  </si>
  <si>
    <t>TOTAL Ingresos</t>
  </si>
  <si>
    <t>FLUJO DE CAJA ECONÓMICO Y FINANCIERO</t>
  </si>
  <si>
    <t>Liquidación de activos</t>
  </si>
  <si>
    <t>Sin IGV</t>
  </si>
  <si>
    <t>INVERSIONES</t>
  </si>
  <si>
    <t>COSTOS DE OPERACIÓN</t>
  </si>
  <si>
    <t>Impuesto a la renta</t>
  </si>
  <si>
    <t>TOTAL Egresos</t>
  </si>
  <si>
    <t>FLUJO DE CAJA ECONÓMICO</t>
  </si>
  <si>
    <t>Monto total de la deuda</t>
  </si>
  <si>
    <t>Amortizaciones</t>
  </si>
  <si>
    <t>Intereses</t>
  </si>
  <si>
    <t>Escudo tributario</t>
  </si>
  <si>
    <t>FLUJO DE CAJA FINANCIERO NETO</t>
  </si>
  <si>
    <t>FLUJO DE CAJA FINANCIERO</t>
  </si>
  <si>
    <t>COSTOS FIJOS</t>
  </si>
  <si>
    <t>CIF</t>
  </si>
  <si>
    <t>COSTOS VARIABLES</t>
  </si>
  <si>
    <t>Compras de producto</t>
  </si>
  <si>
    <t>PUNTO DE EQUILIBRIO</t>
  </si>
  <si>
    <t>Costos Variables</t>
  </si>
  <si>
    <t>Costos Fijos</t>
  </si>
  <si>
    <t>Costo Variable Unit.</t>
  </si>
  <si>
    <t>Pto. EQ</t>
  </si>
  <si>
    <t>Pto. EQ (und.)</t>
  </si>
  <si>
    <t>Ventas</t>
  </si>
  <si>
    <t>FORMULAS</t>
  </si>
  <si>
    <t>COK = Beta x (Rm – Rf) + Rf + Rpaís</t>
  </si>
  <si>
    <t>CÁLCULO DEL COK Y WACC</t>
  </si>
  <si>
    <t>WACC = [(D / I) x TEA x (1 – T)] + [(C / I) x COK]</t>
  </si>
  <si>
    <t>Beta apalancada = Beta no apalancada x [1 + (1 – T) x (D / C)]</t>
  </si>
  <si>
    <t>Beta no apalancada</t>
  </si>
  <si>
    <t>Precio sin IGV (S/.)</t>
  </si>
  <si>
    <t>Estudio legal-contable</t>
  </si>
  <si>
    <t>Mantenimiento (8.5 TN)</t>
  </si>
  <si>
    <t>Mantenimiento (5.5 TN)</t>
  </si>
  <si>
    <t>Mantenimiento (Moto)</t>
  </si>
  <si>
    <t>Mantenimiento (Furgoneta)</t>
  </si>
  <si>
    <t>Rf: Tasa libre de riesgo</t>
  </si>
  <si>
    <t>Rpaís: Riesgo país</t>
  </si>
  <si>
    <t>Beta apalancada</t>
  </si>
  <si>
    <t>T: tasa efectiva de impuesto</t>
  </si>
  <si>
    <t>D: Deuda</t>
  </si>
  <si>
    <t>C: Capital</t>
  </si>
  <si>
    <t>I: Inversión (D + C)</t>
  </si>
  <si>
    <t>TEA: Tasa efectiva anual</t>
  </si>
  <si>
    <t>http://www.ambito.com/economia/mercados/riesgo-pais/info/?id=13</t>
  </si>
  <si>
    <t>http://pages.stern.nyu.edu/~adamodar/New_Home_Page/datafile/Betas.html</t>
  </si>
  <si>
    <t>https://www.treasury.gov/resource-center/data-chart-center/interest-rates/Pages/TextView.aspx?data=yield</t>
  </si>
  <si>
    <t>Rm: Prima de riesgo</t>
  </si>
  <si>
    <t>http://us.spindices.com/indices/equity/sp-500</t>
  </si>
  <si>
    <t>COK</t>
  </si>
  <si>
    <t>WACC</t>
  </si>
  <si>
    <t>INDICADORES DE RENTABILIDAD</t>
  </si>
  <si>
    <t>Tasa de descuento</t>
  </si>
  <si>
    <t>T.I.R. (5 años)</t>
  </si>
  <si>
    <t>V.A.N. (5 años)</t>
  </si>
  <si>
    <t>Económico</t>
  </si>
  <si>
    <t>RELACIÓN BENEFICIO/COSTO</t>
  </si>
  <si>
    <t>Beneficio</t>
  </si>
  <si>
    <t>B/C</t>
  </si>
  <si>
    <t>CISTERNA DE AGUA 2800 L</t>
  </si>
  <si>
    <t>Lámparas de emergencia Opalux 9101 220LED</t>
  </si>
  <si>
    <t>Señalización</t>
  </si>
  <si>
    <t>Botiquín de emergencia</t>
  </si>
  <si>
    <t>Disp. de emergen.</t>
  </si>
  <si>
    <t>Disposiciones de seguridad</t>
  </si>
  <si>
    <t>Licencia municipal de funcionamiento con anuncio publicitario simple</t>
  </si>
  <si>
    <t>Imprevistos</t>
  </si>
  <si>
    <t>Pantalón</t>
  </si>
  <si>
    <t>Camisaco</t>
  </si>
  <si>
    <t>Canguro</t>
  </si>
  <si>
    <t>Gorro</t>
  </si>
  <si>
    <t>Zapatos</t>
  </si>
  <si>
    <t>Zapatos industriales</t>
  </si>
  <si>
    <t>Precio unit.</t>
  </si>
  <si>
    <t>Uniformes</t>
  </si>
  <si>
    <t>Guantes</t>
  </si>
  <si>
    <t>Guantes de seguridad</t>
  </si>
  <si>
    <t>SOAT</t>
  </si>
  <si>
    <t>SOAT moto</t>
  </si>
  <si>
    <t>SOAT furgoneta</t>
  </si>
  <si>
    <t>SOAT camiones</t>
  </si>
  <si>
    <t>Margen de Cont. Unit.</t>
  </si>
  <si>
    <t>Flujo actualizado</t>
  </si>
  <si>
    <t>Flujo acumulado</t>
  </si>
  <si>
    <t>TASA</t>
  </si>
  <si>
    <t>PERIODO DE RECUPERACIÓN DE LA INVERSIÓN ECONÓMICO</t>
  </si>
  <si>
    <t>PERIODO DE RECUPERACIÓN DE LA INVERSIÓN FINANCIERO</t>
  </si>
  <si>
    <t>Promedio de compras mensual</t>
  </si>
  <si>
    <t>Promedio</t>
  </si>
  <si>
    <t>Dt</t>
  </si>
  <si>
    <t>Ft</t>
  </si>
  <si>
    <t>alfa</t>
  </si>
  <si>
    <t>Oferta Anual</t>
  </si>
  <si>
    <t>Suavización Exponencial</t>
  </si>
  <si>
    <t>D1</t>
  </si>
  <si>
    <t>D2</t>
  </si>
  <si>
    <t>D3</t>
  </si>
  <si>
    <t>D4</t>
  </si>
  <si>
    <t>D5</t>
  </si>
  <si>
    <t>D6</t>
  </si>
  <si>
    <t>T(0)</t>
  </si>
  <si>
    <t>A(0)</t>
  </si>
  <si>
    <t>Alfa</t>
  </si>
  <si>
    <t>Beta</t>
  </si>
  <si>
    <t>t</t>
  </si>
  <si>
    <t>A(t)</t>
  </si>
  <si>
    <t>T(t)</t>
  </si>
  <si>
    <t>F(t+1)</t>
  </si>
  <si>
    <t>Proyección de la oferta</t>
  </si>
  <si>
    <t>Porcentaje de variación</t>
  </si>
  <si>
    <t>Proyección de la demanda</t>
  </si>
  <si>
    <t>Demanda insatisfecha</t>
  </si>
  <si>
    <t>Demanda del proyecto</t>
  </si>
  <si>
    <t>V.A.N.E.</t>
  </si>
  <si>
    <t>V.A.N.F.</t>
  </si>
  <si>
    <t>T.I.R.E.</t>
  </si>
  <si>
    <t>T.I.R.F.</t>
  </si>
  <si>
    <t>P.R.I.E.</t>
  </si>
  <si>
    <t>P.R.I.F.</t>
  </si>
  <si>
    <t>3 años</t>
  </si>
  <si>
    <t>2 años</t>
  </si>
  <si>
    <t>4 años</t>
  </si>
  <si>
    <t>5 años</t>
  </si>
  <si>
    <t>SENSIBILIDAD FRENTE A LA DEMANDA ANUAL</t>
  </si>
  <si>
    <t>SENSIBILIDAD FRENTE AL COSTO DE COMPRA DEL PRODUCTO</t>
  </si>
  <si>
    <t>SECTOR SANTA MARIA CHICA PREDIO PARCELA 125</t>
  </si>
  <si>
    <t>Chincha</t>
  </si>
  <si>
    <t>El Carmen</t>
  </si>
  <si>
    <t>CALLE 2 MZ B LT 15, PARQUE INDUSTRIAL</t>
  </si>
  <si>
    <t>Wanchaq</t>
  </si>
  <si>
    <t>Licencia e implementación SCOMER</t>
  </si>
  <si>
    <t>Mantenimiento local principal</t>
  </si>
  <si>
    <t>Mantenimiento puntos de venta</t>
  </si>
  <si>
    <t>Continental</t>
  </si>
  <si>
    <t>6 años</t>
  </si>
  <si>
    <t>Volanteo</t>
  </si>
  <si>
    <t>Cap. Trabajo</t>
  </si>
  <si>
    <t>2018*</t>
  </si>
  <si>
    <t>2019*</t>
  </si>
  <si>
    <t>Porcentaje</t>
  </si>
  <si>
    <t>Promedio 2006 - 2017</t>
  </si>
  <si>
    <t>CALLE LAS AMERICAS N° 334 - A.H. CARDOZO</t>
  </si>
  <si>
    <t>PANDURO CARO JON MARCOS</t>
  </si>
  <si>
    <t>AV. ABELARDO QUIÑONES 1117</t>
  </si>
  <si>
    <t>PASAJE CANAAN MZ. D, LOTE 10, AA. HH. SARITA COLONIA </t>
  </si>
  <si>
    <t>CALLE VICTORIA 273-PUEBLO JOVEN CARDOSO</t>
  </si>
  <si>
    <t>Teléfono</t>
  </si>
  <si>
    <t>Precio de Venta Anterior</t>
  </si>
  <si>
    <t>Precio de Venta</t>
  </si>
  <si>
    <t>Fecha Actualización</t>
  </si>
  <si>
    <t>Selva Gas</t>
  </si>
  <si>
    <t>AV. SAN ANTONIO N° 2337</t>
  </si>
  <si>
    <t>CALLE RAMON CASTILLA Nº 775</t>
  </si>
  <si>
    <t>CORPORACION JJ NISSI S.A.C.</t>
  </si>
  <si>
    <t>JR. CALVO DE ARAUJO N°967</t>
  </si>
  <si>
    <t>CALLE MISTI N° 251</t>
  </si>
  <si>
    <t>Universal Gas</t>
  </si>
  <si>
    <t>INVERSIONES ZA GAS E.I.R.L.</t>
  </si>
  <si>
    <t>JR. ATAHUALPA 639</t>
  </si>
  <si>
    <t>CURTO VILLACORTA GABY ZARELA</t>
  </si>
  <si>
    <t>PRO. PUTUMAYO 1513 (A 30 MTROS DEL MERCADILLO NORTEÑITA)</t>
  </si>
  <si>
    <t>DISTRIBUIDORA DE GAS L Y L E.I.R.L.</t>
  </si>
  <si>
    <t>PSJ. INTI MZ. E LT. 13. PUEBLO JOVEN TUPAC AMARU.</t>
  </si>
  <si>
    <t>CALLE JAEN MZ. C LT. 30 AAHH MUNICH</t>
  </si>
  <si>
    <t>AV. JOSE ABELARDO QUIÑONES Nº 522 SECTOR SUR</t>
  </si>
  <si>
    <t>CALLE LAS CASTAÑAS N° 198, PUEBLO JOVEN SAN ANTONIO</t>
  </si>
  <si>
    <t>PABLO BARDALES RENGIFO</t>
  </si>
  <si>
    <t>CALLE TRUJILLO N°614</t>
  </si>
  <si>
    <t>CONSTRUCTORA Y SERVICIOS MULTIPLES SILOE S.A.C. </t>
  </si>
  <si>
    <t>AV. 28 DE JULIO N° 1749</t>
  </si>
  <si>
    <t>CALLE MALECON MZ Z LOTE 1, AAHH NUEVO VERSALLES</t>
  </si>
  <si>
    <t>CALLE MANCO CAPAC N° 109</t>
  </si>
  <si>
    <t>LLAMAGAS PUCALLPA S.A.</t>
  </si>
  <si>
    <t>AV. AUGUSTO FREYRE N° 1421</t>
  </si>
  <si>
    <t>NAVARRO ECHEVARRIA BETTY ERNESTINA</t>
  </si>
  <si>
    <t>PJ. BELLO AMAZONAS MZA. G LOTE. 13</t>
  </si>
  <si>
    <t>RUIZ VELA JOHNNY</t>
  </si>
  <si>
    <t>CAR.IQUITOS - NAUTA QUISTOCOCHA MZ J LT 1B-1</t>
  </si>
  <si>
    <t>CALLE LOS JASMINES MZ A LT 5</t>
  </si>
  <si>
    <t>AV. ABELARDO QUIÑONES Nº1093</t>
  </si>
  <si>
    <t>CALLE LAS AMAZONAS N° 502</t>
  </si>
  <si>
    <t>AV. LA PARTICIPACIÓN MZA. I LOTE 25 AH PROGRESO</t>
  </si>
  <si>
    <t>GLADIS GARCIA DE RUIZ</t>
  </si>
  <si>
    <t>CALLE LOS GAVILANES MZ "C" LT. 15</t>
  </si>
  <si>
    <t>CARRETERA IQUITOS/NAUTA KM. 2.4</t>
  </si>
  <si>
    <t>LLAMA GAS PUCALLPA SA</t>
  </si>
  <si>
    <t>AV. ABELARDO QUIÑONEZ KM. 3.5</t>
  </si>
  <si>
    <t>CARDENAS ANGULO JOSE GABRIEL</t>
  </si>
  <si>
    <t>CAL. PABLO NERUDA 160A</t>
  </si>
  <si>
    <t>CALLE LOS GAVILANES Nª 121</t>
  </si>
  <si>
    <t>SENSIBILIDAD FRENTE A LA DEMANDA ANUAL Y AL COSTO DE COMPRA DEL PRODUCTO</t>
  </si>
  <si>
    <t>ESC.</t>
  </si>
  <si>
    <t>I.</t>
  </si>
  <si>
    <t>II.</t>
  </si>
  <si>
    <t>III.</t>
  </si>
  <si>
    <t>Municipalidad Provincial</t>
  </si>
  <si>
    <t>cada licencia es un pago único de 120usd</t>
  </si>
  <si>
    <t>Costo promedio anual (2018)</t>
  </si>
  <si>
    <t>Costo promedio anual (2019)</t>
  </si>
  <si>
    <t>Costo promedio anual (2020)</t>
  </si>
  <si>
    <t>Costo promedio anual (2021)</t>
  </si>
  <si>
    <t>Costo promedio anual (2022)</t>
  </si>
  <si>
    <t>2020*</t>
  </si>
  <si>
    <r>
      <t xml:space="preserve">  Promedio
2006 - 2018: 
        </t>
    </r>
    <r>
      <rPr>
        <b/>
        <sz val="12"/>
        <color theme="1"/>
        <rFont val="Times New Roman"/>
        <family val="1"/>
      </rPr>
      <t>5.3%</t>
    </r>
  </si>
  <si>
    <t>Desarrollar el proyecto en la ciudad con mayor población en el departamento de Loreto.</t>
  </si>
  <si>
    <t>Baja capacidad financiera.</t>
  </si>
  <si>
    <t>Personal adecuadamente identificado, uniformado y capacitado para brindar una amable atención.</t>
  </si>
  <si>
    <t>Aporte de Loreto al PBI nacional por debajo de la media departamental.</t>
  </si>
  <si>
    <t>Desarrollo de nuevas formas de energía para cocinar, como el carbón de cáscara de coco.</t>
  </si>
  <si>
    <t>Exhaustiva legislación en los negocios relacionados con combustibles inflamables.</t>
  </si>
  <si>
    <t>Baja amenaza de entrada de nuevos competidores.</t>
  </si>
  <si>
    <t>Bajo poder de negociación de los clientes.</t>
  </si>
  <si>
    <t>Gran número de decesos anuales ocasionados por la quema de combustibles sólidos.</t>
  </si>
  <si>
    <t>• Aumentar el presupuesto para publicidad y así poder atraer en mayores proporciones al potencial mercado existente.                                     • Aprovechar el incremento del aporte al PBI por parte de los restaurantes y el nombre de la marca para generar alianzas estratégicas con establecimientos relacionados al rubro.</t>
  </si>
  <si>
    <t>•  Anunciar los beneficios del producto en cuanto a estándares de calidad establecidos por ley, convenciendo al cliente que nuestro producto ofrece medidas de seguridad que adolescen los combustibles sólidos.                                                      • Plantear una adecuada gestión en cuanto a temas legales, para estar alineados al reglamento establecido.</t>
  </si>
  <si>
    <t>Salario</t>
  </si>
  <si>
    <t>Manteniento de extintores</t>
  </si>
  <si>
    <t>CORPORACION BORA E.I.R.L.</t>
  </si>
  <si>
    <t>AV. DEL EJERCITO 1602</t>
  </si>
  <si>
    <t>JORGE AGUSTIN PEREIRA PINEDO</t>
  </si>
  <si>
    <t>PASAJE BUENA VISTA N 196 REF. CUADRA 17 DE PEVAS</t>
  </si>
  <si>
    <t>Avenida Almirante Miguel Grau 1369</t>
  </si>
  <si>
    <t>JJ GAS</t>
  </si>
  <si>
    <t>CALLE SANTA ROSA MZ. G LT. 4</t>
  </si>
  <si>
    <t>MECCA PEREA DAVID RICARDO</t>
  </si>
  <si>
    <t>AV. EJERCITO 1599 (ESQUINA CON GARISHO)</t>
  </si>
  <si>
    <t>ALBERTO ACOSTA FLORES </t>
  </si>
  <si>
    <t>PASAJE DEXA, MZ. D, LT. 01 </t>
  </si>
  <si>
    <t>PEREZ CHANCHARI JORGE</t>
  </si>
  <si>
    <t>CAL. BELGRANO MZA. B LOTE. 14</t>
  </si>
  <si>
    <t>MACHUCA DIAZ GEISER ALBENIS</t>
  </si>
  <si>
    <t>A.H. ROSA PANDURO CAL. 25 DE ABRIL 194</t>
  </si>
  <si>
    <t>PJ. SIMON BOLIVAR NRO 200</t>
  </si>
  <si>
    <t>GEISER ALBENIS MACHUCA DIAZ</t>
  </si>
  <si>
    <t>CALLE LA HERRADURA MZ. A, LOTE 13 NUEVO JARDIN-LOS DELFINES</t>
  </si>
  <si>
    <t>GOMEZ BARBAGELATA GERMAN</t>
  </si>
  <si>
    <t>PJ. LAS ORQUIDEAS 158</t>
  </si>
  <si>
    <t>Etiquetas de fila</t>
  </si>
  <si>
    <t>Total general</t>
  </si>
  <si>
    <t>Cuenta de Establecimiento</t>
  </si>
  <si>
    <t>Promedio de Precio de Venta</t>
  </si>
  <si>
    <t>Calidad</t>
  </si>
  <si>
    <t>Capacidad</t>
  </si>
  <si>
    <t>Partición costo logístico</t>
  </si>
  <si>
    <t>Precio puesto en Pucallpa</t>
  </si>
  <si>
    <t>• Concientizar sobre lo perjudicial que resulta el uso de combustibles sólidos a través de los vendedores y así disminuir el impacto generado por la diferencia existente de costos.                                                             • Gestionar los canales de manejo logístico para disminuir lo máximo posible los costos que estos implican.</t>
  </si>
  <si>
    <t>Promedio 2008 - 2017</t>
  </si>
  <si>
    <r>
      <t xml:space="preserve">  Promedio
2008 - 2017: 
        </t>
    </r>
    <r>
      <rPr>
        <b/>
        <sz val="12"/>
        <color theme="1"/>
        <rFont val="Times New Roman"/>
        <family val="1"/>
      </rPr>
      <t>5.4%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</si>
</sst>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8" formatCode="&quot;S/&quot;#,##0.00;[Red]\-&quot;S/&quot;#,##0.00"/>
    <numFmt numFmtId="44" formatCode="_-&quot;S/&quot;* #,##0.00_-;\-&quot;S/&quot;* #,##0.00_-;_-&quot;S/&quot;* &quot;-&quot;??_-;_-@_-"/>
    <numFmt numFmtId="43" formatCode="_-* #,##0.00_-;\-* #,##0.00_-;_-* &quot;-&quot;??_-;_-@_-"/>
    <numFmt numFmtId="164" formatCode="&quot;S/.&quot;#,##0.00;[Red]\-&quot;S/.&quot;#,##0.00"/>
    <numFmt numFmtId="165" formatCode="_-&quot;S/.&quot;* #,##0.00_-;\-&quot;S/.&quot;* #,##0.00_-;_-&quot;S/.&quot;* &quot;-&quot;??_-;_-@_-"/>
    <numFmt numFmtId="166" formatCode="0.0000%"/>
    <numFmt numFmtId="167" formatCode="&quot;S/.&quot;#,##0.00"/>
    <numFmt numFmtId="168" formatCode="0.000%"/>
    <numFmt numFmtId="169" formatCode="0.000"/>
    <numFmt numFmtId="170" formatCode="&quot;S/.&quot;#,##0.000;[Red]\-&quot;S/.&quot;#,##0.000"/>
    <numFmt numFmtId="171" formatCode="0."/>
    <numFmt numFmtId="172" formatCode="0.0%"/>
    <numFmt numFmtId="173" formatCode="0.0"/>
    <numFmt numFmtId="174" formatCode="&quot;S/&quot;#,##0.00"/>
    <numFmt numFmtId="175" formatCode="#,##0.00_ ;[Red]\-#,##0.00\ "/>
    <numFmt numFmtId="176" formatCode="#,##0.0"/>
  </numFmts>
  <fonts count="4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name val="Arial Narrow"/>
      <family val="2"/>
    </font>
    <font>
      <sz val="10"/>
      <color rgb="FFFF0000"/>
      <name val="Arial Narrow"/>
      <family val="2"/>
    </font>
    <font>
      <sz val="10"/>
      <color theme="1"/>
      <name val="Arial Narrow"/>
      <family val="2"/>
    </font>
    <font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24"/>
      <color theme="1"/>
      <name val="Calibri Light"/>
      <family val="2"/>
      <scheme val="major"/>
    </font>
    <font>
      <sz val="10"/>
      <name val="MS Sans Serif"/>
      <family val="2"/>
    </font>
    <font>
      <b/>
      <sz val="16"/>
      <color indexed="16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indexed="39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8"/>
      <name val="Calibri"/>
      <family val="2"/>
      <scheme val="minor"/>
    </font>
    <font>
      <sz val="11"/>
      <color rgb="FF6C92BA"/>
      <name val="Arial"/>
      <family val="2"/>
    </font>
    <font>
      <b/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9"/>
      <color theme="1"/>
      <name val="ArialMT"/>
    </font>
    <font>
      <sz val="11"/>
      <color theme="1"/>
      <name val="ArialMT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Arial"/>
      <family val="2"/>
    </font>
    <font>
      <sz val="14"/>
      <color theme="1"/>
      <name val="Arial"/>
      <family val="2"/>
    </font>
    <font>
      <sz val="12"/>
      <color theme="0"/>
      <name val="Calibri"/>
      <family val="2"/>
      <scheme val="minor"/>
    </font>
    <font>
      <sz val="9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8B3A24"/>
        <bgColor indexed="64"/>
      </patternFill>
    </fill>
    <fill>
      <patternFill patternType="solid">
        <fgColor rgb="FF49AEB1"/>
        <bgColor indexed="64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/>
      <top/>
      <bottom style="thick">
        <color rgb="FFFFFF00"/>
      </bottom>
      <diagonal/>
    </border>
    <border>
      <left/>
      <right/>
      <top/>
      <bottom style="thick">
        <color rgb="FFFFFF00"/>
      </bottom>
      <diagonal/>
    </border>
    <border>
      <left/>
      <right style="medium">
        <color auto="1"/>
      </right>
      <top/>
      <bottom style="thick">
        <color rgb="FFFFFF00"/>
      </bottom>
      <diagonal/>
    </border>
    <border>
      <left style="medium">
        <color auto="1"/>
      </left>
      <right style="thick">
        <color rgb="FFFFFF00"/>
      </right>
      <top style="medium">
        <color auto="1"/>
      </top>
      <bottom/>
      <diagonal/>
    </border>
    <border>
      <left style="medium">
        <color auto="1"/>
      </left>
      <right style="thick">
        <color rgb="FFFFFF00"/>
      </right>
      <top/>
      <bottom/>
      <diagonal/>
    </border>
    <border>
      <left style="medium">
        <color auto="1"/>
      </left>
      <right style="thick">
        <color rgb="FFFFFF00"/>
      </right>
      <top/>
      <bottom style="thick">
        <color rgb="FFFFFF00"/>
      </bottom>
      <diagonal/>
    </border>
    <border>
      <left style="medium">
        <color auto="1"/>
      </left>
      <right style="thick">
        <color rgb="FFFFFF00"/>
      </right>
      <top/>
      <bottom style="medium">
        <color auto="1"/>
      </bottom>
      <diagonal/>
    </border>
    <border>
      <left/>
      <right/>
      <top style="thick">
        <color rgb="FFFFFF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auto="1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theme="1"/>
      </right>
      <top style="thin">
        <color theme="1"/>
      </top>
      <bottom style="thin">
        <color auto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auto="1"/>
      </top>
      <bottom/>
      <diagonal/>
    </border>
    <border>
      <left/>
      <right style="thin">
        <color theme="1"/>
      </right>
      <top style="thin">
        <color auto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  <diagonal/>
    </border>
    <border>
      <left style="dotted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1091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18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8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27">
    <xf numFmtId="0" fontId="0" fillId="0" borderId="0" xfId="0"/>
    <xf numFmtId="0" fontId="0" fillId="0" borderId="1" xfId="0" applyBorder="1" applyAlignment="1">
      <alignment horizontal="left" vertical="center"/>
    </xf>
    <xf numFmtId="3" fontId="0" fillId="0" borderId="1" xfId="0" applyNumberFormat="1" applyBorder="1"/>
    <xf numFmtId="3" fontId="0" fillId="0" borderId="1" xfId="0" applyNumberFormat="1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right"/>
    </xf>
    <xf numFmtId="10" fontId="0" fillId="0" borderId="0" xfId="1" applyNumberFormat="1" applyFont="1"/>
    <xf numFmtId="166" fontId="0" fillId="0" borderId="0" xfId="1" applyNumberFormat="1" applyFont="1"/>
    <xf numFmtId="166" fontId="0" fillId="0" borderId="0" xfId="0" applyNumberFormat="1"/>
    <xf numFmtId="10" fontId="0" fillId="0" borderId="1" xfId="1" applyNumberFormat="1" applyFont="1" applyBorder="1"/>
    <xf numFmtId="0" fontId="5" fillId="0" borderId="1" xfId="0" applyFont="1" applyBorder="1"/>
    <xf numFmtId="49" fontId="6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0" fillId="0" borderId="1" xfId="0" applyFill="1" applyBorder="1"/>
    <xf numFmtId="3" fontId="6" fillId="3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9" fillId="0" borderId="1" xfId="0" applyFont="1" applyBorder="1"/>
    <xf numFmtId="167" fontId="9" fillId="0" borderId="1" xfId="0" applyNumberFormat="1" applyFont="1" applyBorder="1"/>
    <xf numFmtId="0" fontId="10" fillId="4" borderId="1" xfId="0" applyFont="1" applyFill="1" applyBorder="1" applyAlignment="1">
      <alignment horizontal="center"/>
    </xf>
    <xf numFmtId="10" fontId="11" fillId="5" borderId="1" xfId="1" applyNumberFormat="1" applyFont="1" applyFill="1" applyBorder="1"/>
    <xf numFmtId="3" fontId="0" fillId="5" borderId="1" xfId="0" applyNumberFormat="1" applyFill="1" applyBorder="1"/>
    <xf numFmtId="3" fontId="0" fillId="0" borderId="1" xfId="0" applyNumberFormat="1" applyBorder="1" applyAlignment="1"/>
    <xf numFmtId="168" fontId="0" fillId="0" borderId="0" xfId="1" applyNumberFormat="1" applyFont="1"/>
    <xf numFmtId="0" fontId="0" fillId="0" borderId="0" xfId="0" applyBorder="1"/>
    <xf numFmtId="0" fontId="0" fillId="0" borderId="0" xfId="0" applyFill="1" applyBorder="1"/>
    <xf numFmtId="0" fontId="0" fillId="0" borderId="2" xfId="0" applyBorder="1"/>
    <xf numFmtId="0" fontId="0" fillId="0" borderId="0" xfId="0" applyFill="1" applyBorder="1" applyAlignment="1"/>
    <xf numFmtId="0" fontId="0" fillId="0" borderId="3" xfId="0" applyFill="1" applyBorder="1" applyAlignment="1"/>
    <xf numFmtId="0" fontId="13" fillId="0" borderId="4" xfId="0" applyFont="1" applyFill="1" applyBorder="1" applyAlignment="1">
      <alignment horizontal="center"/>
    </xf>
    <xf numFmtId="0" fontId="12" fillId="0" borderId="1" xfId="0" applyFont="1" applyBorder="1"/>
    <xf numFmtId="0" fontId="11" fillId="0" borderId="1" xfId="0" applyFont="1" applyBorder="1"/>
    <xf numFmtId="9" fontId="11" fillId="0" borderId="1" xfId="1" applyFont="1" applyBorder="1"/>
    <xf numFmtId="9" fontId="11" fillId="0" borderId="1" xfId="1" applyNumberFormat="1" applyFont="1" applyBorder="1"/>
    <xf numFmtId="169" fontId="0" fillId="0" borderId="1" xfId="0" applyNumberFormat="1" applyBorder="1"/>
    <xf numFmtId="3" fontId="11" fillId="0" borderId="1" xfId="0" applyNumberFormat="1" applyFont="1" applyBorder="1"/>
    <xf numFmtId="3" fontId="5" fillId="0" borderId="1" xfId="0" applyNumberFormat="1" applyFont="1" applyBorder="1"/>
    <xf numFmtId="4" fontId="0" fillId="0" borderId="1" xfId="0" applyNumberFormat="1" applyBorder="1"/>
    <xf numFmtId="0" fontId="10" fillId="4" borderId="1" xfId="0" applyFont="1" applyFill="1" applyBorder="1" applyAlignment="1">
      <alignment horizontal="center" vertical="center"/>
    </xf>
    <xf numFmtId="168" fontId="0" fillId="0" borderId="1" xfId="1" applyNumberFormat="1" applyFont="1" applyBorder="1"/>
    <xf numFmtId="0" fontId="0" fillId="0" borderId="1" xfId="0" applyBorder="1" applyAlignment="1">
      <alignment horizontal="center" vertical="center"/>
    </xf>
    <xf numFmtId="0" fontId="10" fillId="4" borderId="6" xfId="0" applyFont="1" applyFill="1" applyBorder="1" applyAlignment="1"/>
    <xf numFmtId="0" fontId="10" fillId="4" borderId="1" xfId="0" applyFont="1" applyFill="1" applyBorder="1" applyAlignment="1"/>
    <xf numFmtId="0" fontId="0" fillId="0" borderId="0" xfId="0" applyAlignment="1">
      <alignment horizontal="right"/>
    </xf>
    <xf numFmtId="0" fontId="11" fillId="0" borderId="1" xfId="0" applyFont="1" applyFill="1" applyBorder="1"/>
    <xf numFmtId="0" fontId="11" fillId="0" borderId="2" xfId="0" applyFont="1" applyBorder="1"/>
    <xf numFmtId="10" fontId="11" fillId="0" borderId="1" xfId="1" applyNumberFormat="1" applyFont="1" applyBorder="1"/>
    <xf numFmtId="10" fontId="10" fillId="4" borderId="1" xfId="0" applyNumberFormat="1" applyFont="1" applyFill="1" applyBorder="1" applyAlignment="1">
      <alignment horizontal="center"/>
    </xf>
    <xf numFmtId="3" fontId="0" fillId="0" borderId="1" xfId="0" applyNumberFormat="1" applyFont="1" applyBorder="1"/>
    <xf numFmtId="10" fontId="0" fillId="0" borderId="5" xfId="1" applyNumberFormat="1" applyFont="1" applyBorder="1"/>
    <xf numFmtId="10" fontId="0" fillId="0" borderId="10" xfId="1" applyNumberFormat="1" applyFont="1" applyBorder="1"/>
    <xf numFmtId="4" fontId="0" fillId="0" borderId="1" xfId="0" applyNumberFormat="1" applyFont="1" applyBorder="1"/>
    <xf numFmtId="4" fontId="11" fillId="0" borderId="1" xfId="0" applyNumberFormat="1" applyFont="1" applyBorder="1"/>
    <xf numFmtId="168" fontId="0" fillId="0" borderId="0" xfId="1" applyNumberFormat="1" applyFont="1" applyBorder="1"/>
    <xf numFmtId="3" fontId="0" fillId="0" borderId="0" xfId="0" applyNumberFormat="1"/>
    <xf numFmtId="0" fontId="10" fillId="4" borderId="1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wrapText="1"/>
    </xf>
    <xf numFmtId="0" fontId="11" fillId="0" borderId="0" xfId="0" applyFont="1" applyAlignment="1">
      <alignment horizontal="center" vertical="center" textRotation="90"/>
    </xf>
    <xf numFmtId="0" fontId="0" fillId="2" borderId="1" xfId="0" applyFill="1" applyBorder="1"/>
    <xf numFmtId="2" fontId="0" fillId="0" borderId="1" xfId="0" applyNumberFormat="1" applyBorder="1" applyAlignment="1">
      <alignment horizontal="center" vertical="center"/>
    </xf>
    <xf numFmtId="2" fontId="0" fillId="2" borderId="1" xfId="0" applyNumberFormat="1" applyFill="1" applyBorder="1"/>
    <xf numFmtId="0" fontId="0" fillId="0" borderId="33" xfId="0" applyBorder="1"/>
    <xf numFmtId="0" fontId="0" fillId="0" borderId="38" xfId="0" applyBorder="1"/>
    <xf numFmtId="0" fontId="10" fillId="4" borderId="1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Continuous"/>
    </xf>
    <xf numFmtId="0" fontId="10" fillId="4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0" fontId="0" fillId="0" borderId="1" xfId="1" applyNumberFormat="1" applyFont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0" fillId="4" borderId="1" xfId="0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left" wrapText="1"/>
    </xf>
    <xf numFmtId="0" fontId="10" fillId="4" borderId="1" xfId="0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0" borderId="0" xfId="0" applyNumberFormat="1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170" fontId="0" fillId="0" borderId="1" xfId="0" applyNumberFormat="1" applyBorder="1"/>
    <xf numFmtId="164" fontId="0" fillId="0" borderId="1" xfId="0" applyNumberFormat="1" applyBorder="1"/>
    <xf numFmtId="0" fontId="10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" fillId="0" borderId="46" xfId="166" applyFont="1" applyBorder="1" applyAlignment="1">
      <alignment horizontal="center" vertical="center"/>
    </xf>
    <xf numFmtId="0" fontId="21" fillId="0" borderId="1" xfId="166" applyFont="1" applyBorder="1" applyAlignment="1">
      <alignment horizontal="left" vertical="center" indent="1"/>
    </xf>
    <xf numFmtId="0" fontId="21" fillId="0" borderId="47" xfId="166" applyFont="1" applyBorder="1"/>
    <xf numFmtId="0" fontId="21" fillId="0" borderId="48" xfId="166" applyFont="1" applyBorder="1"/>
    <xf numFmtId="0" fontId="22" fillId="0" borderId="46" xfId="166" applyFont="1" applyBorder="1" applyAlignment="1">
      <alignment horizontal="center" vertical="center"/>
    </xf>
    <xf numFmtId="0" fontId="21" fillId="0" borderId="1" xfId="166" applyFont="1" applyBorder="1" applyAlignment="1">
      <alignment horizontal="left" vertical="center" wrapText="1" indent="1"/>
    </xf>
    <xf numFmtId="0" fontId="23" fillId="0" borderId="49" xfId="166" applyFont="1" applyBorder="1" applyAlignment="1">
      <alignment horizontal="centerContinuous"/>
    </xf>
    <xf numFmtId="0" fontId="23" fillId="0" borderId="50" xfId="166" applyFont="1" applyBorder="1" applyAlignment="1">
      <alignment horizontal="centerContinuous"/>
    </xf>
    <xf numFmtId="0" fontId="21" fillId="0" borderId="7" xfId="166" applyFont="1" applyFill="1" applyBorder="1" applyAlignment="1">
      <alignment horizontal="left" vertical="center" wrapText="1" indent="1"/>
    </xf>
    <xf numFmtId="0" fontId="21" fillId="0" borderId="56" xfId="166" applyFont="1" applyBorder="1"/>
    <xf numFmtId="0" fontId="23" fillId="0" borderId="57" xfId="166" applyFont="1" applyBorder="1" applyAlignment="1">
      <alignment horizontal="centerContinuous"/>
    </xf>
    <xf numFmtId="0" fontId="22" fillId="0" borderId="58" xfId="166" applyFont="1" applyBorder="1" applyAlignment="1">
      <alignment horizontal="center" vertical="center"/>
    </xf>
    <xf numFmtId="0" fontId="21" fillId="0" borderId="59" xfId="166" applyFont="1" applyBorder="1" applyAlignment="1">
      <alignment horizontal="left" vertical="center" wrapText="1" indent="1"/>
    </xf>
    <xf numFmtId="0" fontId="23" fillId="0" borderId="60" xfId="166" applyFont="1" applyBorder="1" applyAlignment="1">
      <alignment horizontal="centerContinuous"/>
    </xf>
    <xf numFmtId="0" fontId="23" fillId="0" borderId="61" xfId="166" applyFont="1" applyBorder="1" applyAlignment="1">
      <alignment horizontal="centerContinuous"/>
    </xf>
    <xf numFmtId="0" fontId="23" fillId="0" borderId="62" xfId="166" applyFont="1" applyBorder="1" applyAlignment="1">
      <alignment horizontal="centerContinuous"/>
    </xf>
    <xf numFmtId="164" fontId="0" fillId="0" borderId="1" xfId="0" applyNumberFormat="1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24" fillId="0" borderId="0" xfId="0" applyFont="1"/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ill="1" applyBorder="1"/>
    <xf numFmtId="0" fontId="10" fillId="4" borderId="1" xfId="0" applyFont="1" applyFill="1" applyBorder="1" applyAlignment="1">
      <alignment horizontal="center"/>
    </xf>
    <xf numFmtId="164" fontId="0" fillId="0" borderId="0" xfId="0" applyNumberFormat="1"/>
    <xf numFmtId="171" fontId="10" fillId="4" borderId="1" xfId="0" applyNumberFormat="1" applyFont="1" applyFill="1" applyBorder="1" applyAlignment="1">
      <alignment horizontal="center"/>
    </xf>
    <xf numFmtId="0" fontId="0" fillId="2" borderId="7" xfId="0" applyFill="1" applyBorder="1" applyAlignment="1"/>
    <xf numFmtId="0" fontId="9" fillId="0" borderId="0" xfId="0" applyFont="1" applyFill="1" applyBorder="1" applyAlignment="1">
      <alignment horizontal="center"/>
    </xf>
    <xf numFmtId="164" fontId="0" fillId="0" borderId="0" xfId="0" applyNumberFormat="1" applyBorder="1"/>
    <xf numFmtId="164" fontId="0" fillId="2" borderId="1" xfId="0" applyNumberFormat="1" applyFill="1" applyBorder="1"/>
    <xf numFmtId="17" fontId="10" fillId="4" borderId="1" xfId="0" applyNumberFormat="1" applyFont="1" applyFill="1" applyBorder="1"/>
    <xf numFmtId="0" fontId="10" fillId="4" borderId="7" xfId="0" applyFont="1" applyFill="1" applyBorder="1"/>
    <xf numFmtId="164" fontId="25" fillId="2" borderId="1" xfId="0" applyNumberFormat="1" applyFont="1" applyFill="1" applyBorder="1"/>
    <xf numFmtId="4" fontId="0" fillId="2" borderId="1" xfId="0" applyNumberFormat="1" applyFill="1" applyBorder="1"/>
    <xf numFmtId="164" fontId="5" fillId="0" borderId="1" xfId="0" applyNumberFormat="1" applyFont="1" applyBorder="1"/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10" fillId="4" borderId="1" xfId="0" applyFont="1" applyFill="1" applyBorder="1" applyAlignment="1">
      <alignment horizontal="left"/>
    </xf>
    <xf numFmtId="17" fontId="0" fillId="0" borderId="1" xfId="0" applyNumberFormat="1" applyBorder="1"/>
    <xf numFmtId="164" fontId="11" fillId="2" borderId="1" xfId="0" applyNumberFormat="1" applyFont="1" applyFill="1" applyBorder="1"/>
    <xf numFmtId="0" fontId="0" fillId="0" borderId="1" xfId="0" applyBorder="1" applyAlignment="1">
      <alignment horizontal="center" vertical="center"/>
    </xf>
    <xf numFmtId="0" fontId="10" fillId="4" borderId="1" xfId="0" applyFont="1" applyFill="1" applyBorder="1" applyAlignment="1">
      <alignment horizontal="left"/>
    </xf>
    <xf numFmtId="0" fontId="0" fillId="0" borderId="1" xfId="0" applyBorder="1" applyAlignment="1">
      <alignment horizontal="center"/>
    </xf>
    <xf numFmtId="0" fontId="26" fillId="0" borderId="0" xfId="0" applyFont="1"/>
    <xf numFmtId="10" fontId="27" fillId="0" borderId="1" xfId="1" applyNumberFormat="1" applyFont="1" applyBorder="1"/>
    <xf numFmtId="0" fontId="10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 wrapText="1"/>
    </xf>
    <xf numFmtId="168" fontId="10" fillId="4" borderId="1" xfId="1" applyNumberFormat="1" applyFont="1" applyFill="1" applyBorder="1" applyAlignment="1">
      <alignment horizontal="center"/>
    </xf>
    <xf numFmtId="0" fontId="10" fillId="4" borderId="51" xfId="0" applyFont="1" applyFill="1" applyBorder="1" applyAlignment="1">
      <alignment horizontal="center"/>
    </xf>
    <xf numFmtId="0" fontId="10" fillId="4" borderId="52" xfId="0" applyFont="1" applyFill="1" applyBorder="1" applyAlignment="1">
      <alignment horizontal="center"/>
    </xf>
    <xf numFmtId="0" fontId="10" fillId="4" borderId="54" xfId="0" applyFont="1" applyFill="1" applyBorder="1" applyAlignment="1">
      <alignment horizontal="center"/>
    </xf>
    <xf numFmtId="0" fontId="10" fillId="4" borderId="46" xfId="0" applyFont="1" applyFill="1" applyBorder="1" applyAlignment="1">
      <alignment horizontal="center"/>
    </xf>
    <xf numFmtId="164" fontId="0" fillId="0" borderId="55" xfId="0" applyNumberFormat="1" applyBorder="1"/>
    <xf numFmtId="0" fontId="10" fillId="4" borderId="58" xfId="0" applyFont="1" applyFill="1" applyBorder="1" applyAlignment="1">
      <alignment horizontal="center"/>
    </xf>
    <xf numFmtId="164" fontId="0" fillId="0" borderId="59" xfId="0" applyNumberFormat="1" applyBorder="1"/>
    <xf numFmtId="164" fontId="0" fillId="0" borderId="67" xfId="0" applyNumberFormat="1" applyBorder="1"/>
    <xf numFmtId="0" fontId="0" fillId="0" borderId="1" xfId="0" applyFill="1" applyBorder="1" applyAlignment="1">
      <alignment horizontal="center"/>
    </xf>
    <xf numFmtId="164" fontId="0" fillId="0" borderId="2" xfId="0" applyNumberFormat="1" applyBorder="1"/>
    <xf numFmtId="164" fontId="0" fillId="2" borderId="1" xfId="0" applyNumberFormat="1" applyFont="1" applyFill="1" applyBorder="1"/>
    <xf numFmtId="0" fontId="0" fillId="0" borderId="5" xfId="0" applyBorder="1"/>
    <xf numFmtId="164" fontId="11" fillId="0" borderId="1" xfId="0" applyNumberFormat="1" applyFont="1" applyBorder="1"/>
    <xf numFmtId="165" fontId="0" fillId="0" borderId="1" xfId="0" applyNumberFormat="1" applyBorder="1"/>
    <xf numFmtId="164" fontId="0" fillId="0" borderId="6" xfId="0" applyNumberFormat="1" applyBorder="1"/>
    <xf numFmtId="172" fontId="0" fillId="0" borderId="1" xfId="1" applyNumberFormat="1" applyFont="1" applyBorder="1"/>
    <xf numFmtId="0" fontId="10" fillId="4" borderId="5" xfId="0" applyFont="1" applyFill="1" applyBorder="1"/>
    <xf numFmtId="9" fontId="0" fillId="0" borderId="1" xfId="1" applyNumberFormat="1" applyFont="1" applyBorder="1"/>
    <xf numFmtId="0" fontId="10" fillId="4" borderId="1" xfId="0" applyFont="1" applyFill="1" applyBorder="1" applyAlignment="1">
      <alignment wrapText="1"/>
    </xf>
    <xf numFmtId="0" fontId="10" fillId="4" borderId="7" xfId="0" applyFont="1" applyFill="1" applyBorder="1" applyAlignment="1">
      <alignment wrapText="1"/>
    </xf>
    <xf numFmtId="0" fontId="10" fillId="4" borderId="7" xfId="0" applyFont="1" applyFill="1" applyBorder="1" applyAlignment="1"/>
    <xf numFmtId="164" fontId="11" fillId="0" borderId="0" xfId="0" applyNumberFormat="1" applyFont="1" applyFill="1" applyBorder="1"/>
    <xf numFmtId="10" fontId="0" fillId="0" borderId="1" xfId="0" applyNumberFormat="1" applyBorder="1"/>
    <xf numFmtId="168" fontId="0" fillId="0" borderId="1" xfId="0" applyNumberFormat="1" applyBorder="1"/>
    <xf numFmtId="0" fontId="0" fillId="0" borderId="54" xfId="0" applyBorder="1"/>
    <xf numFmtId="10" fontId="0" fillId="0" borderId="55" xfId="1" applyNumberFormat="1" applyFont="1" applyBorder="1"/>
    <xf numFmtId="2" fontId="11" fillId="0" borderId="55" xfId="0" applyNumberFormat="1" applyFont="1" applyBorder="1"/>
    <xf numFmtId="10" fontId="0" fillId="0" borderId="55" xfId="0" applyNumberFormat="1" applyBorder="1"/>
    <xf numFmtId="168" fontId="11" fillId="0" borderId="55" xfId="0" applyNumberFormat="1" applyFont="1" applyBorder="1"/>
    <xf numFmtId="168" fontId="11" fillId="0" borderId="67" xfId="0" applyNumberFormat="1" applyFont="1" applyBorder="1"/>
    <xf numFmtId="169" fontId="11" fillId="2" borderId="1" xfId="0" applyNumberFormat="1" applyFont="1" applyFill="1" applyBorder="1"/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4" borderId="5" xfId="0" applyFont="1" applyFill="1" applyBorder="1" applyAlignment="1"/>
    <xf numFmtId="3" fontId="0" fillId="2" borderId="1" xfId="0" applyNumberFormat="1" applyFill="1" applyBorder="1"/>
    <xf numFmtId="0" fontId="30" fillId="0" borderId="0" xfId="0" applyFont="1" applyAlignment="1"/>
    <xf numFmtId="164" fontId="31" fillId="0" borderId="1" xfId="0" applyNumberFormat="1" applyFont="1" applyBorder="1" applyAlignment="1">
      <alignment horizontal="right"/>
    </xf>
    <xf numFmtId="164" fontId="31" fillId="0" borderId="0" xfId="0" applyNumberFormat="1" applyFont="1" applyBorder="1" applyAlignment="1">
      <alignment horizontal="right"/>
    </xf>
    <xf numFmtId="0" fontId="10" fillId="4" borderId="2" xfId="0" applyFont="1" applyFill="1" applyBorder="1"/>
    <xf numFmtId="168" fontId="0" fillId="0" borderId="0" xfId="658" applyNumberFormat="1" applyFont="1"/>
    <xf numFmtId="173" fontId="0" fillId="0" borderId="0" xfId="0" applyNumberFormat="1"/>
    <xf numFmtId="11" fontId="0" fillId="0" borderId="0" xfId="0" applyNumberFormat="1"/>
    <xf numFmtId="0" fontId="0" fillId="0" borderId="0" xfId="0" applyAlignment="1">
      <alignment horizontal="center"/>
    </xf>
    <xf numFmtId="10" fontId="0" fillId="0" borderId="0" xfId="658" applyNumberFormat="1" applyFont="1"/>
    <xf numFmtId="10" fontId="0" fillId="0" borderId="0" xfId="0" applyNumberFormat="1"/>
    <xf numFmtId="0" fontId="10" fillId="4" borderId="1" xfId="0" applyFont="1" applyFill="1" applyBorder="1" applyAlignment="1">
      <alignment horizontal="right"/>
    </xf>
    <xf numFmtId="168" fontId="0" fillId="0" borderId="1" xfId="658" applyNumberFormat="1" applyFont="1" applyBorder="1"/>
    <xf numFmtId="172" fontId="0" fillId="0" borderId="0" xfId="658" applyNumberFormat="1" applyFont="1"/>
    <xf numFmtId="9" fontId="0" fillId="0" borderId="1" xfId="0" applyNumberFormat="1" applyBorder="1"/>
    <xf numFmtId="167" fontId="0" fillId="0" borderId="1" xfId="0" applyNumberFormat="1" applyBorder="1"/>
    <xf numFmtId="10" fontId="0" fillId="0" borderId="1" xfId="658" applyNumberFormat="1" applyFont="1" applyBorder="1"/>
    <xf numFmtId="164" fontId="0" fillId="0" borderId="1" xfId="0" applyNumberFormat="1" applyFont="1" applyBorder="1" applyAlignment="1">
      <alignment horizontal="right"/>
    </xf>
    <xf numFmtId="0" fontId="10" fillId="4" borderId="1" xfId="0" applyFont="1" applyFill="1" applyBorder="1" applyAlignment="1">
      <alignment horizontal="center"/>
    </xf>
    <xf numFmtId="0" fontId="0" fillId="0" borderId="1" xfId="0" applyFont="1" applyBorder="1"/>
    <xf numFmtId="8" fontId="0" fillId="0" borderId="1" xfId="0" applyNumberFormat="1" applyBorder="1" applyAlignment="1">
      <alignment horizontal="center" vertical="center"/>
    </xf>
    <xf numFmtId="0" fontId="0" fillId="0" borderId="0" xfId="0" applyFont="1"/>
    <xf numFmtId="0" fontId="10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8" fillId="0" borderId="0" xfId="491"/>
    <xf numFmtId="0" fontId="32" fillId="0" borderId="0" xfId="491" applyFont="1" applyAlignment="1">
      <alignment vertical="center" wrapText="1"/>
    </xf>
    <xf numFmtId="0" fontId="32" fillId="0" borderId="0" xfId="491" applyFont="1" applyAlignment="1">
      <alignment horizontal="right" vertical="center" wrapText="1"/>
    </xf>
    <xf numFmtId="173" fontId="32" fillId="0" borderId="0" xfId="491" applyNumberFormat="1" applyFont="1" applyAlignment="1">
      <alignment horizontal="right" vertical="center" wrapText="1"/>
    </xf>
    <xf numFmtId="14" fontId="9" fillId="0" borderId="1" xfId="0" applyNumberFormat="1" applyFont="1" applyBorder="1"/>
    <xf numFmtId="0" fontId="9" fillId="0" borderId="1" xfId="0" applyFont="1" applyBorder="1" applyAlignment="1">
      <alignment horizontal="center" vertical="center" wrapText="1"/>
    </xf>
    <xf numFmtId="174" fontId="9" fillId="0" borderId="1" xfId="0" applyNumberFormat="1" applyFont="1" applyBorder="1"/>
    <xf numFmtId="174" fontId="9" fillId="0" borderId="0" xfId="0" applyNumberFormat="1" applyFont="1"/>
    <xf numFmtId="173" fontId="9" fillId="0" borderId="0" xfId="0" applyNumberFormat="1" applyFont="1"/>
    <xf numFmtId="0" fontId="36" fillId="4" borderId="1" xfId="0" applyFont="1" applyFill="1" applyBorder="1" applyAlignment="1">
      <alignment horizontal="center"/>
    </xf>
    <xf numFmtId="0" fontId="37" fillId="12" borderId="1" xfId="0" applyFont="1" applyFill="1" applyBorder="1"/>
    <xf numFmtId="173" fontId="38" fillId="0" borderId="1" xfId="0" applyNumberFormat="1" applyFont="1" applyBorder="1"/>
    <xf numFmtId="0" fontId="37" fillId="14" borderId="1" xfId="0" applyFont="1" applyFill="1" applyBorder="1"/>
    <xf numFmtId="0" fontId="37" fillId="13" borderId="1" xfId="0" applyFont="1" applyFill="1" applyBorder="1"/>
    <xf numFmtId="0" fontId="37" fillId="15" borderId="1" xfId="0" applyFont="1" applyFill="1" applyBorder="1"/>
    <xf numFmtId="0" fontId="11" fillId="0" borderId="0" xfId="0" applyFont="1"/>
    <xf numFmtId="0" fontId="11" fillId="6" borderId="12" xfId="0" applyFont="1" applyFill="1" applyBorder="1"/>
    <xf numFmtId="0" fontId="11" fillId="6" borderId="13" xfId="0" applyFont="1" applyFill="1" applyBorder="1"/>
    <xf numFmtId="0" fontId="11" fillId="6" borderId="14" xfId="0" applyFont="1" applyFill="1" applyBorder="1"/>
    <xf numFmtId="0" fontId="11" fillId="6" borderId="23" xfId="0" applyFont="1" applyFill="1" applyBorder="1"/>
    <xf numFmtId="0" fontId="11" fillId="7" borderId="12" xfId="0" applyFont="1" applyFill="1" applyBorder="1"/>
    <xf numFmtId="0" fontId="11" fillId="7" borderId="13" xfId="0" applyFont="1" applyFill="1" applyBorder="1"/>
    <xf numFmtId="0" fontId="11" fillId="7" borderId="14" xfId="0" applyFont="1" applyFill="1" applyBorder="1"/>
    <xf numFmtId="0" fontId="11" fillId="6" borderId="15" xfId="0" applyFont="1" applyFill="1" applyBorder="1"/>
    <xf numFmtId="0" fontId="11" fillId="6" borderId="0" xfId="0" applyFont="1" applyFill="1" applyBorder="1"/>
    <xf numFmtId="0" fontId="11" fillId="6" borderId="16" xfId="0" applyFont="1" applyFill="1" applyBorder="1"/>
    <xf numFmtId="0" fontId="11" fillId="6" borderId="24" xfId="0" applyFont="1" applyFill="1" applyBorder="1"/>
    <xf numFmtId="0" fontId="11" fillId="7" borderId="15" xfId="0" applyFont="1" applyFill="1" applyBorder="1"/>
    <xf numFmtId="0" fontId="11" fillId="7" borderId="0" xfId="0" applyFont="1" applyFill="1" applyBorder="1"/>
    <xf numFmtId="0" fontId="11" fillId="7" borderId="16" xfId="0" applyFont="1" applyFill="1" applyBorder="1"/>
    <xf numFmtId="0" fontId="11" fillId="6" borderId="20" xfId="0" applyFont="1" applyFill="1" applyBorder="1"/>
    <xf numFmtId="0" fontId="11" fillId="6" borderId="21" xfId="0" applyFont="1" applyFill="1" applyBorder="1"/>
    <xf numFmtId="0" fontId="11" fillId="6" borderId="22" xfId="0" applyFont="1" applyFill="1" applyBorder="1"/>
    <xf numFmtId="0" fontId="11" fillId="6" borderId="25" xfId="0" applyFont="1" applyFill="1" applyBorder="1"/>
    <xf numFmtId="0" fontId="11" fillId="7" borderId="20" xfId="0" applyFont="1" applyFill="1" applyBorder="1"/>
    <xf numFmtId="0" fontId="11" fillId="7" borderId="21" xfId="0" applyFont="1" applyFill="1" applyBorder="1"/>
    <xf numFmtId="0" fontId="11" fillId="7" borderId="22" xfId="0" applyFont="1" applyFill="1" applyBorder="1"/>
    <xf numFmtId="0" fontId="11" fillId="0" borderId="27" xfId="0" applyFont="1" applyBorder="1"/>
    <xf numFmtId="0" fontId="11" fillId="6" borderId="17" xfId="0" applyFont="1" applyFill="1" applyBorder="1"/>
    <xf numFmtId="0" fontId="11" fillId="6" borderId="3" xfId="0" applyFont="1" applyFill="1" applyBorder="1"/>
    <xf numFmtId="0" fontId="11" fillId="6" borderId="18" xfId="0" applyFont="1" applyFill="1" applyBorder="1"/>
    <xf numFmtId="0" fontId="11" fillId="6" borderId="26" xfId="0" applyFont="1" applyFill="1" applyBorder="1"/>
    <xf numFmtId="0" fontId="11" fillId="7" borderId="17" xfId="0" applyFont="1" applyFill="1" applyBorder="1"/>
    <xf numFmtId="0" fontId="11" fillId="7" borderId="3" xfId="0" applyFont="1" applyFill="1" applyBorder="1"/>
    <xf numFmtId="0" fontId="11" fillId="7" borderId="18" xfId="0" applyFont="1" applyFill="1" applyBorder="1"/>
    <xf numFmtId="0" fontId="11" fillId="7" borderId="23" xfId="0" applyFont="1" applyFill="1" applyBorder="1"/>
    <xf numFmtId="0" fontId="11" fillId="4" borderId="12" xfId="0" applyFont="1" applyFill="1" applyBorder="1"/>
    <xf numFmtId="0" fontId="11" fillId="4" borderId="13" xfId="0" applyFont="1" applyFill="1" applyBorder="1"/>
    <xf numFmtId="0" fontId="11" fillId="4" borderId="14" xfId="0" applyFont="1" applyFill="1" applyBorder="1"/>
    <xf numFmtId="0" fontId="11" fillId="7" borderId="24" xfId="0" applyFont="1" applyFill="1" applyBorder="1"/>
    <xf numFmtId="0" fontId="11" fillId="4" borderId="15" xfId="0" applyFont="1" applyFill="1" applyBorder="1"/>
    <xf numFmtId="0" fontId="11" fillId="4" borderId="0" xfId="0" applyFont="1" applyFill="1" applyBorder="1"/>
    <xf numFmtId="0" fontId="11" fillId="4" borderId="16" xfId="0" applyFont="1" applyFill="1" applyBorder="1"/>
    <xf numFmtId="0" fontId="11" fillId="7" borderId="26" xfId="0" applyFont="1" applyFill="1" applyBorder="1"/>
    <xf numFmtId="0" fontId="11" fillId="4" borderId="17" xfId="0" applyFont="1" applyFill="1" applyBorder="1"/>
    <xf numFmtId="0" fontId="11" fillId="4" borderId="3" xfId="0" applyFont="1" applyFill="1" applyBorder="1"/>
    <xf numFmtId="0" fontId="11" fillId="4" borderId="18" xfId="0" applyFont="1" applyFill="1" applyBorder="1"/>
    <xf numFmtId="0" fontId="11" fillId="4" borderId="23" xfId="0" applyFont="1" applyFill="1" applyBorder="1"/>
    <xf numFmtId="0" fontId="11" fillId="4" borderId="24" xfId="0" applyFont="1" applyFill="1" applyBorder="1"/>
    <xf numFmtId="0" fontId="11" fillId="4" borderId="26" xfId="0" applyFont="1" applyFill="1" applyBorder="1"/>
    <xf numFmtId="0" fontId="9" fillId="0" borderId="0" xfId="0" applyFont="1" applyAlignment="1">
      <alignment vertical="top"/>
    </xf>
    <xf numFmtId="0" fontId="9" fillId="0" borderId="37" xfId="0" applyFont="1" applyBorder="1" applyAlignment="1">
      <alignment vertical="top"/>
    </xf>
    <xf numFmtId="0" fontId="9" fillId="0" borderId="33" xfId="0" applyFont="1" applyBorder="1" applyAlignment="1">
      <alignment vertical="top"/>
    </xf>
    <xf numFmtId="0" fontId="9" fillId="0" borderId="32" xfId="0" applyFont="1" applyBorder="1" applyAlignment="1">
      <alignment vertical="top"/>
    </xf>
    <xf numFmtId="0" fontId="10" fillId="4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4" fontId="11" fillId="2" borderId="1" xfId="0" applyNumberFormat="1" applyFont="1" applyFill="1" applyBorder="1"/>
    <xf numFmtId="175" fontId="0" fillId="0" borderId="1" xfId="0" applyNumberFormat="1" applyBorder="1"/>
    <xf numFmtId="175" fontId="11" fillId="0" borderId="1" xfId="0" applyNumberFormat="1" applyFont="1" applyBorder="1"/>
    <xf numFmtId="167" fontId="12" fillId="0" borderId="1" xfId="0" applyNumberFormat="1" applyFont="1" applyBorder="1"/>
    <xf numFmtId="0" fontId="10" fillId="4" borderId="8" xfId="0" applyFont="1" applyFill="1" applyBorder="1"/>
    <xf numFmtId="0" fontId="10" fillId="4" borderId="46" xfId="0" applyFont="1" applyFill="1" applyBorder="1"/>
    <xf numFmtId="0" fontId="10" fillId="4" borderId="58" xfId="0" applyFont="1" applyFill="1" applyBorder="1"/>
    <xf numFmtId="0" fontId="0" fillId="0" borderId="59" xfId="0" applyBorder="1"/>
    <xf numFmtId="43" fontId="0" fillId="0" borderId="1" xfId="0" applyNumberFormat="1" applyBorder="1"/>
    <xf numFmtId="0" fontId="10" fillId="4" borderId="1" xfId="0" applyFont="1" applyFill="1" applyBorder="1" applyAlignment="1">
      <alignment horizontal="center" vertical="center" wrapText="1"/>
    </xf>
    <xf numFmtId="173" fontId="28" fillId="0" borderId="0" xfId="491" applyNumberFormat="1"/>
    <xf numFmtId="164" fontId="0" fillId="0" borderId="69" xfId="0" applyNumberFormat="1" applyBorder="1"/>
    <xf numFmtId="164" fontId="0" fillId="0" borderId="70" xfId="0" applyNumberForma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4" fontId="0" fillId="0" borderId="0" xfId="0" applyNumberFormat="1"/>
    <xf numFmtId="172" fontId="0" fillId="0" borderId="1" xfId="0" applyNumberForma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72" fontId="0" fillId="0" borderId="0" xfId="1" applyNumberFormat="1" applyFont="1"/>
    <xf numFmtId="176" fontId="41" fillId="0" borderId="0" xfId="0" applyNumberFormat="1" applyFont="1" applyAlignment="1">
      <alignment vertical="center"/>
    </xf>
    <xf numFmtId="0" fontId="28" fillId="0" borderId="0" xfId="49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 wrapText="1"/>
    </xf>
    <xf numFmtId="10" fontId="10" fillId="4" borderId="1" xfId="1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left" vertical="center" wrapText="1"/>
    </xf>
    <xf numFmtId="0" fontId="17" fillId="0" borderId="0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 textRotation="180"/>
    </xf>
    <xf numFmtId="0" fontId="16" fillId="0" borderId="1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34" fillId="2" borderId="29" xfId="0" applyFont="1" applyFill="1" applyBorder="1" applyAlignment="1">
      <alignment horizontal="center" vertical="top"/>
    </xf>
    <xf numFmtId="0" fontId="34" fillId="2" borderId="30" xfId="0" applyFont="1" applyFill="1" applyBorder="1" applyAlignment="1">
      <alignment horizontal="center" vertical="top"/>
    </xf>
    <xf numFmtId="0" fontId="34" fillId="2" borderId="31" xfId="0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/>
    </xf>
    <xf numFmtId="0" fontId="34" fillId="2" borderId="35" xfId="0" applyFont="1" applyFill="1" applyBorder="1" applyAlignment="1">
      <alignment horizontal="center" vertical="top"/>
    </xf>
    <xf numFmtId="0" fontId="34" fillId="2" borderId="36" xfId="0" applyFont="1" applyFill="1" applyBorder="1" applyAlignment="1">
      <alignment horizontal="center" vertical="top"/>
    </xf>
    <xf numFmtId="0" fontId="34" fillId="2" borderId="28" xfId="0" applyFont="1" applyFill="1" applyBorder="1" applyAlignment="1">
      <alignment horizontal="center" vertical="top"/>
    </xf>
    <xf numFmtId="0" fontId="39" fillId="0" borderId="40" xfId="0" applyFont="1" applyBorder="1" applyAlignment="1">
      <alignment horizontal="left" vertical="top" wrapText="1"/>
    </xf>
    <xf numFmtId="0" fontId="39" fillId="0" borderId="19" xfId="0" applyFont="1" applyBorder="1" applyAlignment="1">
      <alignment horizontal="left" vertical="top" wrapText="1"/>
    </xf>
    <xf numFmtId="0" fontId="39" fillId="0" borderId="41" xfId="0" applyFont="1" applyBorder="1" applyAlignment="1">
      <alignment horizontal="left" vertical="top" wrapText="1"/>
    </xf>
    <xf numFmtId="0" fontId="39" fillId="0" borderId="38" xfId="0" applyFont="1" applyBorder="1" applyAlignment="1">
      <alignment horizontal="left" vertical="top" wrapText="1"/>
    </xf>
    <xf numFmtId="0" fontId="39" fillId="0" borderId="0" xfId="0" applyFont="1" applyBorder="1" applyAlignment="1">
      <alignment horizontal="left" vertical="top" wrapText="1"/>
    </xf>
    <xf numFmtId="0" fontId="39" fillId="0" borderId="37" xfId="0" applyFont="1" applyBorder="1" applyAlignment="1">
      <alignment horizontal="left" vertical="top" wrapText="1"/>
    </xf>
    <xf numFmtId="0" fontId="39" fillId="0" borderId="42" xfId="0" applyFont="1" applyBorder="1" applyAlignment="1">
      <alignment horizontal="left" vertical="top" wrapText="1"/>
    </xf>
    <xf numFmtId="0" fontId="39" fillId="0" borderId="33" xfId="0" applyFont="1" applyBorder="1" applyAlignment="1">
      <alignment horizontal="left" vertical="top" wrapText="1"/>
    </xf>
    <xf numFmtId="0" fontId="39" fillId="0" borderId="43" xfId="0" applyFont="1" applyBorder="1" applyAlignment="1">
      <alignment horizontal="left" vertical="top" wrapText="1"/>
    </xf>
    <xf numFmtId="0" fontId="39" fillId="0" borderId="44" xfId="0" applyFont="1" applyBorder="1" applyAlignment="1">
      <alignment horizontal="left" vertical="top" wrapText="1"/>
    </xf>
    <xf numFmtId="0" fontId="39" fillId="0" borderId="39" xfId="0" applyFont="1" applyBorder="1" applyAlignment="1">
      <alignment horizontal="left" vertical="top" wrapText="1"/>
    </xf>
    <xf numFmtId="0" fontId="39" fillId="0" borderId="45" xfId="0" applyFont="1" applyBorder="1" applyAlignment="1">
      <alignment horizontal="left" vertical="top" wrapText="1"/>
    </xf>
    <xf numFmtId="0" fontId="35" fillId="4" borderId="34" xfId="0" applyFont="1" applyFill="1" applyBorder="1" applyAlignment="1">
      <alignment horizontal="center" vertical="top"/>
    </xf>
    <xf numFmtId="0" fontId="35" fillId="4" borderId="35" xfId="0" applyFont="1" applyFill="1" applyBorder="1" applyAlignment="1">
      <alignment horizontal="center" vertical="top"/>
    </xf>
    <xf numFmtId="0" fontId="35" fillId="4" borderId="36" xfId="0" applyFont="1" applyFill="1" applyBorder="1" applyAlignment="1">
      <alignment horizontal="center" vertical="top"/>
    </xf>
    <xf numFmtId="0" fontId="35" fillId="4" borderId="28" xfId="0" applyFont="1" applyFill="1" applyBorder="1" applyAlignment="1">
      <alignment horizontal="center" vertical="top"/>
    </xf>
    <xf numFmtId="0" fontId="9" fillId="0" borderId="2" xfId="0" applyFont="1" applyBorder="1" applyAlignment="1">
      <alignment horizontal="left" vertical="top" wrapText="1"/>
    </xf>
    <xf numFmtId="0" fontId="9" fillId="0" borderId="8" xfId="0" applyFont="1" applyBorder="1" applyAlignment="1">
      <alignment horizontal="left" vertical="top" wrapText="1"/>
    </xf>
    <xf numFmtId="0" fontId="0" fillId="0" borderId="2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/>
    </xf>
    <xf numFmtId="0" fontId="20" fillId="0" borderId="51" xfId="166" applyFont="1" applyBorder="1" applyAlignment="1">
      <alignment horizontal="center" vertical="center"/>
    </xf>
    <xf numFmtId="0" fontId="20" fillId="0" borderId="46" xfId="166" applyFont="1" applyBorder="1" applyAlignment="1">
      <alignment horizontal="center" vertical="center"/>
    </xf>
    <xf numFmtId="0" fontId="20" fillId="0" borderId="52" xfId="166" applyFont="1" applyBorder="1" applyAlignment="1">
      <alignment horizontal="center" vertical="center"/>
    </xf>
    <xf numFmtId="0" fontId="20" fillId="0" borderId="1" xfId="166" applyFont="1" applyBorder="1" applyAlignment="1">
      <alignment horizontal="center" vertical="center"/>
    </xf>
    <xf numFmtId="0" fontId="20" fillId="0" borderId="53" xfId="166" applyFont="1" applyBorder="1" applyAlignment="1">
      <alignment horizontal="center" vertical="center" wrapText="1"/>
    </xf>
    <xf numFmtId="0" fontId="20" fillId="0" borderId="7" xfId="166" applyFont="1" applyBorder="1" applyAlignment="1">
      <alignment horizontal="center" vertical="center" wrapText="1"/>
    </xf>
    <xf numFmtId="0" fontId="20" fillId="0" borderId="8" xfId="166" applyFont="1" applyBorder="1" applyAlignment="1">
      <alignment horizontal="center" vertical="center" wrapText="1"/>
    </xf>
    <xf numFmtId="0" fontId="20" fillId="0" borderId="53" xfId="166" applyFont="1" applyFill="1" applyBorder="1" applyAlignment="1">
      <alignment horizontal="center" vertical="center" wrapText="1"/>
    </xf>
    <xf numFmtId="0" fontId="20" fillId="0" borderId="7" xfId="166" applyFont="1" applyFill="1" applyBorder="1" applyAlignment="1">
      <alignment horizontal="center" vertical="center" wrapText="1"/>
    </xf>
    <xf numFmtId="0" fontId="20" fillId="0" borderId="8" xfId="166" applyFont="1" applyFill="1" applyBorder="1" applyAlignment="1">
      <alignment horizontal="center" vertical="center" wrapText="1"/>
    </xf>
    <xf numFmtId="0" fontId="20" fillId="0" borderId="63" xfId="166" applyFont="1" applyBorder="1" applyAlignment="1">
      <alignment horizontal="center" vertical="center" wrapText="1"/>
    </xf>
    <xf numFmtId="0" fontId="20" fillId="0" borderId="64" xfId="166" applyFont="1" applyBorder="1" applyAlignment="1">
      <alignment horizontal="center" vertical="center" wrapText="1"/>
    </xf>
    <xf numFmtId="0" fontId="20" fillId="0" borderId="65" xfId="166" applyFont="1" applyBorder="1" applyAlignment="1">
      <alignment horizontal="center" vertical="center" wrapText="1"/>
    </xf>
    <xf numFmtId="0" fontId="19" fillId="0" borderId="2" xfId="166" applyFont="1" applyBorder="1" applyAlignment="1">
      <alignment horizontal="center" vertical="center"/>
    </xf>
    <xf numFmtId="0" fontId="20" fillId="0" borderId="52" xfId="166" applyFont="1" applyBorder="1" applyAlignment="1">
      <alignment horizontal="center" vertical="center" wrapText="1"/>
    </xf>
    <xf numFmtId="0" fontId="20" fillId="0" borderId="1" xfId="166" applyFont="1" applyBorder="1" applyAlignment="1">
      <alignment horizontal="center" vertical="center" wrapText="1"/>
    </xf>
    <xf numFmtId="0" fontId="20" fillId="0" borderId="54" xfId="166" applyFont="1" applyBorder="1" applyAlignment="1">
      <alignment horizontal="center" vertical="center" wrapText="1"/>
    </xf>
    <xf numFmtId="0" fontId="20" fillId="0" borderId="55" xfId="166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17" fontId="10" fillId="4" borderId="1" xfId="0" applyNumberFormat="1" applyFont="1" applyFill="1" applyBorder="1" applyAlignment="1">
      <alignment horizontal="center" vertical="center" wrapText="1"/>
    </xf>
    <xf numFmtId="0" fontId="10" fillId="4" borderId="68" xfId="0" applyFont="1" applyFill="1" applyBorder="1" applyAlignment="1">
      <alignment horizontal="center" vertical="center" wrapText="1"/>
    </xf>
    <xf numFmtId="0" fontId="10" fillId="4" borderId="69" xfId="0" applyFont="1" applyFill="1" applyBorder="1" applyAlignment="1">
      <alignment horizontal="center" vertical="center" wrapText="1"/>
    </xf>
    <xf numFmtId="17" fontId="10" fillId="4" borderId="6" xfId="0" applyNumberFormat="1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52" xfId="0" applyFont="1" applyFill="1" applyBorder="1" applyAlignment="1">
      <alignment horizontal="center" wrapText="1"/>
    </xf>
    <xf numFmtId="0" fontId="10" fillId="4" borderId="51" xfId="0" applyFont="1" applyFill="1" applyBorder="1" applyAlignment="1">
      <alignment horizontal="center"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4" borderId="52" xfId="0" applyFont="1" applyFill="1" applyBorder="1" applyAlignment="1">
      <alignment horizontal="center" vertical="center" wrapText="1"/>
    </xf>
    <xf numFmtId="0" fontId="10" fillId="4" borderId="63" xfId="0" applyFont="1" applyFill="1" applyBorder="1" applyAlignment="1">
      <alignment horizontal="center" vertical="center" wrapText="1"/>
    </xf>
    <xf numFmtId="0" fontId="10" fillId="4" borderId="65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2" borderId="2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10" fillId="4" borderId="1" xfId="0" applyFont="1" applyFill="1" applyBorder="1" applyAlignment="1">
      <alignment horizontal="left"/>
    </xf>
    <xf numFmtId="0" fontId="0" fillId="2" borderId="7" xfId="0" applyFill="1" applyBorder="1" applyAlignment="1">
      <alignment horizontal="center"/>
    </xf>
    <xf numFmtId="0" fontId="0" fillId="2" borderId="2" xfId="0" applyFill="1" applyBorder="1" applyAlignment="1">
      <alignment horizontal="center" wrapText="1"/>
    </xf>
    <xf numFmtId="0" fontId="0" fillId="2" borderId="8" xfId="0" applyFill="1" applyBorder="1" applyAlignment="1">
      <alignment horizontal="center" wrapText="1"/>
    </xf>
    <xf numFmtId="0" fontId="10" fillId="4" borderId="66" xfId="0" applyFont="1" applyFill="1" applyBorder="1" applyAlignment="1">
      <alignment horizontal="center"/>
    </xf>
    <xf numFmtId="0" fontId="0" fillId="0" borderId="66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0" xfId="0" applyAlignment="1">
      <alignment horizontal="center" wrapText="1"/>
    </xf>
    <xf numFmtId="0" fontId="10" fillId="4" borderId="5" xfId="0" applyFont="1" applyFill="1" applyBorder="1" applyAlignment="1">
      <alignment horizontal="left"/>
    </xf>
    <xf numFmtId="0" fontId="10" fillId="4" borderId="6" xfId="0" applyFont="1" applyFill="1" applyBorder="1" applyAlignment="1">
      <alignment horizontal="left"/>
    </xf>
    <xf numFmtId="0" fontId="10" fillId="12" borderId="0" xfId="0" applyFont="1" applyFill="1" applyAlignment="1">
      <alignment horizontal="center"/>
    </xf>
    <xf numFmtId="0" fontId="10" fillId="11" borderId="0" xfId="0" applyFont="1" applyFill="1" applyAlignment="1">
      <alignment horizontal="center"/>
    </xf>
    <xf numFmtId="0" fontId="10" fillId="10" borderId="0" xfId="0" applyFont="1" applyFill="1" applyAlignment="1">
      <alignment horizontal="center"/>
    </xf>
    <xf numFmtId="175" fontId="10" fillId="10" borderId="1" xfId="0" applyNumberFormat="1" applyFont="1" applyFill="1" applyBorder="1" applyAlignment="1">
      <alignment horizontal="center"/>
    </xf>
    <xf numFmtId="0" fontId="10" fillId="10" borderId="66" xfId="0" applyFont="1" applyFill="1" applyBorder="1" applyAlignment="1">
      <alignment horizontal="center"/>
    </xf>
    <xf numFmtId="0" fontId="10" fillId="10" borderId="6" xfId="0" applyFont="1" applyFill="1" applyBorder="1" applyAlignment="1">
      <alignment horizontal="center"/>
    </xf>
    <xf numFmtId="0" fontId="10" fillId="10" borderId="1" xfId="0" applyFont="1" applyFill="1" applyBorder="1" applyAlignment="1">
      <alignment horizontal="center"/>
    </xf>
    <xf numFmtId="175" fontId="0" fillId="0" borderId="1" xfId="0" applyNumberFormat="1" applyBorder="1" applyAlignment="1">
      <alignment horizontal="center"/>
    </xf>
    <xf numFmtId="0" fontId="10" fillId="4" borderId="46" xfId="0" applyFont="1" applyFill="1" applyBorder="1" applyAlignment="1">
      <alignment horizontal="center"/>
    </xf>
    <xf numFmtId="0" fontId="10" fillId="4" borderId="58" xfId="0" applyFont="1" applyFill="1" applyBorder="1" applyAlignment="1">
      <alignment horizontal="center"/>
    </xf>
    <xf numFmtId="0" fontId="10" fillId="4" borderId="59" xfId="0" applyFont="1" applyFill="1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6" xfId="0" applyBorder="1" applyAlignment="1">
      <alignment horizontal="center"/>
    </xf>
    <xf numFmtId="0" fontId="10" fillId="8" borderId="51" xfId="166" applyFont="1" applyFill="1" applyBorder="1" applyAlignment="1">
      <alignment horizontal="center"/>
    </xf>
    <xf numFmtId="0" fontId="10" fillId="8" borderId="52" xfId="166" applyFont="1" applyFill="1" applyBorder="1" applyAlignment="1">
      <alignment horizontal="center"/>
    </xf>
    <xf numFmtId="0" fontId="10" fillId="8" borderId="54" xfId="166" applyFont="1" applyFill="1" applyBorder="1" applyAlignment="1">
      <alignment horizontal="center"/>
    </xf>
    <xf numFmtId="0" fontId="29" fillId="0" borderId="46" xfId="491" applyFont="1" applyFill="1" applyBorder="1" applyAlignment="1">
      <alignment horizontal="center" vertical="center"/>
    </xf>
    <xf numFmtId="0" fontId="29" fillId="0" borderId="1" xfId="491" applyFont="1" applyFill="1" applyBorder="1" applyAlignment="1">
      <alignment horizontal="center" vertical="center"/>
    </xf>
    <xf numFmtId="0" fontId="29" fillId="0" borderId="55" xfId="491" applyFont="1" applyFill="1" applyBorder="1" applyAlignment="1">
      <alignment horizontal="center" vertical="center"/>
    </xf>
    <xf numFmtId="0" fontId="29" fillId="0" borderId="58" xfId="491" applyFont="1" applyFill="1" applyBorder="1" applyAlignment="1">
      <alignment horizontal="center" vertical="center"/>
    </xf>
    <xf numFmtId="0" fontId="29" fillId="0" borderId="59" xfId="491" applyFont="1" applyFill="1" applyBorder="1" applyAlignment="1">
      <alignment horizontal="center" vertical="center"/>
    </xf>
    <xf numFmtId="0" fontId="29" fillId="0" borderId="67" xfId="491" applyFont="1" applyFill="1" applyBorder="1" applyAlignment="1">
      <alignment horizontal="center" vertical="center"/>
    </xf>
  </cellXfs>
  <cellStyles count="1091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41" builtinId="8" hidden="1"/>
    <cellStyle name="Hipervínculo" xfId="343" builtinId="8" hidden="1"/>
    <cellStyle name="Hipervínculo" xfId="345" builtinId="8" hidden="1"/>
    <cellStyle name="Hipervínculo" xfId="347" builtinId="8" hidden="1"/>
    <cellStyle name="Hipervínculo" xfId="349" builtinId="8" hidden="1"/>
    <cellStyle name="Hipervínculo" xfId="351" builtinId="8" hidden="1"/>
    <cellStyle name="Hipervínculo" xfId="353" builtinId="8" hidden="1"/>
    <cellStyle name="Hipervínculo" xfId="355" builtinId="8" hidden="1"/>
    <cellStyle name="Hipervínculo" xfId="357" builtinId="8" hidden="1"/>
    <cellStyle name="Hipervínculo" xfId="359" builtinId="8" hidden="1"/>
    <cellStyle name="Hipervínculo" xfId="361" builtinId="8" hidden="1"/>
    <cellStyle name="Hipervínculo" xfId="363" builtinId="8" hidden="1"/>
    <cellStyle name="Hipervínculo" xfId="365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" xfId="427" builtinId="8" hidden="1"/>
    <cellStyle name="Hipervínculo" xfId="429" builtinId="8" hidden="1"/>
    <cellStyle name="Hipervínculo" xfId="431" builtinId="8" hidden="1"/>
    <cellStyle name="Hipervínculo" xfId="433" builtinId="8" hidden="1"/>
    <cellStyle name="Hipervínculo" xfId="435" builtinId="8" hidden="1"/>
    <cellStyle name="Hipervínculo" xfId="437" builtinId="8" hidden="1"/>
    <cellStyle name="Hipervínculo" xfId="439" builtinId="8" hidden="1"/>
    <cellStyle name="Hipervínculo" xfId="441" builtinId="8" hidden="1"/>
    <cellStyle name="Hipervínculo" xfId="443" builtinId="8" hidden="1"/>
    <cellStyle name="Hipervínculo" xfId="445" builtinId="8" hidden="1"/>
    <cellStyle name="Hipervínculo" xfId="447" builtinId="8" hidden="1"/>
    <cellStyle name="Hipervínculo" xfId="449" builtinId="8" hidden="1"/>
    <cellStyle name="Hipervínculo" xfId="451" builtinId="8" hidden="1"/>
    <cellStyle name="Hipervínculo" xfId="453" builtinId="8" hidden="1"/>
    <cellStyle name="Hipervínculo" xfId="455" builtinId="8" hidden="1"/>
    <cellStyle name="Hipervínculo" xfId="457" builtinId="8" hidden="1"/>
    <cellStyle name="Hipervínculo" xfId="459" builtinId="8" hidden="1"/>
    <cellStyle name="Hipervínculo" xfId="461" builtinId="8" hidden="1"/>
    <cellStyle name="Hipervínculo" xfId="463" builtinId="8" hidden="1"/>
    <cellStyle name="Hipervínculo" xfId="465" builtinId="8" hidden="1"/>
    <cellStyle name="Hipervínculo" xfId="467" builtinId="8" hidden="1"/>
    <cellStyle name="Hipervínculo" xfId="469" builtinId="8" hidden="1"/>
    <cellStyle name="Hipervínculo" xfId="471" builtinId="8" hidden="1"/>
    <cellStyle name="Hipervínculo" xfId="473" builtinId="8" hidden="1"/>
    <cellStyle name="Hipervínculo" xfId="475" builtinId="8" hidden="1"/>
    <cellStyle name="Hipervínculo" xfId="477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9" builtinId="8" hidden="1"/>
    <cellStyle name="Hipervínculo" xfId="661" builtinId="8" hidden="1"/>
    <cellStyle name="Hipervínculo" xfId="663" builtinId="8" hidden="1"/>
    <cellStyle name="Hipervínculo" xfId="665" builtinId="8" hidden="1"/>
    <cellStyle name="Hipervínculo" xfId="667" builtinId="8" hidden="1"/>
    <cellStyle name="Hipervínculo" xfId="669" builtinId="8" hidden="1"/>
    <cellStyle name="Hipervínculo" xfId="671" builtinId="8" hidden="1"/>
    <cellStyle name="Hipervínculo" xfId="673" builtinId="8" hidden="1"/>
    <cellStyle name="Hipervínculo" xfId="675" builtinId="8" hidden="1"/>
    <cellStyle name="Hipervínculo" xfId="677" builtinId="8" hidden="1"/>
    <cellStyle name="Hipervínculo" xfId="679" builtinId="8" hidden="1"/>
    <cellStyle name="Hipervínculo" xfId="681" builtinId="8" hidden="1"/>
    <cellStyle name="Hipervínculo" xfId="683" builtinId="8" hidden="1"/>
    <cellStyle name="Hipervínculo" xfId="685" builtinId="8" hidden="1"/>
    <cellStyle name="Hipervínculo" xfId="687" builtinId="8" hidden="1"/>
    <cellStyle name="Hipervínculo" xfId="689" builtinId="8" hidden="1"/>
    <cellStyle name="Hipervínculo" xfId="691" builtinId="8" hidden="1"/>
    <cellStyle name="Hipervínculo" xfId="693" builtinId="8" hidden="1"/>
    <cellStyle name="Hipervínculo" xfId="695" builtinId="8" hidden="1"/>
    <cellStyle name="Hipervínculo" xfId="697" builtinId="8" hidden="1"/>
    <cellStyle name="Hipervínculo" xfId="699" builtinId="8" hidden="1"/>
    <cellStyle name="Hipervínculo" xfId="701" builtinId="8" hidden="1"/>
    <cellStyle name="Hipervínculo" xfId="703" builtinId="8" hidden="1"/>
    <cellStyle name="Hipervínculo" xfId="705" builtinId="8" hidden="1"/>
    <cellStyle name="Hipervínculo" xfId="707" builtinId="8" hidden="1"/>
    <cellStyle name="Hipervínculo" xfId="709" builtinId="8" hidden="1"/>
    <cellStyle name="Hipervínculo" xfId="711" builtinId="8" hidden="1"/>
    <cellStyle name="Hipervínculo" xfId="713" builtinId="8" hidden="1"/>
    <cellStyle name="Hipervínculo" xfId="715" builtinId="8" hidden="1"/>
    <cellStyle name="Hipervínculo" xfId="717" builtinId="8" hidden="1"/>
    <cellStyle name="Hipervínculo" xfId="719" builtinId="8" hidden="1"/>
    <cellStyle name="Hipervínculo" xfId="721" builtinId="8" hidden="1"/>
    <cellStyle name="Hipervínculo" xfId="723" builtinId="8" hidden="1"/>
    <cellStyle name="Hipervínculo" xfId="725" builtinId="8" hidden="1"/>
    <cellStyle name="Hipervínculo" xfId="727" builtinId="8" hidden="1"/>
    <cellStyle name="Hipervínculo" xfId="729" builtinId="8" hidden="1"/>
    <cellStyle name="Hipervínculo" xfId="731" builtinId="8" hidden="1"/>
    <cellStyle name="Hipervínculo" xfId="733" builtinId="8" hidden="1"/>
    <cellStyle name="Hipervínculo" xfId="735" builtinId="8" hidden="1"/>
    <cellStyle name="Hipervínculo" xfId="737" builtinId="8" hidden="1"/>
    <cellStyle name="Hipervínculo" xfId="739" builtinId="8" hidden="1"/>
    <cellStyle name="Hipervínculo" xfId="741" builtinId="8" hidden="1"/>
    <cellStyle name="Hipervínculo" xfId="743" builtinId="8" hidden="1"/>
    <cellStyle name="Hipervínculo" xfId="745" builtinId="8" hidden="1"/>
    <cellStyle name="Hipervínculo" xfId="747" builtinId="8" hidden="1"/>
    <cellStyle name="Hipervínculo" xfId="749" builtinId="8" hidden="1"/>
    <cellStyle name="Hipervínculo" xfId="751" builtinId="8" hidden="1"/>
    <cellStyle name="Hipervínculo" xfId="753" builtinId="8" hidden="1"/>
    <cellStyle name="Hipervínculo" xfId="755" builtinId="8" hidden="1"/>
    <cellStyle name="Hipervínculo" xfId="757" builtinId="8" hidden="1"/>
    <cellStyle name="Hipervínculo" xfId="759" builtinId="8" hidden="1"/>
    <cellStyle name="Hipervínculo" xfId="761" builtinId="8" hidden="1"/>
    <cellStyle name="Hipervínculo" xfId="763" builtinId="8" hidden="1"/>
    <cellStyle name="Hipervínculo" xfId="765" builtinId="8" hidden="1"/>
    <cellStyle name="Hipervínculo" xfId="767" builtinId="8" hidden="1"/>
    <cellStyle name="Hipervínculo" xfId="769" builtinId="8" hidden="1"/>
    <cellStyle name="Hipervínculo" xfId="771" builtinId="8" hidden="1"/>
    <cellStyle name="Hipervínculo" xfId="773" builtinId="8" hidden="1"/>
    <cellStyle name="Hipervínculo" xfId="775" builtinId="8" hidden="1"/>
    <cellStyle name="Hipervínculo" xfId="777" builtinId="8" hidden="1"/>
    <cellStyle name="Hipervínculo" xfId="779" builtinId="8" hidden="1"/>
    <cellStyle name="Hipervínculo" xfId="781" builtinId="8" hidden="1"/>
    <cellStyle name="Hipervínculo" xfId="783" builtinId="8" hidden="1"/>
    <cellStyle name="Hipervínculo" xfId="785" builtinId="8" hidden="1"/>
    <cellStyle name="Hipervínculo" xfId="787" builtinId="8" hidden="1"/>
    <cellStyle name="Hipervínculo" xfId="789" builtinId="8" hidden="1"/>
    <cellStyle name="Hipervínculo" xfId="791" builtinId="8" hidden="1"/>
    <cellStyle name="Hipervínculo" xfId="793" builtinId="8" hidden="1"/>
    <cellStyle name="Hipervínculo" xfId="795" builtinId="8" hidden="1"/>
    <cellStyle name="Hipervínculo" xfId="797" builtinId="8" hidden="1"/>
    <cellStyle name="Hipervínculo" xfId="799" builtinId="8" hidden="1"/>
    <cellStyle name="Hipervínculo" xfId="801" builtinId="8" hidden="1"/>
    <cellStyle name="Hipervínculo" xfId="803" builtinId="8" hidden="1"/>
    <cellStyle name="Hipervínculo" xfId="805" builtinId="8" hidden="1"/>
    <cellStyle name="Hipervínculo" xfId="807" builtinId="8" hidden="1"/>
    <cellStyle name="Hipervínculo" xfId="809" builtinId="8" hidden="1"/>
    <cellStyle name="Hipervínculo" xfId="811" builtinId="8" hidden="1"/>
    <cellStyle name="Hipervínculo" xfId="813" builtinId="8" hidden="1"/>
    <cellStyle name="Hipervínculo" xfId="815" builtinId="8" hidden="1"/>
    <cellStyle name="Hipervínculo" xfId="817" builtinId="8" hidden="1"/>
    <cellStyle name="Hipervínculo" xfId="819" builtinId="8" hidden="1"/>
    <cellStyle name="Hipervínculo" xfId="821" builtinId="8" hidden="1"/>
    <cellStyle name="Hipervínculo" xfId="823" builtinId="8" hidden="1"/>
    <cellStyle name="Hipervínculo" xfId="825" builtinId="8" hidden="1"/>
    <cellStyle name="Hipervínculo" xfId="827" builtinId="8" hidden="1"/>
    <cellStyle name="Hipervínculo" xfId="829" builtinId="8" hidden="1"/>
    <cellStyle name="Hipervínculo" xfId="831" builtinId="8" hidden="1"/>
    <cellStyle name="Hipervínculo" xfId="833" builtinId="8" hidden="1"/>
    <cellStyle name="Hipervínculo" xfId="835" builtinId="8" hidden="1"/>
    <cellStyle name="Hipervínculo" xfId="837" builtinId="8" hidden="1"/>
    <cellStyle name="Hipervínculo" xfId="839" builtinId="8" hidden="1"/>
    <cellStyle name="Hipervínculo" xfId="841" builtinId="8" hidden="1"/>
    <cellStyle name="Hipervínculo" xfId="843" builtinId="8" hidden="1"/>
    <cellStyle name="Hipervínculo" xfId="845" builtinId="8" hidden="1"/>
    <cellStyle name="Hipervínculo" xfId="847" builtinId="8" hidden="1"/>
    <cellStyle name="Hipervínculo" xfId="849" builtinId="8" hidden="1"/>
    <cellStyle name="Hipervínculo" xfId="851" builtinId="8" hidden="1"/>
    <cellStyle name="Hipervínculo" xfId="853" builtinId="8" hidden="1"/>
    <cellStyle name="Hipervínculo" xfId="855" builtinId="8" hidden="1"/>
    <cellStyle name="Hipervínculo" xfId="857" builtinId="8" hidden="1"/>
    <cellStyle name="Hipervínculo" xfId="859" builtinId="8" hidden="1"/>
    <cellStyle name="Hipervínculo" xfId="861" builtinId="8" hidden="1"/>
    <cellStyle name="Hipervínculo" xfId="863" builtinId="8" hidden="1"/>
    <cellStyle name="Hipervínculo" xfId="865" builtinId="8" hidden="1"/>
    <cellStyle name="Hipervínculo" xfId="867" builtinId="8" hidden="1"/>
    <cellStyle name="Hipervínculo" xfId="869" builtinId="8" hidden="1"/>
    <cellStyle name="Hipervínculo" xfId="871" builtinId="8" hidden="1"/>
    <cellStyle name="Hipervínculo" xfId="873" builtinId="8" hidden="1"/>
    <cellStyle name="Hipervínculo" xfId="875" builtinId="8" hidden="1"/>
    <cellStyle name="Hipervínculo" xfId="877" builtinId="8" hidden="1"/>
    <cellStyle name="Hipervínculo" xfId="879" builtinId="8" hidden="1"/>
    <cellStyle name="Hipervínculo" xfId="881" builtinId="8" hidden="1"/>
    <cellStyle name="Hipervínculo" xfId="883" builtinId="8" hidden="1"/>
    <cellStyle name="Hipervínculo" xfId="885" builtinId="8" hidden="1"/>
    <cellStyle name="Hipervínculo" xfId="887" builtinId="8" hidden="1"/>
    <cellStyle name="Hipervínculo" xfId="889" builtinId="8" hidden="1"/>
    <cellStyle name="Hipervínculo" xfId="891" builtinId="8" hidden="1"/>
    <cellStyle name="Hipervínculo" xfId="893" builtinId="8" hidden="1"/>
    <cellStyle name="Hipervínculo" xfId="895" builtinId="8" hidden="1"/>
    <cellStyle name="Hipervínculo" xfId="897" builtinId="8" hidden="1"/>
    <cellStyle name="Hipervínculo" xfId="899" builtinId="8" hidden="1"/>
    <cellStyle name="Hipervínculo" xfId="901" builtinId="8" hidden="1"/>
    <cellStyle name="Hipervínculo" xfId="903" builtinId="8" hidden="1"/>
    <cellStyle name="Hipervínculo" xfId="905" builtinId="8" hidden="1"/>
    <cellStyle name="Hipervínculo" xfId="907" builtinId="8" hidden="1"/>
    <cellStyle name="Hipervínculo" xfId="909" builtinId="8" hidden="1"/>
    <cellStyle name="Hipervínculo" xfId="911" builtinId="8" hidden="1"/>
    <cellStyle name="Hipervínculo" xfId="913" builtinId="8" hidden="1"/>
    <cellStyle name="Hipervínculo" xfId="915" builtinId="8" hidden="1"/>
    <cellStyle name="Hipervínculo" xfId="917" builtinId="8" hidden="1"/>
    <cellStyle name="Hipervínculo" xfId="919" builtinId="8" hidden="1"/>
    <cellStyle name="Hipervínculo" xfId="921" builtinId="8" hidden="1"/>
    <cellStyle name="Hipervínculo" xfId="923" builtinId="8" hidden="1"/>
    <cellStyle name="Hipervínculo" xfId="925" builtinId="8" hidden="1"/>
    <cellStyle name="Hipervínculo" xfId="927" builtinId="8" hidden="1"/>
    <cellStyle name="Hipervínculo" xfId="929" builtinId="8" hidden="1"/>
    <cellStyle name="Hipervínculo" xfId="931" builtinId="8" hidden="1"/>
    <cellStyle name="Hipervínculo" xfId="933" builtinId="8" hidden="1"/>
    <cellStyle name="Hipervínculo" xfId="935" builtinId="8" hidden="1"/>
    <cellStyle name="Hipervínculo" xfId="937" builtinId="8" hidden="1"/>
    <cellStyle name="Hipervínculo" xfId="939" builtinId="8" hidden="1"/>
    <cellStyle name="Hipervínculo" xfId="941" builtinId="8" hidden="1"/>
    <cellStyle name="Hipervínculo" xfId="943" builtinId="8" hidden="1"/>
    <cellStyle name="Hipervínculo" xfId="945" builtinId="8" hidden="1"/>
    <cellStyle name="Hipervínculo" xfId="947" builtinId="8" hidden="1"/>
    <cellStyle name="Hipervínculo" xfId="949" builtinId="8" hidden="1"/>
    <cellStyle name="Hipervínculo" xfId="951" builtinId="8" hidden="1"/>
    <cellStyle name="Hipervínculo" xfId="953" builtinId="8" hidden="1"/>
    <cellStyle name="Hipervínculo" xfId="955" builtinId="8" hidden="1"/>
    <cellStyle name="Hipervínculo" xfId="957" builtinId="8" hidden="1"/>
    <cellStyle name="Hipervínculo" xfId="959" builtinId="8" hidden="1"/>
    <cellStyle name="Hipervínculo" xfId="961" builtinId="8" hidden="1"/>
    <cellStyle name="Hipervínculo" xfId="963" builtinId="8" hidden="1"/>
    <cellStyle name="Hipervínculo" xfId="965" builtinId="8" hidden="1"/>
    <cellStyle name="Hipervínculo" xfId="967" builtinId="8" hidden="1"/>
    <cellStyle name="Hipervínculo" xfId="969" builtinId="8" hidden="1"/>
    <cellStyle name="Hipervínculo" xfId="971" builtinId="8" hidden="1"/>
    <cellStyle name="Hipervínculo" xfId="973" builtinId="8" hidden="1"/>
    <cellStyle name="Hipervínculo" xfId="975" builtinId="8" hidden="1"/>
    <cellStyle name="Hipervínculo" xfId="977" builtinId="8" hidden="1"/>
    <cellStyle name="Hipervínculo" xfId="979" builtinId="8" hidden="1"/>
    <cellStyle name="Hipervínculo" xfId="981" builtinId="8" hidden="1"/>
    <cellStyle name="Hipervínculo" xfId="983" builtinId="8" hidden="1"/>
    <cellStyle name="Hipervínculo" xfId="985" builtinId="8" hidden="1"/>
    <cellStyle name="Hipervínculo" xfId="987" builtinId="8" hidden="1"/>
    <cellStyle name="Hipervínculo" xfId="989" builtinId="8" hidden="1"/>
    <cellStyle name="Hipervínculo" xfId="991" builtinId="8" hidden="1"/>
    <cellStyle name="Hipervínculo" xfId="993" builtinId="8" hidden="1"/>
    <cellStyle name="Hipervínculo" xfId="995" builtinId="8" hidden="1"/>
    <cellStyle name="Hipervínculo" xfId="997" builtinId="8" hidden="1"/>
    <cellStyle name="Hipervínculo" xfId="999" builtinId="8" hidden="1"/>
    <cellStyle name="Hipervínculo" xfId="1001" builtinId="8" hidden="1"/>
    <cellStyle name="Hipervínculo" xfId="1003" builtinId="8" hidden="1"/>
    <cellStyle name="Hipervínculo" xfId="1005" builtinId="8" hidden="1"/>
    <cellStyle name="Hipervínculo" xfId="1007" builtinId="8" hidden="1"/>
    <cellStyle name="Hipervínculo" xfId="1009" builtinId="8" hidden="1"/>
    <cellStyle name="Hipervínculo" xfId="1011" builtinId="8" hidden="1"/>
    <cellStyle name="Hipervínculo" xfId="1013" builtinId="8" hidden="1"/>
    <cellStyle name="Hipervínculo" xfId="1015" builtinId="8" hidden="1"/>
    <cellStyle name="Hipervínculo" xfId="1017" builtinId="8" hidden="1"/>
    <cellStyle name="Hipervínculo" xfId="1019" builtinId="8" hidden="1"/>
    <cellStyle name="Hipervínculo" xfId="1021" builtinId="8" hidden="1"/>
    <cellStyle name="Hipervínculo" xfId="1023" builtinId="8" hidden="1"/>
    <cellStyle name="Hipervínculo" xfId="1025" builtinId="8" hidden="1"/>
    <cellStyle name="Hipervínculo" xfId="1027" builtinId="8" hidden="1"/>
    <cellStyle name="Hipervínculo" xfId="1029" builtinId="8" hidden="1"/>
    <cellStyle name="Hipervínculo" xfId="1031" builtinId="8" hidden="1"/>
    <cellStyle name="Hipervínculo" xfId="1033" builtinId="8" hidden="1"/>
    <cellStyle name="Hipervínculo" xfId="1035" builtinId="8" hidden="1"/>
    <cellStyle name="Hipervínculo" xfId="1037" builtinId="8" hidden="1"/>
    <cellStyle name="Hipervínculo" xfId="1039" builtinId="8" hidden="1"/>
    <cellStyle name="Hipervínculo" xfId="1041" builtinId="8" hidden="1"/>
    <cellStyle name="Hipervínculo" xfId="1043" builtinId="8" hidden="1"/>
    <cellStyle name="Hipervínculo" xfId="1045" builtinId="8" hidden="1"/>
    <cellStyle name="Hipervínculo" xfId="1047" builtinId="8" hidden="1"/>
    <cellStyle name="Hipervínculo" xfId="1049" builtinId="8" hidden="1"/>
    <cellStyle name="Hipervínculo" xfId="1051" builtinId="8" hidden="1"/>
    <cellStyle name="Hipervínculo" xfId="1053" builtinId="8" hidden="1"/>
    <cellStyle name="Hipervínculo" xfId="1055" builtinId="8" hidden="1"/>
    <cellStyle name="Hipervínculo" xfId="1057" builtinId="8" hidden="1"/>
    <cellStyle name="Hipervínculo" xfId="1059" builtinId="8" hidden="1"/>
    <cellStyle name="Hipervínculo" xfId="1061" builtinId="8" hidden="1"/>
    <cellStyle name="Hipervínculo" xfId="1063" builtinId="8" hidden="1"/>
    <cellStyle name="Hipervínculo" xfId="1065" builtinId="8" hidden="1"/>
    <cellStyle name="Hipervínculo" xfId="1067" builtinId="8" hidden="1"/>
    <cellStyle name="Hipervínculo" xfId="1069" builtinId="8" hidden="1"/>
    <cellStyle name="Hipervínculo" xfId="1071" builtinId="8" hidden="1"/>
    <cellStyle name="Hipervínculo" xfId="1073" builtinId="8" hidden="1"/>
    <cellStyle name="Hipervínculo" xfId="1075" builtinId="8" hidden="1"/>
    <cellStyle name="Hipervínculo" xfId="1077" builtinId="8" hidden="1"/>
    <cellStyle name="Hipervínculo" xfId="1079" builtinId="8" hidden="1"/>
    <cellStyle name="Hipervínculo" xfId="1081" builtinId="8" hidden="1"/>
    <cellStyle name="Hipervínculo" xfId="1083" builtinId="8" hidden="1"/>
    <cellStyle name="Hipervínculo" xfId="1085" builtinId="8" hidden="1"/>
    <cellStyle name="Hipervínculo" xfId="1087" builtinId="8" hidden="1"/>
    <cellStyle name="Hipervínculo" xfId="1089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42" builtinId="9" hidden="1"/>
    <cellStyle name="Hipervínculo visitado" xfId="344" builtinId="9" hidden="1"/>
    <cellStyle name="Hipervínculo visitado" xfId="346" builtinId="9" hidden="1"/>
    <cellStyle name="Hipervínculo visitado" xfId="348" builtinId="9" hidden="1"/>
    <cellStyle name="Hipervínculo visitado" xfId="350" builtinId="9" hidden="1"/>
    <cellStyle name="Hipervínculo visitado" xfId="352" builtinId="9" hidden="1"/>
    <cellStyle name="Hipervínculo visitado" xfId="354" builtinId="9" hidden="1"/>
    <cellStyle name="Hipervínculo visitado" xfId="356" builtinId="9" hidden="1"/>
    <cellStyle name="Hipervínculo visitado" xfId="358" builtinId="9" hidden="1"/>
    <cellStyle name="Hipervínculo visitado" xfId="360" builtinId="9" hidden="1"/>
    <cellStyle name="Hipervínculo visitado" xfId="362" builtinId="9" hidden="1"/>
    <cellStyle name="Hipervínculo visitado" xfId="364" builtinId="9" hidden="1"/>
    <cellStyle name="Hipervínculo visitado" xfId="366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Hipervínculo visitado" xfId="428" builtinId="9" hidden="1"/>
    <cellStyle name="Hipervínculo visitado" xfId="430" builtinId="9" hidden="1"/>
    <cellStyle name="Hipervínculo visitado" xfId="432" builtinId="9" hidden="1"/>
    <cellStyle name="Hipervínculo visitado" xfId="434" builtinId="9" hidden="1"/>
    <cellStyle name="Hipervínculo visitado" xfId="436" builtinId="9" hidden="1"/>
    <cellStyle name="Hipervínculo visitado" xfId="438" builtinId="9" hidden="1"/>
    <cellStyle name="Hipervínculo visitado" xfId="440" builtinId="9" hidden="1"/>
    <cellStyle name="Hipervínculo visitado" xfId="442" builtinId="9" hidden="1"/>
    <cellStyle name="Hipervínculo visitado" xfId="444" builtinId="9" hidden="1"/>
    <cellStyle name="Hipervínculo visitado" xfId="446" builtinId="9" hidden="1"/>
    <cellStyle name="Hipervínculo visitado" xfId="448" builtinId="9" hidden="1"/>
    <cellStyle name="Hipervínculo visitado" xfId="450" builtinId="9" hidden="1"/>
    <cellStyle name="Hipervínculo visitado" xfId="452" builtinId="9" hidden="1"/>
    <cellStyle name="Hipervínculo visitado" xfId="454" builtinId="9" hidden="1"/>
    <cellStyle name="Hipervínculo visitado" xfId="456" builtinId="9" hidden="1"/>
    <cellStyle name="Hipervínculo visitado" xfId="458" builtinId="9" hidden="1"/>
    <cellStyle name="Hipervínculo visitado" xfId="460" builtinId="9" hidden="1"/>
    <cellStyle name="Hipervínculo visitado" xfId="462" builtinId="9" hidden="1"/>
    <cellStyle name="Hipervínculo visitado" xfId="464" builtinId="9" hidden="1"/>
    <cellStyle name="Hipervínculo visitado" xfId="466" builtinId="9" hidden="1"/>
    <cellStyle name="Hipervínculo visitado" xfId="468" builtinId="9" hidden="1"/>
    <cellStyle name="Hipervínculo visitado" xfId="470" builtinId="9" hidden="1"/>
    <cellStyle name="Hipervínculo visitado" xfId="472" builtinId="9" hidden="1"/>
    <cellStyle name="Hipervínculo visitado" xfId="474" builtinId="9" hidden="1"/>
    <cellStyle name="Hipervínculo visitado" xfId="476" builtinId="9" hidden="1"/>
    <cellStyle name="Hipervínculo visitado" xfId="478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60" builtinId="9" hidden="1"/>
    <cellStyle name="Hipervínculo visitado" xfId="662" builtinId="9" hidden="1"/>
    <cellStyle name="Hipervínculo visitado" xfId="664" builtinId="9" hidden="1"/>
    <cellStyle name="Hipervínculo visitado" xfId="666" builtinId="9" hidden="1"/>
    <cellStyle name="Hipervínculo visitado" xfId="668" builtinId="9" hidden="1"/>
    <cellStyle name="Hipervínculo visitado" xfId="670" builtinId="9" hidden="1"/>
    <cellStyle name="Hipervínculo visitado" xfId="672" builtinId="9" hidden="1"/>
    <cellStyle name="Hipervínculo visitado" xfId="674" builtinId="9" hidden="1"/>
    <cellStyle name="Hipervínculo visitado" xfId="676" builtinId="9" hidden="1"/>
    <cellStyle name="Hipervínculo visitado" xfId="678" builtinId="9" hidden="1"/>
    <cellStyle name="Hipervínculo visitado" xfId="680" builtinId="9" hidden="1"/>
    <cellStyle name="Hipervínculo visitado" xfId="682" builtinId="9" hidden="1"/>
    <cellStyle name="Hipervínculo visitado" xfId="684" builtinId="9" hidden="1"/>
    <cellStyle name="Hipervínculo visitado" xfId="686" builtinId="9" hidden="1"/>
    <cellStyle name="Hipervínculo visitado" xfId="688" builtinId="9" hidden="1"/>
    <cellStyle name="Hipervínculo visitado" xfId="690" builtinId="9" hidden="1"/>
    <cellStyle name="Hipervínculo visitado" xfId="692" builtinId="9" hidden="1"/>
    <cellStyle name="Hipervínculo visitado" xfId="694" builtinId="9" hidden="1"/>
    <cellStyle name="Hipervínculo visitado" xfId="696" builtinId="9" hidden="1"/>
    <cellStyle name="Hipervínculo visitado" xfId="698" builtinId="9" hidden="1"/>
    <cellStyle name="Hipervínculo visitado" xfId="700" builtinId="9" hidden="1"/>
    <cellStyle name="Hipervínculo visitado" xfId="702" builtinId="9" hidden="1"/>
    <cellStyle name="Hipervínculo visitado" xfId="704" builtinId="9" hidden="1"/>
    <cellStyle name="Hipervínculo visitado" xfId="706" builtinId="9" hidden="1"/>
    <cellStyle name="Hipervínculo visitado" xfId="708" builtinId="9" hidden="1"/>
    <cellStyle name="Hipervínculo visitado" xfId="710" builtinId="9" hidden="1"/>
    <cellStyle name="Hipervínculo visitado" xfId="712" builtinId="9" hidden="1"/>
    <cellStyle name="Hipervínculo visitado" xfId="714" builtinId="9" hidden="1"/>
    <cellStyle name="Hipervínculo visitado" xfId="716" builtinId="9" hidden="1"/>
    <cellStyle name="Hipervínculo visitado" xfId="718" builtinId="9" hidden="1"/>
    <cellStyle name="Hipervínculo visitado" xfId="720" builtinId="9" hidden="1"/>
    <cellStyle name="Hipervínculo visitado" xfId="722" builtinId="9" hidden="1"/>
    <cellStyle name="Hipervínculo visitado" xfId="724" builtinId="9" hidden="1"/>
    <cellStyle name="Hipervínculo visitado" xfId="726" builtinId="9" hidden="1"/>
    <cellStyle name="Hipervínculo visitado" xfId="728" builtinId="9" hidden="1"/>
    <cellStyle name="Hipervínculo visitado" xfId="730" builtinId="9" hidden="1"/>
    <cellStyle name="Hipervínculo visitado" xfId="732" builtinId="9" hidden="1"/>
    <cellStyle name="Hipervínculo visitado" xfId="734" builtinId="9" hidden="1"/>
    <cellStyle name="Hipervínculo visitado" xfId="736" builtinId="9" hidden="1"/>
    <cellStyle name="Hipervínculo visitado" xfId="738" builtinId="9" hidden="1"/>
    <cellStyle name="Hipervínculo visitado" xfId="740" builtinId="9" hidden="1"/>
    <cellStyle name="Hipervínculo visitado" xfId="742" builtinId="9" hidden="1"/>
    <cellStyle name="Hipervínculo visitado" xfId="744" builtinId="9" hidden="1"/>
    <cellStyle name="Hipervínculo visitado" xfId="746" builtinId="9" hidden="1"/>
    <cellStyle name="Hipervínculo visitado" xfId="748" builtinId="9" hidden="1"/>
    <cellStyle name="Hipervínculo visitado" xfId="750" builtinId="9" hidden="1"/>
    <cellStyle name="Hipervínculo visitado" xfId="752" builtinId="9" hidden="1"/>
    <cellStyle name="Hipervínculo visitado" xfId="754" builtinId="9" hidden="1"/>
    <cellStyle name="Hipervínculo visitado" xfId="756" builtinId="9" hidden="1"/>
    <cellStyle name="Hipervínculo visitado" xfId="758" builtinId="9" hidden="1"/>
    <cellStyle name="Hipervínculo visitado" xfId="760" builtinId="9" hidden="1"/>
    <cellStyle name="Hipervínculo visitado" xfId="762" builtinId="9" hidden="1"/>
    <cellStyle name="Hipervínculo visitado" xfId="764" builtinId="9" hidden="1"/>
    <cellStyle name="Hipervínculo visitado" xfId="766" builtinId="9" hidden="1"/>
    <cellStyle name="Hipervínculo visitado" xfId="768" builtinId="9" hidden="1"/>
    <cellStyle name="Hipervínculo visitado" xfId="770" builtinId="9" hidden="1"/>
    <cellStyle name="Hipervínculo visitado" xfId="772" builtinId="9" hidden="1"/>
    <cellStyle name="Hipervínculo visitado" xfId="774" builtinId="9" hidden="1"/>
    <cellStyle name="Hipervínculo visitado" xfId="776" builtinId="9" hidden="1"/>
    <cellStyle name="Hipervínculo visitado" xfId="778" builtinId="9" hidden="1"/>
    <cellStyle name="Hipervínculo visitado" xfId="780" builtinId="9" hidden="1"/>
    <cellStyle name="Hipervínculo visitado" xfId="782" builtinId="9" hidden="1"/>
    <cellStyle name="Hipervínculo visitado" xfId="784" builtinId="9" hidden="1"/>
    <cellStyle name="Hipervínculo visitado" xfId="786" builtinId="9" hidden="1"/>
    <cellStyle name="Hipervínculo visitado" xfId="788" builtinId="9" hidden="1"/>
    <cellStyle name="Hipervínculo visitado" xfId="790" builtinId="9" hidden="1"/>
    <cellStyle name="Hipervínculo visitado" xfId="792" builtinId="9" hidden="1"/>
    <cellStyle name="Hipervínculo visitado" xfId="794" builtinId="9" hidden="1"/>
    <cellStyle name="Hipervínculo visitado" xfId="796" builtinId="9" hidden="1"/>
    <cellStyle name="Hipervínculo visitado" xfId="798" builtinId="9" hidden="1"/>
    <cellStyle name="Hipervínculo visitado" xfId="800" builtinId="9" hidden="1"/>
    <cellStyle name="Hipervínculo visitado" xfId="802" builtinId="9" hidden="1"/>
    <cellStyle name="Hipervínculo visitado" xfId="804" builtinId="9" hidden="1"/>
    <cellStyle name="Hipervínculo visitado" xfId="806" builtinId="9" hidden="1"/>
    <cellStyle name="Hipervínculo visitado" xfId="808" builtinId="9" hidden="1"/>
    <cellStyle name="Hipervínculo visitado" xfId="810" builtinId="9" hidden="1"/>
    <cellStyle name="Hipervínculo visitado" xfId="812" builtinId="9" hidden="1"/>
    <cellStyle name="Hipervínculo visitado" xfId="814" builtinId="9" hidden="1"/>
    <cellStyle name="Hipervínculo visitado" xfId="816" builtinId="9" hidden="1"/>
    <cellStyle name="Hipervínculo visitado" xfId="818" builtinId="9" hidden="1"/>
    <cellStyle name="Hipervínculo visitado" xfId="820" builtinId="9" hidden="1"/>
    <cellStyle name="Hipervínculo visitado" xfId="822" builtinId="9" hidden="1"/>
    <cellStyle name="Hipervínculo visitado" xfId="824" builtinId="9" hidden="1"/>
    <cellStyle name="Hipervínculo visitado" xfId="826" builtinId="9" hidden="1"/>
    <cellStyle name="Hipervínculo visitado" xfId="828" builtinId="9" hidden="1"/>
    <cellStyle name="Hipervínculo visitado" xfId="830" builtinId="9" hidden="1"/>
    <cellStyle name="Hipervínculo visitado" xfId="832" builtinId="9" hidden="1"/>
    <cellStyle name="Hipervínculo visitado" xfId="834" builtinId="9" hidden="1"/>
    <cellStyle name="Hipervínculo visitado" xfId="836" builtinId="9" hidden="1"/>
    <cellStyle name="Hipervínculo visitado" xfId="838" builtinId="9" hidden="1"/>
    <cellStyle name="Hipervínculo visitado" xfId="840" builtinId="9" hidden="1"/>
    <cellStyle name="Hipervínculo visitado" xfId="842" builtinId="9" hidden="1"/>
    <cellStyle name="Hipervínculo visitado" xfId="844" builtinId="9" hidden="1"/>
    <cellStyle name="Hipervínculo visitado" xfId="846" builtinId="9" hidden="1"/>
    <cellStyle name="Hipervínculo visitado" xfId="848" builtinId="9" hidden="1"/>
    <cellStyle name="Hipervínculo visitado" xfId="850" builtinId="9" hidden="1"/>
    <cellStyle name="Hipervínculo visitado" xfId="852" builtinId="9" hidden="1"/>
    <cellStyle name="Hipervínculo visitado" xfId="854" builtinId="9" hidden="1"/>
    <cellStyle name="Hipervínculo visitado" xfId="856" builtinId="9" hidden="1"/>
    <cellStyle name="Hipervínculo visitado" xfId="858" builtinId="9" hidden="1"/>
    <cellStyle name="Hipervínculo visitado" xfId="860" builtinId="9" hidden="1"/>
    <cellStyle name="Hipervínculo visitado" xfId="862" builtinId="9" hidden="1"/>
    <cellStyle name="Hipervínculo visitado" xfId="864" builtinId="9" hidden="1"/>
    <cellStyle name="Hipervínculo visitado" xfId="866" builtinId="9" hidden="1"/>
    <cellStyle name="Hipervínculo visitado" xfId="868" builtinId="9" hidden="1"/>
    <cellStyle name="Hipervínculo visitado" xfId="870" builtinId="9" hidden="1"/>
    <cellStyle name="Hipervínculo visitado" xfId="872" builtinId="9" hidden="1"/>
    <cellStyle name="Hipervínculo visitado" xfId="874" builtinId="9" hidden="1"/>
    <cellStyle name="Hipervínculo visitado" xfId="876" builtinId="9" hidden="1"/>
    <cellStyle name="Hipervínculo visitado" xfId="878" builtinId="9" hidden="1"/>
    <cellStyle name="Hipervínculo visitado" xfId="880" builtinId="9" hidden="1"/>
    <cellStyle name="Hipervínculo visitado" xfId="882" builtinId="9" hidden="1"/>
    <cellStyle name="Hipervínculo visitado" xfId="884" builtinId="9" hidden="1"/>
    <cellStyle name="Hipervínculo visitado" xfId="886" builtinId="9" hidden="1"/>
    <cellStyle name="Hipervínculo visitado" xfId="888" builtinId="9" hidden="1"/>
    <cellStyle name="Hipervínculo visitado" xfId="890" builtinId="9" hidden="1"/>
    <cellStyle name="Hipervínculo visitado" xfId="892" builtinId="9" hidden="1"/>
    <cellStyle name="Hipervínculo visitado" xfId="894" builtinId="9" hidden="1"/>
    <cellStyle name="Hipervínculo visitado" xfId="896" builtinId="9" hidden="1"/>
    <cellStyle name="Hipervínculo visitado" xfId="898" builtinId="9" hidden="1"/>
    <cellStyle name="Hipervínculo visitado" xfId="900" builtinId="9" hidden="1"/>
    <cellStyle name="Hipervínculo visitado" xfId="902" builtinId="9" hidden="1"/>
    <cellStyle name="Hipervínculo visitado" xfId="904" builtinId="9" hidden="1"/>
    <cellStyle name="Hipervínculo visitado" xfId="906" builtinId="9" hidden="1"/>
    <cellStyle name="Hipervínculo visitado" xfId="908" builtinId="9" hidden="1"/>
    <cellStyle name="Hipervínculo visitado" xfId="910" builtinId="9" hidden="1"/>
    <cellStyle name="Hipervínculo visitado" xfId="912" builtinId="9" hidden="1"/>
    <cellStyle name="Hipervínculo visitado" xfId="914" builtinId="9" hidden="1"/>
    <cellStyle name="Hipervínculo visitado" xfId="916" builtinId="9" hidden="1"/>
    <cellStyle name="Hipervínculo visitado" xfId="918" builtinId="9" hidden="1"/>
    <cellStyle name="Hipervínculo visitado" xfId="920" builtinId="9" hidden="1"/>
    <cellStyle name="Hipervínculo visitado" xfId="922" builtinId="9" hidden="1"/>
    <cellStyle name="Hipervínculo visitado" xfId="924" builtinId="9" hidden="1"/>
    <cellStyle name="Hipervínculo visitado" xfId="926" builtinId="9" hidden="1"/>
    <cellStyle name="Hipervínculo visitado" xfId="928" builtinId="9" hidden="1"/>
    <cellStyle name="Hipervínculo visitado" xfId="930" builtinId="9" hidden="1"/>
    <cellStyle name="Hipervínculo visitado" xfId="932" builtinId="9" hidden="1"/>
    <cellStyle name="Hipervínculo visitado" xfId="934" builtinId="9" hidden="1"/>
    <cellStyle name="Hipervínculo visitado" xfId="936" builtinId="9" hidden="1"/>
    <cellStyle name="Hipervínculo visitado" xfId="938" builtinId="9" hidden="1"/>
    <cellStyle name="Hipervínculo visitado" xfId="940" builtinId="9" hidden="1"/>
    <cellStyle name="Hipervínculo visitado" xfId="942" builtinId="9" hidden="1"/>
    <cellStyle name="Hipervínculo visitado" xfId="944" builtinId="9" hidden="1"/>
    <cellStyle name="Hipervínculo visitado" xfId="946" builtinId="9" hidden="1"/>
    <cellStyle name="Hipervínculo visitado" xfId="948" builtinId="9" hidden="1"/>
    <cellStyle name="Hipervínculo visitado" xfId="950" builtinId="9" hidden="1"/>
    <cellStyle name="Hipervínculo visitado" xfId="952" builtinId="9" hidden="1"/>
    <cellStyle name="Hipervínculo visitado" xfId="954" builtinId="9" hidden="1"/>
    <cellStyle name="Hipervínculo visitado" xfId="956" builtinId="9" hidden="1"/>
    <cellStyle name="Hipervínculo visitado" xfId="958" builtinId="9" hidden="1"/>
    <cellStyle name="Hipervínculo visitado" xfId="960" builtinId="9" hidden="1"/>
    <cellStyle name="Hipervínculo visitado" xfId="962" builtinId="9" hidden="1"/>
    <cellStyle name="Hipervínculo visitado" xfId="964" builtinId="9" hidden="1"/>
    <cellStyle name="Hipervínculo visitado" xfId="966" builtinId="9" hidden="1"/>
    <cellStyle name="Hipervínculo visitado" xfId="968" builtinId="9" hidden="1"/>
    <cellStyle name="Hipervínculo visitado" xfId="970" builtinId="9" hidden="1"/>
    <cellStyle name="Hipervínculo visitado" xfId="972" builtinId="9" hidden="1"/>
    <cellStyle name="Hipervínculo visitado" xfId="974" builtinId="9" hidden="1"/>
    <cellStyle name="Hipervínculo visitado" xfId="976" builtinId="9" hidden="1"/>
    <cellStyle name="Hipervínculo visitado" xfId="978" builtinId="9" hidden="1"/>
    <cellStyle name="Hipervínculo visitado" xfId="980" builtinId="9" hidden="1"/>
    <cellStyle name="Hipervínculo visitado" xfId="982" builtinId="9" hidden="1"/>
    <cellStyle name="Hipervínculo visitado" xfId="984" builtinId="9" hidden="1"/>
    <cellStyle name="Hipervínculo visitado" xfId="986" builtinId="9" hidden="1"/>
    <cellStyle name="Hipervínculo visitado" xfId="988" builtinId="9" hidden="1"/>
    <cellStyle name="Hipervínculo visitado" xfId="990" builtinId="9" hidden="1"/>
    <cellStyle name="Hipervínculo visitado" xfId="992" builtinId="9" hidden="1"/>
    <cellStyle name="Hipervínculo visitado" xfId="994" builtinId="9" hidden="1"/>
    <cellStyle name="Hipervínculo visitado" xfId="996" builtinId="9" hidden="1"/>
    <cellStyle name="Hipervínculo visitado" xfId="998" builtinId="9" hidden="1"/>
    <cellStyle name="Hipervínculo visitado" xfId="1000" builtinId="9" hidden="1"/>
    <cellStyle name="Hipervínculo visitado" xfId="1002" builtinId="9" hidden="1"/>
    <cellStyle name="Hipervínculo visitado" xfId="1004" builtinId="9" hidden="1"/>
    <cellStyle name="Hipervínculo visitado" xfId="1006" builtinId="9" hidden="1"/>
    <cellStyle name="Hipervínculo visitado" xfId="1008" builtinId="9" hidden="1"/>
    <cellStyle name="Hipervínculo visitado" xfId="1010" builtinId="9" hidden="1"/>
    <cellStyle name="Hipervínculo visitado" xfId="1012" builtinId="9" hidden="1"/>
    <cellStyle name="Hipervínculo visitado" xfId="1014" builtinId="9" hidden="1"/>
    <cellStyle name="Hipervínculo visitado" xfId="1016" builtinId="9" hidden="1"/>
    <cellStyle name="Hipervínculo visitado" xfId="1018" builtinId="9" hidden="1"/>
    <cellStyle name="Hipervínculo visitado" xfId="1020" builtinId="9" hidden="1"/>
    <cellStyle name="Hipervínculo visitado" xfId="1022" builtinId="9" hidden="1"/>
    <cellStyle name="Hipervínculo visitado" xfId="1024" builtinId="9" hidden="1"/>
    <cellStyle name="Hipervínculo visitado" xfId="1026" builtinId="9" hidden="1"/>
    <cellStyle name="Hipervínculo visitado" xfId="1028" builtinId="9" hidden="1"/>
    <cellStyle name="Hipervínculo visitado" xfId="1030" builtinId="9" hidden="1"/>
    <cellStyle name="Hipervínculo visitado" xfId="1032" builtinId="9" hidden="1"/>
    <cellStyle name="Hipervínculo visitado" xfId="1034" builtinId="9" hidden="1"/>
    <cellStyle name="Hipervínculo visitado" xfId="1036" builtinId="9" hidden="1"/>
    <cellStyle name="Hipervínculo visitado" xfId="1038" builtinId="9" hidden="1"/>
    <cellStyle name="Hipervínculo visitado" xfId="1040" builtinId="9" hidden="1"/>
    <cellStyle name="Hipervínculo visitado" xfId="1042" builtinId="9" hidden="1"/>
    <cellStyle name="Hipervínculo visitado" xfId="1044" builtinId="9" hidden="1"/>
    <cellStyle name="Hipervínculo visitado" xfId="1046" builtinId="9" hidden="1"/>
    <cellStyle name="Hipervínculo visitado" xfId="1048" builtinId="9" hidden="1"/>
    <cellStyle name="Hipervínculo visitado" xfId="1050" builtinId="9" hidden="1"/>
    <cellStyle name="Hipervínculo visitado" xfId="1052" builtinId="9" hidden="1"/>
    <cellStyle name="Hipervínculo visitado" xfId="1054" builtinId="9" hidden="1"/>
    <cellStyle name="Hipervínculo visitado" xfId="1056" builtinId="9" hidden="1"/>
    <cellStyle name="Hipervínculo visitado" xfId="1058" builtinId="9" hidden="1"/>
    <cellStyle name="Hipervínculo visitado" xfId="1060" builtinId="9" hidden="1"/>
    <cellStyle name="Hipervínculo visitado" xfId="1062" builtinId="9" hidden="1"/>
    <cellStyle name="Hipervínculo visitado" xfId="1064" builtinId="9" hidden="1"/>
    <cellStyle name="Hipervínculo visitado" xfId="1066" builtinId="9" hidden="1"/>
    <cellStyle name="Hipervínculo visitado" xfId="1068" builtinId="9" hidden="1"/>
    <cellStyle name="Hipervínculo visitado" xfId="1070" builtinId="9" hidden="1"/>
    <cellStyle name="Hipervínculo visitado" xfId="1072" builtinId="9" hidden="1"/>
    <cellStyle name="Hipervínculo visitado" xfId="1074" builtinId="9" hidden="1"/>
    <cellStyle name="Hipervínculo visitado" xfId="1076" builtinId="9" hidden="1"/>
    <cellStyle name="Hipervínculo visitado" xfId="1078" builtinId="9" hidden="1"/>
    <cellStyle name="Hipervínculo visitado" xfId="1080" builtinId="9" hidden="1"/>
    <cellStyle name="Hipervínculo visitado" xfId="1082" builtinId="9" hidden="1"/>
    <cellStyle name="Hipervínculo visitado" xfId="1084" builtinId="9" hidden="1"/>
    <cellStyle name="Hipervínculo visitado" xfId="1086" builtinId="9" hidden="1"/>
    <cellStyle name="Hipervínculo visitado" xfId="1088" builtinId="9" hidden="1"/>
    <cellStyle name="Hipervínculo visitado" xfId="1090" builtinId="9" hidden="1"/>
    <cellStyle name="Normal" xfId="0" builtinId="0"/>
    <cellStyle name="Normal 4" xfId="166"/>
    <cellStyle name="Normal 6" xfId="491"/>
    <cellStyle name="Porcentaje" xfId="1" builtinId="5"/>
    <cellStyle name="Porcentaje 2" xfId="658"/>
  </cellStyles>
  <dxfs count="1">
    <dxf>
      <numFmt numFmtId="34" formatCode="_-&quot;S/&quot;* #,##0.00_-;\-&quot;S/&quot;* #,##0.00_-;_-&quot;S/&quot;* &quot;-&quot;??_-;_-@_-"/>
    </dxf>
  </dxfs>
  <tableStyles count="0" defaultTableStyle="TableStyleMedium9" defaultPivotStyle="PivotStyleMedium7"/>
  <colors>
    <mruColors>
      <color rgb="FF49AEB1"/>
      <color rgb="FF8B3A2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46" Type="http://schemas.openxmlformats.org/officeDocument/2006/relationships/theme" Target="theme/theme1.xml"/><Relationship Id="rId47" Type="http://schemas.openxmlformats.org/officeDocument/2006/relationships/styles" Target="styles.xml"/><Relationship Id="rId48" Type="http://schemas.openxmlformats.org/officeDocument/2006/relationships/sharedStrings" Target="sharedStrings.xml"/><Relationship Id="rId49" Type="http://schemas.openxmlformats.org/officeDocument/2006/relationships/calcChain" Target="calcChain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10.xml.rels><?xml version="1.0" encoding="UTF-8" standalone="yes"?>
<Relationships xmlns="http://schemas.openxmlformats.org/package/2006/relationships"><Relationship Id="rId1" Type="http://schemas.microsoft.com/office/2011/relationships/chartStyle" Target="style8.xml"/><Relationship Id="rId2" Type="http://schemas.microsoft.com/office/2011/relationships/chartColorStyle" Target="colors8.xml"/></Relationships>
</file>

<file path=xl/charts/_rels/chart11.xml.rels><?xml version="1.0" encoding="UTF-8" standalone="yes"?>
<Relationships xmlns="http://schemas.openxmlformats.org/package/2006/relationships"><Relationship Id="rId1" Type="http://schemas.microsoft.com/office/2011/relationships/chartStyle" Target="style9.xml"/><Relationship Id="rId2" Type="http://schemas.microsoft.com/office/2011/relationships/chartColorStyle" Target="colors9.xml"/></Relationships>
</file>

<file path=xl/charts/_rels/chart12.xml.rels><?xml version="1.0" encoding="UTF-8" standalone="yes"?>
<Relationships xmlns="http://schemas.openxmlformats.org/package/2006/relationships"><Relationship Id="rId1" Type="http://schemas.microsoft.com/office/2011/relationships/chartStyle" Target="style10.xml"/><Relationship Id="rId2" Type="http://schemas.microsoft.com/office/2011/relationships/chartColorStyle" Target="colors10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7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_rels/chart8.xml.rels><?xml version="1.0" encoding="UTF-8" standalone="yes"?>
<Relationships xmlns="http://schemas.openxmlformats.org/package/2006/relationships"><Relationship Id="rId1" Type="http://schemas.microsoft.com/office/2011/relationships/chartStyle" Target="style6.xml"/><Relationship Id="rId2" Type="http://schemas.microsoft.com/office/2011/relationships/chartColorStyle" Target="colors6.xml"/></Relationships>
</file>

<file path=xl/charts/_rels/chart9.xml.rels><?xml version="1.0" encoding="UTF-8" standalone="yes"?>
<Relationships xmlns="http://schemas.openxmlformats.org/package/2006/relationships"><Relationship Id="rId1" Type="http://schemas.microsoft.com/office/2011/relationships/chartStyle" Target="style7.xml"/><Relationship Id="rId2" Type="http://schemas.microsoft.com/office/2011/relationships/chartColorStyle" Target="colors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'Población Histórica Iquitos'!$B$3</c:f>
              <c:strCache>
                <c:ptCount val="1"/>
                <c:pt idx="0">
                  <c:v>IQUITOS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 prstMaterial="matte">
              <a:bevelT prst="angle"/>
            </a:sp3d>
          </c:spPr>
          <c:invertIfNegative val="0"/>
          <c:cat>
            <c:numRef>
              <c:f>'Población Histórica Iquitos'!$C$2:$P$2</c:f>
              <c:numCache>
                <c:formatCode>General</c:formatCode>
                <c:ptCount val="14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  <c:pt idx="11">
                  <c:v>2016.0</c:v>
                </c:pt>
                <c:pt idx="12">
                  <c:v>2017.0</c:v>
                </c:pt>
                <c:pt idx="13">
                  <c:v>2018.0</c:v>
                </c:pt>
              </c:numCache>
            </c:numRef>
          </c:cat>
          <c:val>
            <c:numRef>
              <c:f>'Población Histórica Iquitos'!$C$3:$P$3</c:f>
              <c:numCache>
                <c:formatCode>#,##0</c:formatCode>
                <c:ptCount val="14"/>
                <c:pt idx="0">
                  <c:v>172799.0</c:v>
                </c:pt>
                <c:pt idx="1">
                  <c:v>171273.0</c:v>
                </c:pt>
                <c:pt idx="2">
                  <c:v>169599.0</c:v>
                </c:pt>
                <c:pt idx="3">
                  <c:v>167768.0</c:v>
                </c:pt>
                <c:pt idx="4">
                  <c:v>165773.0</c:v>
                </c:pt>
                <c:pt idx="5">
                  <c:v>163594.0</c:v>
                </c:pt>
                <c:pt idx="6">
                  <c:v>161236.0</c:v>
                </c:pt>
                <c:pt idx="7">
                  <c:v>158738.0</c:v>
                </c:pt>
                <c:pt idx="8">
                  <c:v>156113.0</c:v>
                </c:pt>
                <c:pt idx="9">
                  <c:v>153357.0</c:v>
                </c:pt>
                <c:pt idx="10">
                  <c:v>150484.0</c:v>
                </c:pt>
                <c:pt idx="11">
                  <c:v>149360.0</c:v>
                </c:pt>
                <c:pt idx="12">
                  <c:v>147121.0</c:v>
                </c:pt>
                <c:pt idx="13">
                  <c:v>144882.0</c:v>
                </c:pt>
              </c:numCache>
            </c:numRef>
          </c:val>
        </c:ser>
        <c:ser>
          <c:idx val="1"/>
          <c:order val="1"/>
          <c:tx>
            <c:strRef>
              <c:f>'Población Histórica Iquitos'!$B$4</c:f>
              <c:strCache>
                <c:ptCount val="1"/>
                <c:pt idx="0">
                  <c:v>PUNCHANA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prst="angle"/>
            </a:sp3d>
          </c:spPr>
          <c:invertIfNegative val="0"/>
          <c:cat>
            <c:numRef>
              <c:f>'Población Histórica Iquitos'!$C$2:$P$2</c:f>
              <c:numCache>
                <c:formatCode>General</c:formatCode>
                <c:ptCount val="14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  <c:pt idx="11">
                  <c:v>2016.0</c:v>
                </c:pt>
                <c:pt idx="12">
                  <c:v>2017.0</c:v>
                </c:pt>
                <c:pt idx="13">
                  <c:v>2018.0</c:v>
                </c:pt>
              </c:numCache>
            </c:numRef>
          </c:cat>
          <c:val>
            <c:numRef>
              <c:f>'Población Histórica Iquitos'!$C$4:$P$4</c:f>
              <c:numCache>
                <c:formatCode>#,##0</c:formatCode>
                <c:ptCount val="14"/>
                <c:pt idx="0">
                  <c:v>77686.0</c:v>
                </c:pt>
                <c:pt idx="1">
                  <c:v>79268.0</c:v>
                </c:pt>
                <c:pt idx="2">
                  <c:v>80820.0</c:v>
                </c:pt>
                <c:pt idx="3">
                  <c:v>82333.0</c:v>
                </c:pt>
                <c:pt idx="4">
                  <c:v>83789.0</c:v>
                </c:pt>
                <c:pt idx="5">
                  <c:v>85179.0</c:v>
                </c:pt>
                <c:pt idx="6">
                  <c:v>86498.0</c:v>
                </c:pt>
                <c:pt idx="7">
                  <c:v>87755.0</c:v>
                </c:pt>
                <c:pt idx="8">
                  <c:v>88947.0</c:v>
                </c:pt>
                <c:pt idx="9">
                  <c:v>90071.0</c:v>
                </c:pt>
                <c:pt idx="10">
                  <c:v>91128.0</c:v>
                </c:pt>
                <c:pt idx="11">
                  <c:v>92954.0</c:v>
                </c:pt>
                <c:pt idx="12">
                  <c:v>94303.0</c:v>
                </c:pt>
                <c:pt idx="13">
                  <c:v>95651.0</c:v>
                </c:pt>
              </c:numCache>
            </c:numRef>
          </c:val>
        </c:ser>
        <c:ser>
          <c:idx val="2"/>
          <c:order val="2"/>
          <c:tx>
            <c:strRef>
              <c:f>'Población Histórica Iquitos'!$B$5</c:f>
              <c:strCache>
                <c:ptCount val="1"/>
                <c:pt idx="0">
                  <c:v>BELEN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prst="angle"/>
            </a:sp3d>
          </c:spPr>
          <c:invertIfNegative val="0"/>
          <c:cat>
            <c:numRef>
              <c:f>'Población Histórica Iquitos'!$C$2:$P$2</c:f>
              <c:numCache>
                <c:formatCode>General</c:formatCode>
                <c:ptCount val="14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  <c:pt idx="11">
                  <c:v>2016.0</c:v>
                </c:pt>
                <c:pt idx="12">
                  <c:v>2017.0</c:v>
                </c:pt>
                <c:pt idx="13">
                  <c:v>2018.0</c:v>
                </c:pt>
              </c:numCache>
            </c:numRef>
          </c:cat>
          <c:val>
            <c:numRef>
              <c:f>'Población Histórica Iquitos'!$C$5:$P$5</c:f>
              <c:numCache>
                <c:formatCode>#,##0</c:formatCode>
                <c:ptCount val="14"/>
                <c:pt idx="0">
                  <c:v>71687.0</c:v>
                </c:pt>
                <c:pt idx="1">
                  <c:v>72375.0</c:v>
                </c:pt>
                <c:pt idx="2">
                  <c:v>73015.0</c:v>
                </c:pt>
                <c:pt idx="3">
                  <c:v>73597.0</c:v>
                </c:pt>
                <c:pt idx="4">
                  <c:v>74112.0</c:v>
                </c:pt>
                <c:pt idx="5">
                  <c:v>74551.0</c:v>
                </c:pt>
                <c:pt idx="6">
                  <c:v>74914.0</c:v>
                </c:pt>
                <c:pt idx="7">
                  <c:v>75209.0</c:v>
                </c:pt>
                <c:pt idx="8">
                  <c:v>75435.0</c:v>
                </c:pt>
                <c:pt idx="9">
                  <c:v>75593.0</c:v>
                </c:pt>
                <c:pt idx="10">
                  <c:v>75685.0</c:v>
                </c:pt>
                <c:pt idx="11">
                  <c:v>76606.0</c:v>
                </c:pt>
                <c:pt idx="12">
                  <c:v>77007.0</c:v>
                </c:pt>
                <c:pt idx="13">
                  <c:v>77409.0</c:v>
                </c:pt>
              </c:numCache>
            </c:numRef>
          </c:val>
        </c:ser>
        <c:ser>
          <c:idx val="3"/>
          <c:order val="3"/>
          <c:tx>
            <c:strRef>
              <c:f>'Población Histórica Iquitos'!$B$6</c:f>
              <c:strCache>
                <c:ptCount val="1"/>
                <c:pt idx="0">
                  <c:v>SAN JUAN BAUTISTA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prst="angle"/>
            </a:sp3d>
          </c:spPr>
          <c:invertIfNegative val="0"/>
          <c:cat>
            <c:numRef>
              <c:f>'Población Histórica Iquitos'!$C$2:$P$2</c:f>
              <c:numCache>
                <c:formatCode>General</c:formatCode>
                <c:ptCount val="14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  <c:pt idx="11">
                  <c:v>2016.0</c:v>
                </c:pt>
                <c:pt idx="12">
                  <c:v>2017.0</c:v>
                </c:pt>
                <c:pt idx="13">
                  <c:v>2018.0</c:v>
                </c:pt>
              </c:numCache>
            </c:numRef>
          </c:cat>
          <c:val>
            <c:numRef>
              <c:f>'Población Histórica Iquitos'!$C$6:$P$6</c:f>
              <c:numCache>
                <c:formatCode>#,##0</c:formatCode>
                <c:ptCount val="14"/>
                <c:pt idx="0">
                  <c:v>95996.0</c:v>
                </c:pt>
                <c:pt idx="1">
                  <c:v>101331.0</c:v>
                </c:pt>
                <c:pt idx="2">
                  <c:v>106834.0</c:v>
                </c:pt>
                <c:pt idx="3">
                  <c:v>112487.0</c:v>
                </c:pt>
                <c:pt idx="4">
                  <c:v>118265.0</c:v>
                </c:pt>
                <c:pt idx="5">
                  <c:v>124143.0</c:v>
                </c:pt>
                <c:pt idx="6">
                  <c:v>130109.0</c:v>
                </c:pt>
                <c:pt idx="7">
                  <c:v>136163.0</c:v>
                </c:pt>
                <c:pt idx="8">
                  <c:v>142288.0</c:v>
                </c:pt>
                <c:pt idx="9">
                  <c:v>148472.0</c:v>
                </c:pt>
                <c:pt idx="10">
                  <c:v>154696.0</c:v>
                </c:pt>
                <c:pt idx="11">
                  <c:v>159942.0</c:v>
                </c:pt>
                <c:pt idx="12">
                  <c:v>165830.0</c:v>
                </c:pt>
                <c:pt idx="13">
                  <c:v>171717.0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37219536"/>
        <c:axId val="-93251024"/>
      </c:barChart>
      <c:lineChart>
        <c:grouping val="standard"/>
        <c:varyColors val="0"/>
        <c:ser>
          <c:idx val="4"/>
          <c:order val="4"/>
          <c:tx>
            <c:strRef>
              <c:f>'Población Histórica Iquitos'!$B$7</c:f>
              <c:strCache>
                <c:ptCount val="1"/>
                <c:pt idx="0">
                  <c:v>IQUITOS METROPOLITANO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>
              <a:glow>
                <a:schemeClr val="accent1"/>
              </a:glow>
              <a:outerShdw sx="1000" sy="1000" algn="ctr" rotWithShape="0">
                <a:srgbClr val="000000"/>
              </a:outerShdw>
              <a:softEdge rad="0"/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'Población Histórica Iquitos'!$C$2:$P$2</c:f>
              <c:numCache>
                <c:formatCode>General</c:formatCode>
                <c:ptCount val="14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  <c:pt idx="11">
                  <c:v>2016.0</c:v>
                </c:pt>
                <c:pt idx="12">
                  <c:v>2017.0</c:v>
                </c:pt>
                <c:pt idx="13">
                  <c:v>2018.0</c:v>
                </c:pt>
              </c:numCache>
            </c:numRef>
          </c:cat>
          <c:val>
            <c:numRef>
              <c:f>'Población Histórica Iquitos'!$C$7:$P$7</c:f>
              <c:numCache>
                <c:formatCode>#,##0</c:formatCode>
                <c:ptCount val="14"/>
                <c:pt idx="0">
                  <c:v>418168.0</c:v>
                </c:pt>
                <c:pt idx="1">
                  <c:v>424247.0</c:v>
                </c:pt>
                <c:pt idx="2">
                  <c:v>430268.0</c:v>
                </c:pt>
                <c:pt idx="3">
                  <c:v>436185.0</c:v>
                </c:pt>
                <c:pt idx="4">
                  <c:v>441939.0</c:v>
                </c:pt>
                <c:pt idx="5">
                  <c:v>447467.0</c:v>
                </c:pt>
                <c:pt idx="6">
                  <c:v>452757.0</c:v>
                </c:pt>
                <c:pt idx="7">
                  <c:v>457865.0</c:v>
                </c:pt>
                <c:pt idx="8">
                  <c:v>462783.0</c:v>
                </c:pt>
                <c:pt idx="9">
                  <c:v>467493.0</c:v>
                </c:pt>
                <c:pt idx="10">
                  <c:v>471993.0</c:v>
                </c:pt>
                <c:pt idx="11">
                  <c:v>478862.0</c:v>
                </c:pt>
                <c:pt idx="12">
                  <c:v>484261.0</c:v>
                </c:pt>
                <c:pt idx="13">
                  <c:v>489659.0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3247440"/>
        <c:axId val="-93249232"/>
      </c:lineChart>
      <c:catAx>
        <c:axId val="-13721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251024"/>
        <c:crosses val="autoZero"/>
        <c:auto val="1"/>
        <c:lblAlgn val="ctr"/>
        <c:lblOffset val="100"/>
        <c:noMultiLvlLbl val="0"/>
      </c:catAx>
      <c:valAx>
        <c:axId val="-9325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137219536"/>
        <c:crosses val="autoZero"/>
        <c:crossBetween val="between"/>
      </c:valAx>
      <c:valAx>
        <c:axId val="-9324923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247440"/>
        <c:crosses val="max"/>
        <c:crossBetween val="between"/>
      </c:valAx>
      <c:catAx>
        <c:axId val="-93247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32492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'Oferta Solgas Tarapoto'!$B$23:$J$23</c:f>
              <c:numCache>
                <c:formatCode>General</c:formatCode>
                <c:ptCount val="9"/>
                <c:pt idx="0">
                  <c:v>1.0</c:v>
                </c:pt>
                <c:pt idx="1">
                  <c:v>2.0</c:v>
                </c:pt>
                <c:pt idx="2">
                  <c:v>3.0</c:v>
                </c:pt>
                <c:pt idx="3">
                  <c:v>4.0</c:v>
                </c:pt>
                <c:pt idx="4">
                  <c:v>5.0</c:v>
                </c:pt>
                <c:pt idx="5">
                  <c:v>6.0</c:v>
                </c:pt>
                <c:pt idx="6">
                  <c:v>7.0</c:v>
                </c:pt>
                <c:pt idx="7">
                  <c:v>8.0</c:v>
                </c:pt>
                <c:pt idx="8">
                  <c:v>9.0</c:v>
                </c:pt>
              </c:numCache>
            </c:numRef>
          </c:cat>
          <c:val>
            <c:numRef>
              <c:f>'Oferta Solgas Tarapoto'!$B$25:$J$25</c:f>
              <c:numCache>
                <c:formatCode>General</c:formatCode>
                <c:ptCount val="9"/>
                <c:pt idx="0">
                  <c:v>820.0</c:v>
                </c:pt>
                <c:pt idx="1">
                  <c:v>820.0</c:v>
                </c:pt>
                <c:pt idx="2">
                  <c:v>815.5</c:v>
                </c:pt>
                <c:pt idx="3">
                  <c:v>801.95</c:v>
                </c:pt>
                <c:pt idx="4">
                  <c:v>787.255</c:v>
                </c:pt>
                <c:pt idx="5">
                  <c:v>783.5295</c:v>
                </c:pt>
                <c:pt idx="6">
                  <c:v>785.37655</c:v>
                </c:pt>
                <c:pt idx="7">
                  <c:v>786.638895</c:v>
                </c:pt>
                <c:pt idx="8">
                  <c:v>776.8750054999999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3048704"/>
        <c:axId val="-93045952"/>
      </c:lineChart>
      <c:catAx>
        <c:axId val="-9304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45952"/>
        <c:crosses val="autoZero"/>
        <c:auto val="1"/>
        <c:lblAlgn val="ctr"/>
        <c:lblOffset val="100"/>
        <c:noMultiLvlLbl val="0"/>
      </c:catAx>
      <c:valAx>
        <c:axId val="-9304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4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'Oferta Solgas Tarapoto'!$N$29:$S$29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2016.0</c:v>
                </c:pt>
              </c:numCache>
            </c:numRef>
          </c:cat>
          <c:val>
            <c:numRef>
              <c:f>'Oferta Solgas Tarapoto'!$N$31:$S$31</c:f>
              <c:numCache>
                <c:formatCode>General</c:formatCode>
                <c:ptCount val="6"/>
                <c:pt idx="0">
                  <c:v>316483.0</c:v>
                </c:pt>
                <c:pt idx="1">
                  <c:v>316483.0</c:v>
                </c:pt>
                <c:pt idx="2">
                  <c:v>315936.8</c:v>
                </c:pt>
                <c:pt idx="3">
                  <c:v>315649.72</c:v>
                </c:pt>
                <c:pt idx="4">
                  <c:v>317049.748</c:v>
                </c:pt>
                <c:pt idx="5">
                  <c:v>315311.4732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3026336"/>
        <c:axId val="-93023584"/>
      </c:lineChart>
      <c:catAx>
        <c:axId val="-9302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23584"/>
        <c:crosses val="autoZero"/>
        <c:auto val="1"/>
        <c:lblAlgn val="ctr"/>
        <c:lblOffset val="100"/>
        <c:noMultiLvlLbl val="0"/>
      </c:catAx>
      <c:valAx>
        <c:axId val="-9302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26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'Proyección oferta Solgas TPP'!$B$21</c:f>
              <c:strCache>
                <c:ptCount val="1"/>
                <c:pt idx="0">
                  <c:v>Oferta anual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'Proyección oferta Solgas TPP'!$C$20:$H$20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2016.0</c:v>
                </c:pt>
              </c:numCache>
            </c:numRef>
          </c:cat>
          <c:val>
            <c:numRef>
              <c:f>'Proyección oferta Solgas TPP'!$C$21:$H$21</c:f>
              <c:numCache>
                <c:formatCode>General</c:formatCode>
                <c:ptCount val="6"/>
                <c:pt idx="0">
                  <c:v>316483.0</c:v>
                </c:pt>
                <c:pt idx="1">
                  <c:v>311021.0</c:v>
                </c:pt>
                <c:pt idx="2">
                  <c:v>313066.0</c:v>
                </c:pt>
                <c:pt idx="3">
                  <c:v>329650.0</c:v>
                </c:pt>
                <c:pt idx="4">
                  <c:v>299667.0</c:v>
                </c:pt>
                <c:pt idx="5">
                  <c:v>307326.0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'Proyección oferta Solgas TPP'!$B$22</c:f>
              <c:strCache>
                <c:ptCount val="1"/>
                <c:pt idx="0">
                  <c:v>Suavización Exponencial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'Proyección oferta Solgas TPP'!$C$20:$H$20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2016.0</c:v>
                </c:pt>
              </c:numCache>
            </c:numRef>
          </c:cat>
          <c:val>
            <c:numRef>
              <c:f>'Proyección oferta Solgas TPP'!$C$22:$H$22</c:f>
              <c:numCache>
                <c:formatCode>General</c:formatCode>
                <c:ptCount val="6"/>
                <c:pt idx="0">
                  <c:v>303000.0</c:v>
                </c:pt>
                <c:pt idx="1">
                  <c:v>307484.0</c:v>
                </c:pt>
                <c:pt idx="2">
                  <c:v>311008.0</c:v>
                </c:pt>
                <c:pt idx="3">
                  <c:v>314404.0</c:v>
                </c:pt>
                <c:pt idx="4">
                  <c:v>319272.0</c:v>
                </c:pt>
                <c:pt idx="5">
                  <c:v>320459.0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7857424"/>
        <c:axId val="-97854672"/>
      </c:lineChart>
      <c:catAx>
        <c:axId val="-9785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7854672"/>
        <c:crosses val="autoZero"/>
        <c:auto val="1"/>
        <c:lblAlgn val="ctr"/>
        <c:lblOffset val="100"/>
        <c:noMultiLvlLbl val="0"/>
      </c:catAx>
      <c:valAx>
        <c:axId val="-97854672"/>
        <c:scaling>
          <c:orientation val="minMax"/>
          <c:min val="29000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785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'Hogares que utilizan'!$C$2</c:f>
              <c:strCache>
                <c:ptCount val="1"/>
                <c:pt idx="0">
                  <c:v>2007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utilizan'!$C$3:$C$27</c:f>
              <c:numCache>
                <c:formatCode>0.00%</c:formatCode>
                <c:ptCount val="25"/>
                <c:pt idx="0">
                  <c:v>0.0923598394850667</c:v>
                </c:pt>
                <c:pt idx="1">
                  <c:v>0.276700970175177</c:v>
                </c:pt>
                <c:pt idx="2">
                  <c:v>0.0762622294311856</c:v>
                </c:pt>
                <c:pt idx="3">
                  <c:v>0.531561214746037</c:v>
                </c:pt>
                <c:pt idx="4">
                  <c:v>0.130706980313391</c:v>
                </c:pt>
                <c:pt idx="5">
                  <c:v>0.111673839821687</c:v>
                </c:pt>
                <c:pt idx="6">
                  <c:v>0.788329691706352</c:v>
                </c:pt>
                <c:pt idx="7">
                  <c:v>0.234005831885705</c:v>
                </c:pt>
                <c:pt idx="8">
                  <c:v>0.0915051089003023</c:v>
                </c:pt>
                <c:pt idx="9">
                  <c:v>0.160705244069</c:v>
                </c:pt>
                <c:pt idx="10">
                  <c:v>0.545713856696703</c:v>
                </c:pt>
                <c:pt idx="11">
                  <c:v>0.295836481103292</c:v>
                </c:pt>
                <c:pt idx="12">
                  <c:v>0.411756589927125</c:v>
                </c:pt>
                <c:pt idx="13">
                  <c:v>0.255848534996799</c:v>
                </c:pt>
                <c:pt idx="14">
                  <c:v>0.733699207748605</c:v>
                </c:pt>
                <c:pt idx="15">
                  <c:v>0.121344242304649</c:v>
                </c:pt>
                <c:pt idx="16">
                  <c:v>0.167751584291308</c:v>
                </c:pt>
                <c:pt idx="17">
                  <c:v>0.408571348009201</c:v>
                </c:pt>
                <c:pt idx="18">
                  <c:v>0.297766785517497</c:v>
                </c:pt>
                <c:pt idx="19">
                  <c:v>0.240993026281543</c:v>
                </c:pt>
                <c:pt idx="20">
                  <c:v>0.212981239956017</c:v>
                </c:pt>
                <c:pt idx="21">
                  <c:v>0.191197011414568</c:v>
                </c:pt>
                <c:pt idx="22">
                  <c:v>0.641355019081773</c:v>
                </c:pt>
                <c:pt idx="23">
                  <c:v>0.242518157020474</c:v>
                </c:pt>
                <c:pt idx="24">
                  <c:v>0.258014383008026</c:v>
                </c:pt>
              </c:numCache>
            </c:numRef>
          </c:val>
        </c:ser>
        <c:ser>
          <c:idx val="1"/>
          <c:order val="1"/>
          <c:tx>
            <c:strRef>
              <c:f>'Hogares que utilizan'!$D$2</c:f>
              <c:strCache>
                <c:ptCount val="1"/>
                <c:pt idx="0">
                  <c:v>2008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utilizan'!$D$3:$D$27</c:f>
              <c:numCache>
                <c:formatCode>0.00%</c:formatCode>
                <c:ptCount val="25"/>
                <c:pt idx="0">
                  <c:v>0.11109444207641</c:v>
                </c:pt>
                <c:pt idx="1">
                  <c:v>0.309510162326593</c:v>
                </c:pt>
                <c:pt idx="2">
                  <c:v>0.0785551972870422</c:v>
                </c:pt>
                <c:pt idx="3">
                  <c:v>0.586704284546097</c:v>
                </c:pt>
                <c:pt idx="4">
                  <c:v>0.120057532983984</c:v>
                </c:pt>
                <c:pt idx="5">
                  <c:v>0.114974268150419</c:v>
                </c:pt>
                <c:pt idx="6">
                  <c:v>0.637536841496324</c:v>
                </c:pt>
                <c:pt idx="7">
                  <c:v>0.219070332618342</c:v>
                </c:pt>
                <c:pt idx="8">
                  <c:v>0.10964614961973</c:v>
                </c:pt>
                <c:pt idx="9">
                  <c:v>0.19468182544124</c:v>
                </c:pt>
                <c:pt idx="10">
                  <c:v>0.500870846833248</c:v>
                </c:pt>
                <c:pt idx="11">
                  <c:v>0.306798804337551</c:v>
                </c:pt>
                <c:pt idx="12">
                  <c:v>0.453443397345047</c:v>
                </c:pt>
                <c:pt idx="13">
                  <c:v>0.286325211220492</c:v>
                </c:pt>
                <c:pt idx="14">
                  <c:v>0.647953022433146</c:v>
                </c:pt>
                <c:pt idx="15">
                  <c:v>0.156372065382894</c:v>
                </c:pt>
                <c:pt idx="16">
                  <c:v>0.260023886524228</c:v>
                </c:pt>
                <c:pt idx="17">
                  <c:v>0.480854934366465</c:v>
                </c:pt>
                <c:pt idx="18">
                  <c:v>0.326747743913663</c:v>
                </c:pt>
                <c:pt idx="19">
                  <c:v>0.25843944093179</c:v>
                </c:pt>
                <c:pt idx="20">
                  <c:v>0.177351509911797</c:v>
                </c:pt>
                <c:pt idx="21">
                  <c:v>0.18838526282355</c:v>
                </c:pt>
                <c:pt idx="22">
                  <c:v>0.642577502012334</c:v>
                </c:pt>
                <c:pt idx="23">
                  <c:v>0.409389973379834</c:v>
                </c:pt>
                <c:pt idx="24">
                  <c:v>0.210867907890047</c:v>
                </c:pt>
              </c:numCache>
            </c:numRef>
          </c:val>
        </c:ser>
        <c:ser>
          <c:idx val="2"/>
          <c:order val="2"/>
          <c:tx>
            <c:strRef>
              <c:f>'Hogares que utilizan'!$E$2</c:f>
              <c:strCache>
                <c:ptCount val="1"/>
                <c:pt idx="0">
                  <c:v>2009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utilizan'!$E$3:$E$27</c:f>
              <c:numCache>
                <c:formatCode>0.00%</c:formatCode>
                <c:ptCount val="25"/>
                <c:pt idx="0">
                  <c:v>0.129172251866691</c:v>
                </c:pt>
                <c:pt idx="1">
                  <c:v>0.34372437668756</c:v>
                </c:pt>
                <c:pt idx="2">
                  <c:v>0.0942221568615846</c:v>
                </c:pt>
                <c:pt idx="3">
                  <c:v>0.655258237075126</c:v>
                </c:pt>
                <c:pt idx="4">
                  <c:v>0.118537805045445</c:v>
                </c:pt>
                <c:pt idx="5">
                  <c:v>0.130757482689622</c:v>
                </c:pt>
                <c:pt idx="6">
                  <c:v>0.573395486630119</c:v>
                </c:pt>
                <c:pt idx="7">
                  <c:v>0.213006182380932</c:v>
                </c:pt>
                <c:pt idx="8">
                  <c:v>0.133157173834664</c:v>
                </c:pt>
                <c:pt idx="9">
                  <c:v>0.198632992857422</c:v>
                </c:pt>
                <c:pt idx="10">
                  <c:v>0.498988476116523</c:v>
                </c:pt>
                <c:pt idx="11">
                  <c:v>0.343278515441827</c:v>
                </c:pt>
                <c:pt idx="12">
                  <c:v>0.491667669183033</c:v>
                </c:pt>
                <c:pt idx="13">
                  <c:v>0.377473422694063</c:v>
                </c:pt>
                <c:pt idx="14">
                  <c:v>0.628840307440682</c:v>
                </c:pt>
                <c:pt idx="15">
                  <c:v>0.142258379432336</c:v>
                </c:pt>
                <c:pt idx="16">
                  <c:v>0.298631722109078</c:v>
                </c:pt>
                <c:pt idx="17">
                  <c:v>0.500363694271712</c:v>
                </c:pt>
                <c:pt idx="18">
                  <c:v>0.339783925185713</c:v>
                </c:pt>
                <c:pt idx="19">
                  <c:v>0.281793731048256</c:v>
                </c:pt>
                <c:pt idx="20">
                  <c:v>0.236322906746878</c:v>
                </c:pt>
                <c:pt idx="21">
                  <c:v>0.203044422568936</c:v>
                </c:pt>
                <c:pt idx="22">
                  <c:v>0.634902071754185</c:v>
                </c:pt>
                <c:pt idx="23">
                  <c:v>0.325122597249502</c:v>
                </c:pt>
                <c:pt idx="24">
                  <c:v>0.256478211570324</c:v>
                </c:pt>
              </c:numCache>
            </c:numRef>
          </c:val>
        </c:ser>
        <c:ser>
          <c:idx val="3"/>
          <c:order val="3"/>
          <c:tx>
            <c:strRef>
              <c:f>'Hogares que utilizan'!$F$2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utilizan'!$F$3:$F$27</c:f>
              <c:numCache>
                <c:formatCode>0.00%</c:formatCode>
                <c:ptCount val="25"/>
                <c:pt idx="0">
                  <c:v>0.128445390537653</c:v>
                </c:pt>
                <c:pt idx="1">
                  <c:v>0.358145557601493</c:v>
                </c:pt>
                <c:pt idx="2">
                  <c:v>0.0809231289349065</c:v>
                </c:pt>
                <c:pt idx="3">
                  <c:v>0.627651177197072</c:v>
                </c:pt>
                <c:pt idx="4">
                  <c:v>0.148967995587454</c:v>
                </c:pt>
                <c:pt idx="5">
                  <c:v>0.151010574903977</c:v>
                </c:pt>
                <c:pt idx="6">
                  <c:v>0.60554502690223</c:v>
                </c:pt>
                <c:pt idx="7">
                  <c:v>0.266332987203869</c:v>
                </c:pt>
                <c:pt idx="8">
                  <c:v>0.125309274726623</c:v>
                </c:pt>
                <c:pt idx="9">
                  <c:v>0.219819051382953</c:v>
                </c:pt>
                <c:pt idx="10">
                  <c:v>0.541455481344637</c:v>
                </c:pt>
                <c:pt idx="11">
                  <c:v>0.34562622296804</c:v>
                </c:pt>
                <c:pt idx="12">
                  <c:v>0.510588937740387</c:v>
                </c:pt>
                <c:pt idx="13">
                  <c:v>0.374858817019205</c:v>
                </c:pt>
                <c:pt idx="14">
                  <c:v>0.584078271373073</c:v>
                </c:pt>
                <c:pt idx="15">
                  <c:v>0.169648487426379</c:v>
                </c:pt>
                <c:pt idx="16">
                  <c:v>0.301391139457632</c:v>
                </c:pt>
                <c:pt idx="17">
                  <c:v>0.492958739638391</c:v>
                </c:pt>
                <c:pt idx="18">
                  <c:v>0.354299562603488</c:v>
                </c:pt>
                <c:pt idx="19">
                  <c:v>0.236195891245929</c:v>
                </c:pt>
                <c:pt idx="20">
                  <c:v>0.291205950250664</c:v>
                </c:pt>
                <c:pt idx="21">
                  <c:v>0.182090026018845</c:v>
                </c:pt>
                <c:pt idx="22">
                  <c:v>0.520360732404292</c:v>
                </c:pt>
                <c:pt idx="23">
                  <c:v>0.382619374150056</c:v>
                </c:pt>
                <c:pt idx="24">
                  <c:v>0.265765648850008</c:v>
                </c:pt>
              </c:numCache>
            </c:numRef>
          </c:val>
        </c:ser>
        <c:ser>
          <c:idx val="4"/>
          <c:order val="4"/>
          <c:tx>
            <c:strRef>
              <c:f>'Hogares que utilizan'!$G$2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utilizan'!$G$3:$G$27</c:f>
              <c:numCache>
                <c:formatCode>0.00%</c:formatCode>
                <c:ptCount val="25"/>
                <c:pt idx="0">
                  <c:v>0.129440710861488</c:v>
                </c:pt>
                <c:pt idx="1">
                  <c:v>0.368611119102791</c:v>
                </c:pt>
                <c:pt idx="2">
                  <c:v>0.102544624381868</c:v>
                </c:pt>
                <c:pt idx="3">
                  <c:v>0.627560967025315</c:v>
                </c:pt>
                <c:pt idx="4">
                  <c:v>0.150735048210734</c:v>
                </c:pt>
                <c:pt idx="5">
                  <c:v>0.206446465660515</c:v>
                </c:pt>
                <c:pt idx="6">
                  <c:v>0.554793997808356</c:v>
                </c:pt>
                <c:pt idx="7">
                  <c:v>0.280054276170937</c:v>
                </c:pt>
                <c:pt idx="8">
                  <c:v>0.116877419931687</c:v>
                </c:pt>
                <c:pt idx="9">
                  <c:v>0.206674083706775</c:v>
                </c:pt>
                <c:pt idx="10">
                  <c:v>0.529948129077775</c:v>
                </c:pt>
                <c:pt idx="11">
                  <c:v>0.298015603587128</c:v>
                </c:pt>
                <c:pt idx="12">
                  <c:v>0.464889762348379</c:v>
                </c:pt>
                <c:pt idx="13">
                  <c:v>0.381202343465665</c:v>
                </c:pt>
                <c:pt idx="14">
                  <c:v>0.580523206123318</c:v>
                </c:pt>
                <c:pt idx="15">
                  <c:v>0.159161346784779</c:v>
                </c:pt>
                <c:pt idx="16">
                  <c:v>0.300299589368103</c:v>
                </c:pt>
                <c:pt idx="17">
                  <c:v>0.487157976351407</c:v>
                </c:pt>
                <c:pt idx="18">
                  <c:v>0.354418555999839</c:v>
                </c:pt>
                <c:pt idx="19">
                  <c:v>0.262031139327773</c:v>
                </c:pt>
                <c:pt idx="20">
                  <c:v>0.282017642095883</c:v>
                </c:pt>
                <c:pt idx="21">
                  <c:v>0.183023618757341</c:v>
                </c:pt>
                <c:pt idx="22">
                  <c:v>0.568815992976316</c:v>
                </c:pt>
                <c:pt idx="23">
                  <c:v>0.432352666118785</c:v>
                </c:pt>
                <c:pt idx="24">
                  <c:v>0.201897763041903</c:v>
                </c:pt>
              </c:numCache>
            </c:numRef>
          </c:val>
        </c:ser>
        <c:ser>
          <c:idx val="5"/>
          <c:order val="5"/>
          <c:tx>
            <c:strRef>
              <c:f>'Hogares que utilizan'!$H$2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utilizan'!$H$3:$H$27</c:f>
              <c:numCache>
                <c:formatCode>0.00%</c:formatCode>
                <c:ptCount val="25"/>
                <c:pt idx="0">
                  <c:v>0.129779908080149</c:v>
                </c:pt>
                <c:pt idx="1">
                  <c:v>0.338790679981824</c:v>
                </c:pt>
                <c:pt idx="2">
                  <c:v>0.113656958361617</c:v>
                </c:pt>
                <c:pt idx="3">
                  <c:v>0.700186317879757</c:v>
                </c:pt>
                <c:pt idx="4">
                  <c:v>0.131591476986656</c:v>
                </c:pt>
                <c:pt idx="5">
                  <c:v>0.215894363442814</c:v>
                </c:pt>
                <c:pt idx="6">
                  <c:v>0.588308259300559</c:v>
                </c:pt>
                <c:pt idx="7">
                  <c:v>0.276715457282846</c:v>
                </c:pt>
                <c:pt idx="8">
                  <c:v>0.121515966229919</c:v>
                </c:pt>
                <c:pt idx="9">
                  <c:v>0.235689754324488</c:v>
                </c:pt>
                <c:pt idx="10">
                  <c:v>0.595911560092796</c:v>
                </c:pt>
                <c:pt idx="11">
                  <c:v>0.357705124595226</c:v>
                </c:pt>
                <c:pt idx="12">
                  <c:v>0.400521558348152</c:v>
                </c:pt>
                <c:pt idx="13">
                  <c:v>0.434962464850406</c:v>
                </c:pt>
                <c:pt idx="14">
                  <c:v>0.587440726652076</c:v>
                </c:pt>
                <c:pt idx="15">
                  <c:v>0.13003604532027</c:v>
                </c:pt>
                <c:pt idx="16">
                  <c:v>0.296582790771389</c:v>
                </c:pt>
                <c:pt idx="17">
                  <c:v>0.513978605766447</c:v>
                </c:pt>
                <c:pt idx="18">
                  <c:v>0.365300674542392</c:v>
                </c:pt>
                <c:pt idx="19">
                  <c:v>0.324350778278638</c:v>
                </c:pt>
                <c:pt idx="20">
                  <c:v>0.327442911750725</c:v>
                </c:pt>
                <c:pt idx="21">
                  <c:v>0.188532800813396</c:v>
                </c:pt>
                <c:pt idx="22">
                  <c:v>0.499270853897604</c:v>
                </c:pt>
                <c:pt idx="23">
                  <c:v>0.454708947673654</c:v>
                </c:pt>
                <c:pt idx="24">
                  <c:v>0.215710510076284</c:v>
                </c:pt>
              </c:numCache>
            </c:numRef>
          </c:val>
        </c:ser>
        <c:ser>
          <c:idx val="6"/>
          <c:order val="6"/>
          <c:tx>
            <c:strRef>
              <c:f>'Hogares que utilizan'!$I$2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utilizan'!$I$3:$I$27</c:f>
              <c:numCache>
                <c:formatCode>0.00%</c:formatCode>
                <c:ptCount val="25"/>
                <c:pt idx="0">
                  <c:v>0.127742217294466</c:v>
                </c:pt>
                <c:pt idx="1">
                  <c:v>0.252809327605372</c:v>
                </c:pt>
                <c:pt idx="2">
                  <c:v>0.102391510155214</c:v>
                </c:pt>
                <c:pt idx="3">
                  <c:v>0.664204144243937</c:v>
                </c:pt>
                <c:pt idx="4">
                  <c:v>0.137424500620336</c:v>
                </c:pt>
                <c:pt idx="5">
                  <c:v>0.188595957901718</c:v>
                </c:pt>
                <c:pt idx="6">
                  <c:v>0.509997568031506</c:v>
                </c:pt>
                <c:pt idx="7">
                  <c:v>0.283370707545729</c:v>
                </c:pt>
                <c:pt idx="8">
                  <c:v>0.109944176294633</c:v>
                </c:pt>
                <c:pt idx="9">
                  <c:v>0.211708862696085</c:v>
                </c:pt>
                <c:pt idx="10">
                  <c:v>0.614512509906105</c:v>
                </c:pt>
                <c:pt idx="11">
                  <c:v>0.377448282161693</c:v>
                </c:pt>
                <c:pt idx="12">
                  <c:v>0.40491409960853</c:v>
                </c:pt>
                <c:pt idx="13">
                  <c:v>0.428962955917744</c:v>
                </c:pt>
                <c:pt idx="14">
                  <c:v>0.524643009393475</c:v>
                </c:pt>
                <c:pt idx="15">
                  <c:v>0.114583354865213</c:v>
                </c:pt>
                <c:pt idx="16">
                  <c:v>0.32115511424955</c:v>
                </c:pt>
                <c:pt idx="17">
                  <c:v>0.531608797799824</c:v>
                </c:pt>
                <c:pt idx="18">
                  <c:v>0.389050396174379</c:v>
                </c:pt>
                <c:pt idx="19">
                  <c:v>0.301446750934504</c:v>
                </c:pt>
                <c:pt idx="20">
                  <c:v>0.319787949449114</c:v>
                </c:pt>
                <c:pt idx="21">
                  <c:v>0.208884014767968</c:v>
                </c:pt>
                <c:pt idx="22">
                  <c:v>0.551002174196906</c:v>
                </c:pt>
                <c:pt idx="23">
                  <c:v>0.470225684642262</c:v>
                </c:pt>
                <c:pt idx="24">
                  <c:v>0.305740956713603</c:v>
                </c:pt>
              </c:numCache>
            </c:numRef>
          </c:val>
        </c:ser>
        <c:ser>
          <c:idx val="7"/>
          <c:order val="7"/>
          <c:tx>
            <c:strRef>
              <c:f>'Hogares que utilizan'!$J$2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utilizan'!$J$3:$J$27</c:f>
              <c:numCache>
                <c:formatCode>0.00%</c:formatCode>
                <c:ptCount val="25"/>
                <c:pt idx="0">
                  <c:v>0.156156457146433</c:v>
                </c:pt>
                <c:pt idx="1">
                  <c:v>0.265110442303553</c:v>
                </c:pt>
                <c:pt idx="2">
                  <c:v>0.153614073806129</c:v>
                </c:pt>
                <c:pt idx="3">
                  <c:v>0.671163065805675</c:v>
                </c:pt>
                <c:pt idx="4">
                  <c:v>0.156656565825387</c:v>
                </c:pt>
                <c:pt idx="5">
                  <c:v>0.136189281703157</c:v>
                </c:pt>
                <c:pt idx="6">
                  <c:v>0.605060412864255</c:v>
                </c:pt>
                <c:pt idx="7">
                  <c:v>0.270129827082665</c:v>
                </c:pt>
                <c:pt idx="8">
                  <c:v>0.100912733805635</c:v>
                </c:pt>
                <c:pt idx="9">
                  <c:v>0.21950693929734</c:v>
                </c:pt>
                <c:pt idx="10">
                  <c:v>0.677635051498131</c:v>
                </c:pt>
                <c:pt idx="11">
                  <c:v>0.39401750961428</c:v>
                </c:pt>
                <c:pt idx="12">
                  <c:v>0.414289756686329</c:v>
                </c:pt>
                <c:pt idx="13">
                  <c:v>0.45331408455259</c:v>
                </c:pt>
                <c:pt idx="14">
                  <c:v>0.587118489411111</c:v>
                </c:pt>
                <c:pt idx="15">
                  <c:v>0.122328661503439</c:v>
                </c:pt>
                <c:pt idx="16">
                  <c:v>0.312402413688332</c:v>
                </c:pt>
                <c:pt idx="17">
                  <c:v>0.514324937578364</c:v>
                </c:pt>
                <c:pt idx="18">
                  <c:v>0.378075051045045</c:v>
                </c:pt>
                <c:pt idx="19">
                  <c:v>0.302865608288491</c:v>
                </c:pt>
                <c:pt idx="20">
                  <c:v>0.313515478533452</c:v>
                </c:pt>
                <c:pt idx="21">
                  <c:v>0.210108126854369</c:v>
                </c:pt>
                <c:pt idx="22">
                  <c:v>0.633026977957347</c:v>
                </c:pt>
                <c:pt idx="23">
                  <c:v>0.489592843414311</c:v>
                </c:pt>
                <c:pt idx="24">
                  <c:v>0.253286883924408</c:v>
                </c:pt>
              </c:numCache>
            </c:numRef>
          </c:val>
        </c:ser>
        <c:ser>
          <c:idx val="8"/>
          <c:order val="8"/>
          <c:tx>
            <c:strRef>
              <c:f>'Hogares que utilizan'!$K$2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utilizan'!$K$3:$K$27</c:f>
              <c:numCache>
                <c:formatCode>0.00%</c:formatCode>
                <c:ptCount val="25"/>
                <c:pt idx="0">
                  <c:v>0.134195492719439</c:v>
                </c:pt>
                <c:pt idx="1">
                  <c:v>0.232515256268098</c:v>
                </c:pt>
                <c:pt idx="2">
                  <c:v>0.135317328238963</c:v>
                </c:pt>
                <c:pt idx="3">
                  <c:v>0.695430204726553</c:v>
                </c:pt>
                <c:pt idx="4">
                  <c:v>0.14734615339861</c:v>
                </c:pt>
                <c:pt idx="5">
                  <c:v>0.174370453942248</c:v>
                </c:pt>
                <c:pt idx="6">
                  <c:v>0.634621176488254</c:v>
                </c:pt>
                <c:pt idx="7">
                  <c:v>0.289750570416451</c:v>
                </c:pt>
                <c:pt idx="8">
                  <c:v>0.141654834082805</c:v>
                </c:pt>
                <c:pt idx="9">
                  <c:v>0.198714763214079</c:v>
                </c:pt>
                <c:pt idx="10">
                  <c:v>0.744805800591359</c:v>
                </c:pt>
                <c:pt idx="11">
                  <c:v>0.393982389493098</c:v>
                </c:pt>
                <c:pt idx="12">
                  <c:v>0.441752523573865</c:v>
                </c:pt>
                <c:pt idx="13">
                  <c:v>0.514473366429926</c:v>
                </c:pt>
                <c:pt idx="14">
                  <c:v>0.66483150282404</c:v>
                </c:pt>
                <c:pt idx="15">
                  <c:v>0.119236930748384</c:v>
                </c:pt>
                <c:pt idx="16">
                  <c:v>0.291158509648618</c:v>
                </c:pt>
                <c:pt idx="17">
                  <c:v>0.508516202403289</c:v>
                </c:pt>
                <c:pt idx="18">
                  <c:v>0.370334931676522</c:v>
                </c:pt>
                <c:pt idx="19">
                  <c:v>0.30492418211072</c:v>
                </c:pt>
                <c:pt idx="20">
                  <c:v>0.346955494620857</c:v>
                </c:pt>
                <c:pt idx="21">
                  <c:v>0.238651024399533</c:v>
                </c:pt>
                <c:pt idx="22">
                  <c:v>0.65722841509804</c:v>
                </c:pt>
                <c:pt idx="23">
                  <c:v>0.576458292615867</c:v>
                </c:pt>
                <c:pt idx="24">
                  <c:v>0.290254836460572</c:v>
                </c:pt>
              </c:numCache>
            </c:numRef>
          </c:val>
        </c:ser>
        <c:ser>
          <c:idx val="9"/>
          <c:order val="9"/>
          <c:tx>
            <c:strRef>
              <c:f>'Hogares que utilizan'!$L$2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'Hogares que utilizan'!$B$3:$B$27</c:f>
              <c:strCache>
                <c:ptCount val="25"/>
                <c:pt idx="0">
                  <c:v>Amazonas</c:v>
                </c:pt>
                <c:pt idx="1">
                  <c:v>Áncash</c:v>
                </c:pt>
                <c:pt idx="2">
                  <c:v>Apurímac</c:v>
                </c:pt>
                <c:pt idx="3">
                  <c:v>Arequipa</c:v>
                </c:pt>
                <c:pt idx="4">
                  <c:v>Ayacucho</c:v>
                </c:pt>
                <c:pt idx="5">
                  <c:v>Cajamarca</c:v>
                </c:pt>
                <c:pt idx="6">
                  <c:v>Callao</c:v>
                </c:pt>
                <c:pt idx="7">
                  <c:v>Cusco</c:v>
                </c:pt>
                <c:pt idx="8">
                  <c:v>Huancavelica</c:v>
                </c:pt>
                <c:pt idx="9">
                  <c:v>Huánuco</c:v>
                </c:pt>
                <c:pt idx="10">
                  <c:v>Ica</c:v>
                </c:pt>
                <c:pt idx="11">
                  <c:v>Junín</c:v>
                </c:pt>
                <c:pt idx="12">
                  <c:v>La Libertad</c:v>
                </c:pt>
                <c:pt idx="13">
                  <c:v>Lambayeque</c:v>
                </c:pt>
                <c:pt idx="14">
                  <c:v>Lima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'Hogares que utilizan'!$L$3:$L$27</c:f>
              <c:numCache>
                <c:formatCode>0.00%</c:formatCode>
                <c:ptCount val="25"/>
                <c:pt idx="0">
                  <c:v>0.178948089120126</c:v>
                </c:pt>
                <c:pt idx="1">
                  <c:v>0.28080169230511</c:v>
                </c:pt>
                <c:pt idx="2">
                  <c:v>0.118428153542662</c:v>
                </c:pt>
                <c:pt idx="3">
                  <c:v>0.738227223005928</c:v>
                </c:pt>
                <c:pt idx="4">
                  <c:v>0.170002569037711</c:v>
                </c:pt>
                <c:pt idx="5">
                  <c:v>0.160827112080278</c:v>
                </c:pt>
                <c:pt idx="6">
                  <c:v>0.65783179950347</c:v>
                </c:pt>
                <c:pt idx="7">
                  <c:v>0.303066911338055</c:v>
                </c:pt>
                <c:pt idx="8">
                  <c:v>0.140544843317457</c:v>
                </c:pt>
                <c:pt idx="9">
                  <c:v>0.209443600637225</c:v>
                </c:pt>
                <c:pt idx="10">
                  <c:v>0.736073738338848</c:v>
                </c:pt>
                <c:pt idx="11">
                  <c:v>0.39961752783755</c:v>
                </c:pt>
                <c:pt idx="12">
                  <c:v>0.430134043508698</c:v>
                </c:pt>
                <c:pt idx="13">
                  <c:v>0.468777827994506</c:v>
                </c:pt>
                <c:pt idx="14">
                  <c:v>0.671403276085206</c:v>
                </c:pt>
                <c:pt idx="15">
                  <c:v>0.111689790068446</c:v>
                </c:pt>
                <c:pt idx="16">
                  <c:v>0.318093963311037</c:v>
                </c:pt>
                <c:pt idx="17">
                  <c:v>0.544265249540575</c:v>
                </c:pt>
                <c:pt idx="18">
                  <c:v>0.365101353765521</c:v>
                </c:pt>
                <c:pt idx="19">
                  <c:v>0.316337881282846</c:v>
                </c:pt>
                <c:pt idx="20">
                  <c:v>0.32790369924034</c:v>
                </c:pt>
                <c:pt idx="21">
                  <c:v>0.269268944274995</c:v>
                </c:pt>
                <c:pt idx="22">
                  <c:v>0.679432259300709</c:v>
                </c:pt>
                <c:pt idx="23">
                  <c:v>0.582205279626758</c:v>
                </c:pt>
                <c:pt idx="24">
                  <c:v>0.23699128099535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97939536"/>
        <c:axId val="-97937328"/>
      </c:barChart>
      <c:catAx>
        <c:axId val="-9793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es-ES_tradnl"/>
          </a:p>
        </c:txPr>
        <c:crossAx val="-97937328"/>
        <c:crosses val="autoZero"/>
        <c:auto val="1"/>
        <c:lblAlgn val="ctr"/>
        <c:lblOffset val="100"/>
        <c:noMultiLvlLbl val="0"/>
      </c:catAx>
      <c:valAx>
        <c:axId val="-9793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793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050"/>
              <a:t>* Proyección</a:t>
            </a:r>
          </a:p>
        </c:rich>
      </c:tx>
      <c:layout>
        <c:manualLayout>
          <c:xMode val="edge"/>
          <c:yMode val="edge"/>
          <c:x val="0.0250143430866323"/>
          <c:y val="0.0242424242424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PBI!$C$4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1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es-ES_trad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strRef>
              <c:f>PBI!$B$5:$B$19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  <c:pt idx="14">
                  <c:v>2020*</c:v>
                </c:pt>
              </c:strCache>
            </c:strRef>
          </c:cat>
          <c:val>
            <c:numRef>
              <c:f>PBI!$C$5:$C$19</c:f>
              <c:numCache>
                <c:formatCode>0.0</c:formatCode>
                <c:ptCount val="15"/>
                <c:pt idx="0">
                  <c:v>7.5</c:v>
                </c:pt>
                <c:pt idx="1">
                  <c:v>8.5</c:v>
                </c:pt>
                <c:pt idx="2">
                  <c:v>9.1</c:v>
                </c:pt>
                <c:pt idx="3">
                  <c:v>1.0</c:v>
                </c:pt>
                <c:pt idx="4">
                  <c:v>8.5</c:v>
                </c:pt>
                <c:pt idx="5">
                  <c:v>6.5</c:v>
                </c:pt>
                <c:pt idx="6">
                  <c:v>6.0</c:v>
                </c:pt>
                <c:pt idx="7">
                  <c:v>5.8</c:v>
                </c:pt>
                <c:pt idx="8">
                  <c:v>2.4</c:v>
                </c:pt>
                <c:pt idx="9">
                  <c:v>3.3</c:v>
                </c:pt>
                <c:pt idx="10">
                  <c:v>4.0</c:v>
                </c:pt>
                <c:pt idx="11">
                  <c:v>2.5</c:v>
                </c:pt>
                <c:pt idx="12">
                  <c:v>4.0</c:v>
                </c:pt>
                <c:pt idx="13">
                  <c:v>4.0</c:v>
                </c:pt>
                <c:pt idx="14">
                  <c:v>4.0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3216544"/>
        <c:axId val="-93213792"/>
      </c:barChart>
      <c:lineChart>
        <c:grouping val="standard"/>
        <c:varyColors val="0"/>
        <c:ser>
          <c:idx val="1"/>
          <c:order val="1"/>
          <c:tx>
            <c:strRef>
              <c:f>PBI!$D$4</c:f>
              <c:strCache>
                <c:ptCount val="1"/>
                <c:pt idx="0">
                  <c:v>  Promedio_x000d_2006 - 2018: _x000d_        5.3%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PBI!$B$5:$B$19</c:f>
              <c:strCache>
                <c:ptCount val="1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2019*</c:v>
                </c:pt>
                <c:pt idx="14">
                  <c:v>2020*</c:v>
                </c:pt>
              </c:strCache>
            </c:strRef>
          </c:cat>
          <c:val>
            <c:numRef>
              <c:f>PBI!$D$5:$D$19</c:f>
              <c:numCache>
                <c:formatCode>0.0</c:formatCode>
                <c:ptCount val="15"/>
                <c:pt idx="0">
                  <c:v>5.315384615384615</c:v>
                </c:pt>
                <c:pt idx="1">
                  <c:v>5.315384615384615</c:v>
                </c:pt>
                <c:pt idx="2">
                  <c:v>5.315384615384615</c:v>
                </c:pt>
                <c:pt idx="3">
                  <c:v>5.315384615384615</c:v>
                </c:pt>
                <c:pt idx="4">
                  <c:v>5.315384615384615</c:v>
                </c:pt>
                <c:pt idx="5">
                  <c:v>5.315384615384615</c:v>
                </c:pt>
                <c:pt idx="6">
                  <c:v>5.315384615384615</c:v>
                </c:pt>
                <c:pt idx="7">
                  <c:v>5.315384615384615</c:v>
                </c:pt>
                <c:pt idx="8">
                  <c:v>5.315384615384615</c:v>
                </c:pt>
                <c:pt idx="9">
                  <c:v>5.315384615384615</c:v>
                </c:pt>
                <c:pt idx="10">
                  <c:v>5.315384615384615</c:v>
                </c:pt>
                <c:pt idx="11">
                  <c:v>5.315384615384615</c:v>
                </c:pt>
                <c:pt idx="12">
                  <c:v>5.315384615384615</c:v>
                </c:pt>
                <c:pt idx="13">
                  <c:v>5.315384615384615</c:v>
                </c:pt>
                <c:pt idx="14">
                  <c:v>5.315384615384615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3216544"/>
        <c:axId val="-93213792"/>
      </c:lineChart>
      <c:catAx>
        <c:axId val="-9321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Hebrew" charset="-79"/>
                <a:ea typeface="Arial Hebrew" charset="-79"/>
                <a:cs typeface="Arial Hebrew" charset="-79"/>
              </a:defRPr>
            </a:pPr>
            <a:endParaRPr lang="es-ES_tradnl"/>
          </a:p>
        </c:txPr>
        <c:crossAx val="-93213792"/>
        <c:crosses val="autoZero"/>
        <c:auto val="1"/>
        <c:lblAlgn val="ctr"/>
        <c:lblOffset val="100"/>
        <c:noMultiLvlLbl val="0"/>
      </c:catAx>
      <c:valAx>
        <c:axId val="-9321379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-93216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709420177899449"/>
          <c:y val="0.863635409210212"/>
          <c:w val="0.191986483617259"/>
          <c:h val="0.136364590789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PBI!$C$33</c:f>
              <c:strCache>
                <c:ptCount val="1"/>
                <c:pt idx="0">
                  <c:v>Porcentaje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1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es-ES_tradnl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; 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  <c15:layout/>
                <c15:showLeaderLines val="0"/>
              </c:ext>
            </c:extLst>
          </c:dLbls>
          <c:cat>
            <c:numRef>
              <c:f>PBI!$B$36:$B$45</c:f>
              <c:numCache>
                <c:formatCode>General</c:formatCode>
                <c:ptCount val="10"/>
                <c:pt idx="0">
                  <c:v>2008.0</c:v>
                </c:pt>
                <c:pt idx="1">
                  <c:v>2009.0</c:v>
                </c:pt>
                <c:pt idx="2">
                  <c:v>2010.0</c:v>
                </c:pt>
                <c:pt idx="3">
                  <c:v>2011.0</c:v>
                </c:pt>
                <c:pt idx="4">
                  <c:v>2012.0</c:v>
                </c:pt>
                <c:pt idx="5">
                  <c:v>2013.0</c:v>
                </c:pt>
                <c:pt idx="6">
                  <c:v>2014.0</c:v>
                </c:pt>
                <c:pt idx="7">
                  <c:v>2015.0</c:v>
                </c:pt>
                <c:pt idx="8">
                  <c:v>2016.0</c:v>
                </c:pt>
                <c:pt idx="9">
                  <c:v>2017.0</c:v>
                </c:pt>
              </c:numCache>
            </c:numRef>
          </c:cat>
          <c:val>
            <c:numRef>
              <c:f>PBI!$C$36:$C$45</c:f>
              <c:numCache>
                <c:formatCode>#,##0.0</c:formatCode>
                <c:ptCount val="10"/>
                <c:pt idx="0">
                  <c:v>9.80681359829991</c:v>
                </c:pt>
                <c:pt idx="1">
                  <c:v>-0.948470112226502</c:v>
                </c:pt>
                <c:pt idx="2">
                  <c:v>8.146942751661882</c:v>
                </c:pt>
                <c:pt idx="3">
                  <c:v>8.82807541916597</c:v>
                </c:pt>
                <c:pt idx="4">
                  <c:v>10.8504164374027</c:v>
                </c:pt>
                <c:pt idx="5">
                  <c:v>6.708271640030716</c:v>
                </c:pt>
                <c:pt idx="6">
                  <c:v>4.200046914571743</c:v>
                </c:pt>
                <c:pt idx="7">
                  <c:v>2.49232119350593</c:v>
                </c:pt>
                <c:pt idx="8">
                  <c:v>2.920515082813083</c:v>
                </c:pt>
                <c:pt idx="9">
                  <c:v>1.488088778928031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7895488"/>
        <c:axId val="-97892736"/>
      </c:barChart>
      <c:lineChart>
        <c:grouping val="standard"/>
        <c:varyColors val="0"/>
        <c:ser>
          <c:idx val="1"/>
          <c:order val="1"/>
          <c:tx>
            <c:strRef>
              <c:f>PBI!$D$33</c:f>
              <c:strCache>
                <c:ptCount val="1"/>
                <c:pt idx="0">
                  <c:v>  Promedio_x000d_2008 - 2017: _x000d_        5.4%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PBI!$B$36:$B$45</c:f>
              <c:numCache>
                <c:formatCode>General</c:formatCode>
                <c:ptCount val="10"/>
                <c:pt idx="0">
                  <c:v>2008.0</c:v>
                </c:pt>
                <c:pt idx="1">
                  <c:v>2009.0</c:v>
                </c:pt>
                <c:pt idx="2">
                  <c:v>2010.0</c:v>
                </c:pt>
                <c:pt idx="3">
                  <c:v>2011.0</c:v>
                </c:pt>
                <c:pt idx="4">
                  <c:v>2012.0</c:v>
                </c:pt>
                <c:pt idx="5">
                  <c:v>2013.0</c:v>
                </c:pt>
                <c:pt idx="6">
                  <c:v>2014.0</c:v>
                </c:pt>
                <c:pt idx="7">
                  <c:v>2015.0</c:v>
                </c:pt>
                <c:pt idx="8">
                  <c:v>2016.0</c:v>
                </c:pt>
                <c:pt idx="9">
                  <c:v>2017.0</c:v>
                </c:pt>
              </c:numCache>
            </c:numRef>
          </c:cat>
          <c:val>
            <c:numRef>
              <c:f>PBI!$D$36:$D$45</c:f>
              <c:numCache>
                <c:formatCode>0.0</c:formatCode>
                <c:ptCount val="10"/>
                <c:pt idx="0">
                  <c:v>5.449302170415346</c:v>
                </c:pt>
                <c:pt idx="1">
                  <c:v>5.449302170415346</c:v>
                </c:pt>
                <c:pt idx="2">
                  <c:v>5.449302170415346</c:v>
                </c:pt>
                <c:pt idx="3">
                  <c:v>5.449302170415346</c:v>
                </c:pt>
                <c:pt idx="4">
                  <c:v>5.449302170415346</c:v>
                </c:pt>
                <c:pt idx="5">
                  <c:v>5.449302170415346</c:v>
                </c:pt>
                <c:pt idx="6">
                  <c:v>5.449302170415346</c:v>
                </c:pt>
                <c:pt idx="7">
                  <c:v>5.449302170415346</c:v>
                </c:pt>
                <c:pt idx="8">
                  <c:v>5.449302170415346</c:v>
                </c:pt>
                <c:pt idx="9">
                  <c:v>5.449302170415346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7895488"/>
        <c:axId val="-97892736"/>
      </c:lineChart>
      <c:catAx>
        <c:axId val="-978954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-97892736"/>
        <c:crosses val="autoZero"/>
        <c:auto val="1"/>
        <c:lblAlgn val="ctr"/>
        <c:lblOffset val="100"/>
        <c:noMultiLvlLbl val="0"/>
      </c:catAx>
      <c:valAx>
        <c:axId val="-978927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-97895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.709420177899449"/>
          <c:y val="0.863635409210212"/>
          <c:w val="0.191986483617259"/>
          <c:h val="0.1363645907897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'# de locales'!$L$2</c:f>
              <c:strCache>
                <c:ptCount val="1"/>
                <c:pt idx="0">
                  <c:v>Número de locales</c:v>
                </c:pt>
              </c:strCache>
            </c:strRef>
          </c:tx>
          <c:dPt>
            <c:idx val="0"/>
            <c:bubble3D val="0"/>
            <c:spPr>
              <a:solidFill>
                <a:srgbClr val="8B3A2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rgbClr val="49AEB1"/>
              </a:solidFill>
            </c:spPr>
          </c:dPt>
          <c:dPt>
            <c:idx val="3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0.0109489769526984"/>
                  <c:y val="0.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rgbClr val="8B3A2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715328467153"/>
                      <c:h val="0.17093939393939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000912408759124087"/>
                  <c:y val="0.10599087412460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200" b="1" i="0" u="none" strike="noStrike" kern="1200" spc="0" baseline="0">
                        <a:solidFill>
                          <a:srgbClr val="7030A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BCC3CCC-A139-1648-A127-799CCBB3B577}" type="CATEGORYNAME">
                      <a:rPr lang="es-ES_tradnl" sz="1200"/>
                      <a:pPr>
                        <a:defRPr sz="12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[NOMBRE DE LA CATEGORÍA]</a:t>
                    </a:fld>
                    <a:r>
                      <a:rPr lang="es-ES_tradnl" sz="1200" baseline="0"/>
                      <a:t> </a:t>
                    </a:r>
                    <a:fld id="{11143811-3696-FF46-B63C-A80E13A8A2AC}" type="VALUE">
                      <a:rPr lang="es-ES_tradnl" sz="1200" baseline="0"/>
                      <a:pPr>
                        <a:defRPr sz="12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[VALOR]</a:t>
                    </a:fld>
                    <a:endParaRPr lang="es-ES_tradnl" sz="1200" baseline="0"/>
                  </a:p>
                  <a:p>
                    <a:pPr>
                      <a:defRPr sz="1200" b="1" i="0" u="none" strike="noStrike" kern="1200" spc="0" baseline="0">
                        <a:solidFill>
                          <a:srgbClr val="7030A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479282-213E-C147-8448-7663C0DF5DC5}" type="PERCENTAGE">
                      <a:rPr lang="es-ES_tradnl" sz="1200" baseline="0"/>
                      <a:pPr>
                        <a:defRPr sz="12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[PORCENTAJE]</a:t>
                    </a:fld>
                    <a:endParaRPr lang="es-ES_tradnl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1735401459854"/>
                      <c:h val="0.21117511520737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0182481751824817"/>
                  <c:y val="0.023041474654377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rgbClr val="49AEB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0"/>
                  <c:y val="0.0079584071129864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1" i="0" u="none" strike="noStrike" kern="1200" spc="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32391229381"/>
                      <c:h val="0.190513764108468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'# de locales'!$K$3:$K$6</c:f>
              <c:strCache>
                <c:ptCount val="4"/>
                <c:pt idx="0">
                  <c:v>Amazon Gas</c:v>
                </c:pt>
                <c:pt idx="1">
                  <c:v>Llama Gas</c:v>
                </c:pt>
                <c:pt idx="2">
                  <c:v>Pecsagas</c:v>
                </c:pt>
                <c:pt idx="3">
                  <c:v>UNIGAS</c:v>
                </c:pt>
              </c:strCache>
            </c:strRef>
          </c:cat>
          <c:val>
            <c:numRef>
              <c:f>'# de locales'!$L$3:$L$6</c:f>
              <c:numCache>
                <c:formatCode>General</c:formatCode>
                <c:ptCount val="4"/>
                <c:pt idx="0">
                  <c:v>18.0</c:v>
                </c:pt>
                <c:pt idx="1">
                  <c:v>9.0</c:v>
                </c:pt>
                <c:pt idx="2">
                  <c:v>1.0</c:v>
                </c:pt>
                <c:pt idx="3">
                  <c:v>4.0</c:v>
                </c:pt>
              </c:numCache>
            </c:numRef>
          </c:val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'# de locales (2)'!$K$2</c:f>
              <c:strCache>
                <c:ptCount val="1"/>
                <c:pt idx="0">
                  <c:v>Número de locales</c:v>
                </c:pt>
              </c:strCache>
            </c:strRef>
          </c:tx>
          <c:dPt>
            <c:idx val="0"/>
            <c:bubble3D val="0"/>
            <c:spPr>
              <a:solidFill>
                <a:srgbClr val="8B3A2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1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rgbClr val="49AEB1"/>
              </a:solidFill>
            </c:spPr>
          </c:dPt>
          <c:dLbls>
            <c:dLbl>
              <c:idx val="0"/>
              <c:layout>
                <c:manualLayout>
                  <c:x val="0.0109489769526985"/>
                  <c:y val="0.0195852759973918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rgbClr val="8B3A2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46715328467153"/>
                      <c:h val="0.210109945934178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0.000912408759124087"/>
                  <c:y val="0.105990874124605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600" b="1" i="0" u="none" strike="noStrike" kern="1200" spc="0" baseline="0">
                        <a:solidFill>
                          <a:srgbClr val="7030A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BCC3CCC-A139-1648-A127-799CCBB3B577}" type="CATEGORYNAME">
                      <a:rPr lang="es-ES_tradnl" sz="1600"/>
                      <a:pPr>
                        <a:defRPr sz="16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[NOMBRE DE LA CATEGORÍA]</a:t>
                    </a:fld>
                    <a:r>
                      <a:rPr lang="es-ES_tradnl" sz="1600" baseline="0"/>
                      <a:t> </a:t>
                    </a:r>
                    <a:fld id="{11143811-3696-FF46-B63C-A80E13A8A2AC}" type="VALUE">
                      <a:rPr lang="es-ES_tradnl" sz="1600" baseline="0"/>
                      <a:pPr>
                        <a:defRPr sz="16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[VALOR]</a:t>
                    </a:fld>
                    <a:endParaRPr lang="es-ES_tradnl" sz="1600" baseline="0"/>
                  </a:p>
                  <a:p>
                    <a:pPr>
                      <a:defRPr sz="1600" b="1" i="0" u="none" strike="noStrike" kern="1200" spc="0" baseline="0">
                        <a:solidFill>
                          <a:srgbClr val="7030A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F479282-213E-C147-8448-7663C0DF5DC5}" type="PERCENTAGE">
                      <a:rPr lang="es-ES_tradnl" sz="1600" baseline="0"/>
                      <a:pPr>
                        <a:defRPr sz="1600" b="1" i="0" u="none" strike="noStrike" kern="1200" spc="0" baseline="0">
                          <a:solidFill>
                            <a:srgbClr val="7030A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[PORCENTAJE]</a:t>
                    </a:fld>
                    <a:endParaRPr lang="es-ES_tradnl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1735401459854"/>
                      <c:h val="0.211175115207373"/>
                    </c:manualLayout>
                  </c15:layout>
                  <c15:dlblFieldTable/>
                  <c15:showDataLabelsRange val="0"/>
                </c:ext>
              </c:extLst>
            </c:dLbl>
            <c:dLbl>
              <c:idx val="2"/>
              <c:layout>
                <c:manualLayout>
                  <c:x val="-0.0875912408759125"/>
                  <c:y val="0.039064483017067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rgbClr val="0070C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732391229381"/>
                      <c:h val="0.266550673101346"/>
                    </c:manualLayout>
                  </c15:layout>
                </c:ext>
              </c:extLst>
            </c:dLbl>
            <c:dLbl>
              <c:idx val="3"/>
              <c:layout>
                <c:manualLayout>
                  <c:x val="-0.0784671532846715"/>
                  <c:y val="0.085253456221198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600" b="1" i="0" u="none" strike="noStrike" kern="1200" spc="0" baseline="0">
                      <a:solidFill>
                        <a:srgbClr val="49AEB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_tradnl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'# de locales (2)'!$J$3:$J$6</c:f>
              <c:strCache>
                <c:ptCount val="4"/>
                <c:pt idx="0">
                  <c:v>Amazon Gas</c:v>
                </c:pt>
                <c:pt idx="1">
                  <c:v>Llama Gas</c:v>
                </c:pt>
                <c:pt idx="2">
                  <c:v>UNIGAS</c:v>
                </c:pt>
                <c:pt idx="3">
                  <c:v>Pecsagas</c:v>
                </c:pt>
              </c:strCache>
            </c:strRef>
          </c:cat>
          <c:val>
            <c:numRef>
              <c:f>'# de locales (2)'!$K$3:$K$6</c:f>
              <c:numCache>
                <c:formatCode>General</c:formatCode>
                <c:ptCount val="4"/>
                <c:pt idx="0">
                  <c:v>18.0</c:v>
                </c:pt>
                <c:pt idx="1">
                  <c:v>11.0</c:v>
                </c:pt>
                <c:pt idx="2">
                  <c:v>2.0</c:v>
                </c:pt>
                <c:pt idx="3">
                  <c:v>7.0</c:v>
                </c:pt>
              </c:numCache>
            </c:numRef>
          </c:val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'Proyección población'!$B$3</c:f>
              <c:strCache>
                <c:ptCount val="1"/>
                <c:pt idx="0">
                  <c:v>Población Iquitos Metropolitano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FF0000"/>
                </a:solidFill>
                <a:prstDash val="sysDash"/>
              </a:ln>
              <a:effectLst/>
            </c:spPr>
            <c:trendlineType val="exp"/>
            <c:dispRSqr val="0"/>
            <c:dispEq val="0"/>
          </c:trendline>
          <c:cat>
            <c:numRef>
              <c:f>'Proyección población'!$C$2:$M$2</c:f>
              <c:numCache>
                <c:formatCode>General</c:formatCode>
                <c:ptCount val="11"/>
                <c:pt idx="0">
                  <c:v>2005.0</c:v>
                </c:pt>
                <c:pt idx="1">
                  <c:v>2006.0</c:v>
                </c:pt>
                <c:pt idx="2">
                  <c:v>2007.0</c:v>
                </c:pt>
                <c:pt idx="3">
                  <c:v>2008.0</c:v>
                </c:pt>
                <c:pt idx="4">
                  <c:v>2009.0</c:v>
                </c:pt>
                <c:pt idx="5">
                  <c:v>2010.0</c:v>
                </c:pt>
                <c:pt idx="6">
                  <c:v>2011.0</c:v>
                </c:pt>
                <c:pt idx="7">
                  <c:v>2012.0</c:v>
                </c:pt>
                <c:pt idx="8">
                  <c:v>2013.0</c:v>
                </c:pt>
                <c:pt idx="9">
                  <c:v>2014.0</c:v>
                </c:pt>
                <c:pt idx="10">
                  <c:v>2015.0</c:v>
                </c:pt>
              </c:numCache>
            </c:numRef>
          </c:cat>
          <c:val>
            <c:numRef>
              <c:f>'Proyección población'!$C$3:$M$3</c:f>
              <c:numCache>
                <c:formatCode>General</c:formatCode>
                <c:ptCount val="11"/>
                <c:pt idx="0">
                  <c:v>418168.0</c:v>
                </c:pt>
                <c:pt idx="1">
                  <c:v>424247.0</c:v>
                </c:pt>
                <c:pt idx="2">
                  <c:v>430268.0</c:v>
                </c:pt>
                <c:pt idx="3">
                  <c:v>436185.0</c:v>
                </c:pt>
                <c:pt idx="4">
                  <c:v>441939.0</c:v>
                </c:pt>
                <c:pt idx="5">
                  <c:v>447467.0</c:v>
                </c:pt>
                <c:pt idx="6">
                  <c:v>452757.0</c:v>
                </c:pt>
                <c:pt idx="7">
                  <c:v>457865.0</c:v>
                </c:pt>
                <c:pt idx="8">
                  <c:v>462783.0</c:v>
                </c:pt>
                <c:pt idx="9">
                  <c:v>467493.0</c:v>
                </c:pt>
                <c:pt idx="10">
                  <c:v>471993.0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-93195632"/>
        <c:axId val="-93107568"/>
      </c:barChart>
      <c:catAx>
        <c:axId val="-9319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107568"/>
        <c:crosses val="autoZero"/>
        <c:auto val="1"/>
        <c:lblAlgn val="ctr"/>
        <c:lblOffset val="100"/>
        <c:noMultiLvlLbl val="0"/>
      </c:catAx>
      <c:valAx>
        <c:axId val="-93107568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-9319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_trad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FF0000"/>
                </a:solidFill>
                <a:prstDash val="sysDash"/>
              </a:ln>
              <a:effectLst/>
            </c:spPr>
            <c:trendlineType val="exp"/>
            <c:dispRSqr val="0"/>
            <c:dispEq val="0"/>
          </c:trendline>
          <c:cat>
            <c:numRef>
              <c:f>'Proyección población'!$N$2:$T$2</c:f>
              <c:numCache>
                <c:formatCode>General</c:formatCode>
                <c:ptCount val="7"/>
                <c:pt idx="0">
                  <c:v>2016.0</c:v>
                </c:pt>
                <c:pt idx="1">
                  <c:v>2017.0</c:v>
                </c:pt>
                <c:pt idx="2">
                  <c:v>2018.0</c:v>
                </c:pt>
                <c:pt idx="3">
                  <c:v>2019.0</c:v>
                </c:pt>
                <c:pt idx="4">
                  <c:v>2020.0</c:v>
                </c:pt>
                <c:pt idx="5">
                  <c:v>2021.0</c:v>
                </c:pt>
                <c:pt idx="6">
                  <c:v>2022.0</c:v>
                </c:pt>
              </c:numCache>
            </c:numRef>
          </c:cat>
          <c:val>
            <c:numRef>
              <c:f>'Proyección población'!$N$4:$T$4</c:f>
              <c:numCache>
                <c:formatCode>General</c:formatCode>
                <c:ptCount val="7"/>
                <c:pt idx="0">
                  <c:v>478861.0</c:v>
                </c:pt>
                <c:pt idx="1">
                  <c:v>484259.0</c:v>
                </c:pt>
                <c:pt idx="2">
                  <c:v>489658.0</c:v>
                </c:pt>
                <c:pt idx="3">
                  <c:v>495056.0</c:v>
                </c:pt>
                <c:pt idx="4">
                  <c:v>500455.0</c:v>
                </c:pt>
                <c:pt idx="5">
                  <c:v>505853.0</c:v>
                </c:pt>
                <c:pt idx="6">
                  <c:v>511252.0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-97882224"/>
        <c:axId val="-97879744"/>
      </c:barChart>
      <c:catAx>
        <c:axId val="-97882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7879744"/>
        <c:crosses val="autoZero"/>
        <c:auto val="1"/>
        <c:lblAlgn val="ctr"/>
        <c:lblOffset val="100"/>
        <c:noMultiLvlLbl val="0"/>
      </c:catAx>
      <c:valAx>
        <c:axId val="-97879744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extTo"/>
        <c:crossAx val="-97882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'Oferta Solgas Tarapoto'!$N$4:$S$4</c:f>
              <c:numCache>
                <c:formatCode>General</c:formatCode>
                <c:ptCount val="6"/>
                <c:pt idx="0">
                  <c:v>2011.0</c:v>
                </c:pt>
                <c:pt idx="1">
                  <c:v>2012.0</c:v>
                </c:pt>
                <c:pt idx="2">
                  <c:v>2013.0</c:v>
                </c:pt>
                <c:pt idx="3">
                  <c:v>2014.0</c:v>
                </c:pt>
                <c:pt idx="4">
                  <c:v>2015.0</c:v>
                </c:pt>
                <c:pt idx="5">
                  <c:v>2016.0</c:v>
                </c:pt>
              </c:numCache>
            </c:numRef>
          </c:cat>
          <c:val>
            <c:numRef>
              <c:f>'Oferta Solgas Tarapoto'!$N$6:$S$6</c:f>
              <c:numCache>
                <c:formatCode>#,##0</c:formatCode>
                <c:ptCount val="6"/>
                <c:pt idx="0">
                  <c:v>316483.0</c:v>
                </c:pt>
                <c:pt idx="1">
                  <c:v>311021.0</c:v>
                </c:pt>
                <c:pt idx="2">
                  <c:v>313066.0</c:v>
                </c:pt>
                <c:pt idx="3">
                  <c:v>329650.0</c:v>
                </c:pt>
                <c:pt idx="4">
                  <c:v>299667.0</c:v>
                </c:pt>
                <c:pt idx="5">
                  <c:v>307326.0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93070704"/>
        <c:axId val="-93067952"/>
      </c:lineChart>
      <c:catAx>
        <c:axId val="-9307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67952"/>
        <c:crosses val="autoZero"/>
        <c:auto val="1"/>
        <c:lblAlgn val="ctr"/>
        <c:lblOffset val="100"/>
        <c:noMultiLvlLbl val="0"/>
      </c:catAx>
      <c:valAx>
        <c:axId val="-93067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93070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4" Type="http://schemas.openxmlformats.org/officeDocument/2006/relationships/image" Target="../media/image4.tiff"/><Relationship Id="rId1" Type="http://schemas.openxmlformats.org/officeDocument/2006/relationships/image" Target="../media/image1.jpeg"/><Relationship Id="rId2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4" Type="http://schemas.openxmlformats.org/officeDocument/2006/relationships/image" Target="../media/image4.tiff"/><Relationship Id="rId1" Type="http://schemas.openxmlformats.org/officeDocument/2006/relationships/image" Target="../media/image5.jpeg"/><Relationship Id="rId2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Relationship Id="rId3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12700</xdr:colOff>
      <xdr:row>11</xdr:row>
      <xdr:rowOff>17780</xdr:rowOff>
    </xdr:from>
    <xdr:to>
      <xdr:col>12</xdr:col>
      <xdr:colOff>152400</xdr:colOff>
      <xdr:row>33</xdr:row>
      <xdr:rowOff>88900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12700</xdr:colOff>
      <xdr:row>4</xdr:row>
      <xdr:rowOff>84667</xdr:rowOff>
    </xdr:from>
    <xdr:to>
      <xdr:col>3</xdr:col>
      <xdr:colOff>1635447</xdr:colOff>
      <xdr:row>6</xdr:row>
      <xdr:rowOff>355601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2"/>
        <a:stretch/>
      </xdr:blipFill>
      <xdr:spPr>
        <a:xfrm>
          <a:off x="2129367" y="1253067"/>
          <a:ext cx="1622747" cy="880534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7</xdr:row>
      <xdr:rowOff>55641</xdr:rowOff>
    </xdr:from>
    <xdr:to>
      <xdr:col>4</xdr:col>
      <xdr:colOff>8466</xdr:colOff>
      <xdr:row>9</xdr:row>
      <xdr:rowOff>368299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4"/>
        <a:stretch/>
      </xdr:blipFill>
      <xdr:spPr>
        <a:xfrm>
          <a:off x="2129367" y="2240041"/>
          <a:ext cx="1646766" cy="922258"/>
        </a:xfrm>
        <a:prstGeom prst="rect">
          <a:avLst/>
        </a:prstGeom>
      </xdr:spPr>
    </xdr:pic>
    <xdr:clientData/>
  </xdr:twoCellAnchor>
  <xdr:twoCellAnchor editAs="oneCell">
    <xdr:from>
      <xdr:col>3</xdr:col>
      <xdr:colOff>199326</xdr:colOff>
      <xdr:row>10</xdr:row>
      <xdr:rowOff>114299</xdr:rowOff>
    </xdr:from>
    <xdr:to>
      <xdr:col>3</xdr:col>
      <xdr:colOff>1485899</xdr:colOff>
      <xdr:row>12</xdr:row>
      <xdr:rowOff>352394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662" t="22681" r="20888" b="4639"/>
        <a:stretch/>
      </xdr:blipFill>
      <xdr:spPr>
        <a:xfrm>
          <a:off x="2345626" y="3162299"/>
          <a:ext cx="1286573" cy="847695"/>
        </a:xfrm>
        <a:prstGeom prst="rect">
          <a:avLst/>
        </a:prstGeom>
      </xdr:spPr>
    </xdr:pic>
    <xdr:clientData/>
  </xdr:twoCellAnchor>
  <xdr:twoCellAnchor editAs="oneCell">
    <xdr:from>
      <xdr:col>3</xdr:col>
      <xdr:colOff>185517</xdr:colOff>
      <xdr:row>13</xdr:row>
      <xdr:rowOff>127000</xdr:rowOff>
    </xdr:from>
    <xdr:to>
      <xdr:col>3</xdr:col>
      <xdr:colOff>1492705</xdr:colOff>
      <xdr:row>15</xdr:row>
      <xdr:rowOff>279400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720" t="14374" r="9171" b="10208"/>
        <a:stretch/>
      </xdr:blipFill>
      <xdr:spPr>
        <a:xfrm>
          <a:off x="2331817" y="4191000"/>
          <a:ext cx="1307188" cy="762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21770</xdr:colOff>
      <xdr:row>5</xdr:row>
      <xdr:rowOff>67131</xdr:rowOff>
    </xdr:from>
    <xdr:to>
      <xdr:col>3</xdr:col>
      <xdr:colOff>1632855</xdr:colOff>
      <xdr:row>7</xdr:row>
      <xdr:rowOff>346531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952"/>
        <a:stretch/>
      </xdr:blipFill>
      <xdr:spPr>
        <a:xfrm>
          <a:off x="2183945" y="1067256"/>
          <a:ext cx="1611085" cy="879475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8</xdr:row>
      <xdr:rowOff>50800</xdr:rowOff>
    </xdr:from>
    <xdr:to>
      <xdr:col>4</xdr:col>
      <xdr:colOff>17110</xdr:colOff>
      <xdr:row>10</xdr:row>
      <xdr:rowOff>368299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54"/>
        <a:stretch/>
      </xdr:blipFill>
      <xdr:spPr>
        <a:xfrm>
          <a:off x="2120900" y="2235200"/>
          <a:ext cx="1655410" cy="92709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0</xdr:rowOff>
    </xdr:from>
    <xdr:to>
      <xdr:col>8</xdr:col>
      <xdr:colOff>304800</xdr:colOff>
      <xdr:row>10</xdr:row>
      <xdr:rowOff>304800</xdr:rowOff>
    </xdr:to>
    <xdr:sp macro="" textlink="">
      <xdr:nvSpPr>
        <xdr:cNvPr id="7170" name="AutoShape 2" descr="argo 200"/>
        <xdr:cNvSpPr>
          <a:spLocks noChangeAspect="1" noChangeArrowheads="1"/>
        </xdr:cNvSpPr>
      </xdr:nvSpPr>
      <xdr:spPr bwMode="auto">
        <a:xfrm>
          <a:off x="5397500" y="2235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10</xdr:col>
      <xdr:colOff>0</xdr:colOff>
      <xdr:row>9</xdr:row>
      <xdr:rowOff>0</xdr:rowOff>
    </xdr:from>
    <xdr:to>
      <xdr:col>10</xdr:col>
      <xdr:colOff>304800</xdr:colOff>
      <xdr:row>10</xdr:row>
      <xdr:rowOff>101600</xdr:rowOff>
    </xdr:to>
    <xdr:sp macro="" textlink="">
      <xdr:nvSpPr>
        <xdr:cNvPr id="7171" name="AutoShape 3" descr="argo 200"/>
        <xdr:cNvSpPr>
          <a:spLocks noChangeAspect="1" noChangeArrowheads="1"/>
        </xdr:cNvSpPr>
      </xdr:nvSpPr>
      <xdr:spPr bwMode="auto">
        <a:xfrm>
          <a:off x="7048500" y="203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3</xdr:col>
      <xdr:colOff>199326</xdr:colOff>
      <xdr:row>11</xdr:row>
      <xdr:rowOff>114299</xdr:rowOff>
    </xdr:from>
    <xdr:to>
      <xdr:col>3</xdr:col>
      <xdr:colOff>1485899</xdr:colOff>
      <xdr:row>13</xdr:row>
      <xdr:rowOff>352394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1662" t="22681" r="20888" b="4639"/>
        <a:stretch/>
      </xdr:blipFill>
      <xdr:spPr>
        <a:xfrm>
          <a:off x="2307526" y="2755899"/>
          <a:ext cx="1286573" cy="847695"/>
        </a:xfrm>
        <a:prstGeom prst="rect">
          <a:avLst/>
        </a:prstGeom>
      </xdr:spPr>
    </xdr:pic>
    <xdr:clientData/>
  </xdr:twoCellAnchor>
  <xdr:twoCellAnchor editAs="oneCell">
    <xdr:from>
      <xdr:col>3</xdr:col>
      <xdr:colOff>185517</xdr:colOff>
      <xdr:row>14</xdr:row>
      <xdr:rowOff>127000</xdr:rowOff>
    </xdr:from>
    <xdr:to>
      <xdr:col>3</xdr:col>
      <xdr:colOff>1492705</xdr:colOff>
      <xdr:row>16</xdr:row>
      <xdr:rowOff>279400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720" t="14374" r="9171" b="10208"/>
        <a:stretch/>
      </xdr:blipFill>
      <xdr:spPr>
        <a:xfrm>
          <a:off x="2331817" y="3784600"/>
          <a:ext cx="1307188" cy="762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10</xdr:row>
      <xdr:rowOff>101600</xdr:rowOff>
    </xdr:to>
    <xdr:sp macro="" textlink="">
      <xdr:nvSpPr>
        <xdr:cNvPr id="9" name="AutoShape 3" descr="argo 200"/>
        <xdr:cNvSpPr>
          <a:spLocks noChangeAspect="1" noChangeArrowheads="1"/>
        </xdr:cNvSpPr>
      </xdr:nvSpPr>
      <xdr:spPr bwMode="auto">
        <a:xfrm>
          <a:off x="8915400" y="243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101600</xdr:rowOff>
    </xdr:to>
    <xdr:sp macro="" textlink="">
      <xdr:nvSpPr>
        <xdr:cNvPr id="10" name="AutoShape 3" descr="argo 200"/>
        <xdr:cNvSpPr>
          <a:spLocks noChangeAspect="1" noChangeArrowheads="1"/>
        </xdr:cNvSpPr>
      </xdr:nvSpPr>
      <xdr:spPr bwMode="auto">
        <a:xfrm>
          <a:off x="8915400" y="243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 editAs="oneCell">
    <xdr:from>
      <xdr:col>13</xdr:col>
      <xdr:colOff>0</xdr:colOff>
      <xdr:row>9</xdr:row>
      <xdr:rowOff>0</xdr:rowOff>
    </xdr:from>
    <xdr:to>
      <xdr:col>13</xdr:col>
      <xdr:colOff>304800</xdr:colOff>
      <xdr:row>10</xdr:row>
      <xdr:rowOff>101600</xdr:rowOff>
    </xdr:to>
    <xdr:sp macro="" textlink="">
      <xdr:nvSpPr>
        <xdr:cNvPr id="11" name="AutoShape 3" descr="argo 200"/>
        <xdr:cNvSpPr>
          <a:spLocks noChangeAspect="1" noChangeArrowheads="1"/>
        </xdr:cNvSpPr>
      </xdr:nvSpPr>
      <xdr:spPr bwMode="auto">
        <a:xfrm>
          <a:off x="8915400" y="2438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428094</xdr:colOff>
      <xdr:row>5</xdr:row>
      <xdr:rowOff>32870</xdr:rowOff>
    </xdr:from>
    <xdr:to>
      <xdr:col>3</xdr:col>
      <xdr:colOff>797888</xdr:colOff>
      <xdr:row>5</xdr:row>
      <xdr:rowOff>241300</xdr:rowOff>
    </xdr:to>
    <xdr:sp macro="" textlink="">
      <xdr:nvSpPr>
        <xdr:cNvPr id="4" name="Rectangle 5"/>
        <xdr:cNvSpPr/>
      </xdr:nvSpPr>
      <xdr:spPr>
        <a:xfrm>
          <a:off x="7679794" y="1442570"/>
          <a:ext cx="369794" cy="20843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I</a:t>
          </a:r>
        </a:p>
      </xdr:txBody>
    </xdr:sp>
    <xdr:clientData/>
  </xdr:twoCellAnchor>
  <xdr:twoCellAnchor>
    <xdr:from>
      <xdr:col>3</xdr:col>
      <xdr:colOff>610367</xdr:colOff>
      <xdr:row>5</xdr:row>
      <xdr:rowOff>241300</xdr:rowOff>
    </xdr:from>
    <xdr:to>
      <xdr:col>3</xdr:col>
      <xdr:colOff>612991</xdr:colOff>
      <xdr:row>6</xdr:row>
      <xdr:rowOff>55375</xdr:rowOff>
    </xdr:to>
    <xdr:cxnSp macro="">
      <xdr:nvCxnSpPr>
        <xdr:cNvPr id="5" name="Straight Arrow Connector 7"/>
        <xdr:cNvCxnSpPr>
          <a:stCxn id="4" idx="2"/>
        </xdr:cNvCxnSpPr>
      </xdr:nvCxnSpPr>
      <xdr:spPr>
        <a:xfrm flipH="1">
          <a:off x="7862067" y="1651000"/>
          <a:ext cx="2624" cy="131575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617904</xdr:colOff>
      <xdr:row>6</xdr:row>
      <xdr:rowOff>253999</xdr:rowOff>
    </xdr:from>
    <xdr:to>
      <xdr:col>4</xdr:col>
      <xdr:colOff>276009</xdr:colOff>
      <xdr:row>7</xdr:row>
      <xdr:rowOff>177799</xdr:rowOff>
    </xdr:to>
    <xdr:cxnSp macro="">
      <xdr:nvCxnSpPr>
        <xdr:cNvPr id="8" name="Elbow Connector 76"/>
        <xdr:cNvCxnSpPr>
          <a:stCxn id="9" idx="2"/>
          <a:endCxn id="10" idx="1"/>
        </xdr:cNvCxnSpPr>
      </xdr:nvCxnSpPr>
      <xdr:spPr>
        <a:xfrm rot="16200000" flipH="1">
          <a:off x="8153902" y="1813154"/>
          <a:ext cx="246185" cy="801105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322412</xdr:colOff>
      <xdr:row>6</xdr:row>
      <xdr:rowOff>76200</xdr:rowOff>
    </xdr:from>
    <xdr:to>
      <xdr:col>3</xdr:col>
      <xdr:colOff>913395</xdr:colOff>
      <xdr:row>6</xdr:row>
      <xdr:rowOff>254000</xdr:rowOff>
    </xdr:to>
    <xdr:sp macro="" textlink="">
      <xdr:nvSpPr>
        <xdr:cNvPr id="9" name="Rectangle 16"/>
        <xdr:cNvSpPr/>
      </xdr:nvSpPr>
      <xdr:spPr>
        <a:xfrm>
          <a:off x="7580950" y="1912815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</a:t>
          </a:r>
        </a:p>
      </xdr:txBody>
    </xdr:sp>
    <xdr:clientData/>
  </xdr:twoCellAnchor>
  <xdr:twoCellAnchor>
    <xdr:from>
      <xdr:col>4</xdr:col>
      <xdr:colOff>276009</xdr:colOff>
      <xdr:row>7</xdr:row>
      <xdr:rowOff>88900</xdr:rowOff>
    </xdr:from>
    <xdr:to>
      <xdr:col>4</xdr:col>
      <xdr:colOff>866992</xdr:colOff>
      <xdr:row>7</xdr:row>
      <xdr:rowOff>266700</xdr:rowOff>
    </xdr:to>
    <xdr:sp macro="" textlink="">
      <xdr:nvSpPr>
        <xdr:cNvPr id="10" name="Rectangle 16"/>
        <xdr:cNvSpPr/>
      </xdr:nvSpPr>
      <xdr:spPr>
        <a:xfrm>
          <a:off x="8670709" y="21336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</a:t>
          </a:r>
        </a:p>
      </xdr:txBody>
    </xdr:sp>
    <xdr:clientData/>
  </xdr:twoCellAnchor>
  <xdr:twoCellAnchor>
    <xdr:from>
      <xdr:col>4</xdr:col>
      <xdr:colOff>557488</xdr:colOff>
      <xdr:row>7</xdr:row>
      <xdr:rowOff>254000</xdr:rowOff>
    </xdr:from>
    <xdr:to>
      <xdr:col>4</xdr:col>
      <xdr:colOff>560112</xdr:colOff>
      <xdr:row>8</xdr:row>
      <xdr:rowOff>68075</xdr:rowOff>
    </xdr:to>
    <xdr:cxnSp macro="">
      <xdr:nvCxnSpPr>
        <xdr:cNvPr id="18" name="Straight Arrow Connector 7"/>
        <xdr:cNvCxnSpPr/>
      </xdr:nvCxnSpPr>
      <xdr:spPr>
        <a:xfrm flipH="1">
          <a:off x="8952188" y="2298700"/>
          <a:ext cx="2624" cy="131575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276009</xdr:colOff>
      <xdr:row>8</xdr:row>
      <xdr:rowOff>76200</xdr:rowOff>
    </xdr:from>
    <xdr:to>
      <xdr:col>4</xdr:col>
      <xdr:colOff>866992</xdr:colOff>
      <xdr:row>8</xdr:row>
      <xdr:rowOff>254000</xdr:rowOff>
    </xdr:to>
    <xdr:sp macro="" textlink="">
      <xdr:nvSpPr>
        <xdr:cNvPr id="22" name="Rectangle 16"/>
        <xdr:cNvSpPr/>
      </xdr:nvSpPr>
      <xdr:spPr>
        <a:xfrm>
          <a:off x="8810409" y="24384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3</a:t>
          </a:r>
        </a:p>
      </xdr:txBody>
    </xdr:sp>
    <xdr:clientData/>
  </xdr:twoCellAnchor>
  <xdr:twoCellAnchor>
    <xdr:from>
      <xdr:col>4</xdr:col>
      <xdr:colOff>570188</xdr:colOff>
      <xdr:row>8</xdr:row>
      <xdr:rowOff>266700</xdr:rowOff>
    </xdr:from>
    <xdr:to>
      <xdr:col>4</xdr:col>
      <xdr:colOff>572812</xdr:colOff>
      <xdr:row>9</xdr:row>
      <xdr:rowOff>80775</xdr:rowOff>
    </xdr:to>
    <xdr:cxnSp macro="">
      <xdr:nvCxnSpPr>
        <xdr:cNvPr id="23" name="Straight Arrow Connector 7"/>
        <xdr:cNvCxnSpPr/>
      </xdr:nvCxnSpPr>
      <xdr:spPr>
        <a:xfrm flipH="1">
          <a:off x="9104588" y="2628900"/>
          <a:ext cx="2624" cy="131575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279400</xdr:colOff>
      <xdr:row>9</xdr:row>
      <xdr:rowOff>76200</xdr:rowOff>
    </xdr:from>
    <xdr:to>
      <xdr:col>4</xdr:col>
      <xdr:colOff>870383</xdr:colOff>
      <xdr:row>9</xdr:row>
      <xdr:rowOff>254000</xdr:rowOff>
    </xdr:to>
    <xdr:sp macro="" textlink="">
      <xdr:nvSpPr>
        <xdr:cNvPr id="25" name="Rectangle 16"/>
        <xdr:cNvSpPr/>
      </xdr:nvSpPr>
      <xdr:spPr>
        <a:xfrm>
          <a:off x="8813800" y="27559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4</a:t>
          </a:r>
        </a:p>
      </xdr:txBody>
    </xdr:sp>
    <xdr:clientData/>
  </xdr:twoCellAnchor>
  <xdr:twoCellAnchor>
    <xdr:from>
      <xdr:col>4</xdr:col>
      <xdr:colOff>573579</xdr:colOff>
      <xdr:row>9</xdr:row>
      <xdr:rowOff>266700</xdr:rowOff>
    </xdr:from>
    <xdr:to>
      <xdr:col>4</xdr:col>
      <xdr:colOff>576203</xdr:colOff>
      <xdr:row>10</xdr:row>
      <xdr:rowOff>80775</xdr:rowOff>
    </xdr:to>
    <xdr:cxnSp macro="">
      <xdr:nvCxnSpPr>
        <xdr:cNvPr id="26" name="Straight Arrow Connector 7"/>
        <xdr:cNvCxnSpPr/>
      </xdr:nvCxnSpPr>
      <xdr:spPr>
        <a:xfrm flipH="1">
          <a:off x="9107979" y="2946400"/>
          <a:ext cx="2624" cy="131575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279400</xdr:colOff>
      <xdr:row>10</xdr:row>
      <xdr:rowOff>88900</xdr:rowOff>
    </xdr:from>
    <xdr:to>
      <xdr:col>4</xdr:col>
      <xdr:colOff>870383</xdr:colOff>
      <xdr:row>10</xdr:row>
      <xdr:rowOff>266700</xdr:rowOff>
    </xdr:to>
    <xdr:sp macro="" textlink="">
      <xdr:nvSpPr>
        <xdr:cNvPr id="27" name="Rectangle 16"/>
        <xdr:cNvSpPr/>
      </xdr:nvSpPr>
      <xdr:spPr>
        <a:xfrm>
          <a:off x="8813800" y="30861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5</a:t>
          </a:r>
        </a:p>
      </xdr:txBody>
    </xdr:sp>
    <xdr:clientData/>
  </xdr:twoCellAnchor>
  <xdr:twoCellAnchor>
    <xdr:from>
      <xdr:col>4</xdr:col>
      <xdr:colOff>571500</xdr:colOff>
      <xdr:row>10</xdr:row>
      <xdr:rowOff>273539</xdr:rowOff>
    </xdr:from>
    <xdr:to>
      <xdr:col>5</xdr:col>
      <xdr:colOff>477040</xdr:colOff>
      <xdr:row>11</xdr:row>
      <xdr:rowOff>165589</xdr:rowOff>
    </xdr:to>
    <xdr:cxnSp macro="">
      <xdr:nvCxnSpPr>
        <xdr:cNvPr id="28" name="Elbow Connector 76"/>
        <xdr:cNvCxnSpPr>
          <a:endCxn id="30" idx="1"/>
        </xdr:cNvCxnSpPr>
      </xdr:nvCxnSpPr>
      <xdr:spPr>
        <a:xfrm>
          <a:off x="8973038" y="3399693"/>
          <a:ext cx="1048540" cy="214434"/>
        </a:xfrm>
        <a:prstGeom prst="bentConnector3">
          <a:avLst>
            <a:gd name="adj1" fmla="val -312"/>
          </a:avLst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386155</xdr:colOff>
      <xdr:row>11</xdr:row>
      <xdr:rowOff>32239</xdr:rowOff>
    </xdr:from>
    <xdr:to>
      <xdr:col>5</xdr:col>
      <xdr:colOff>749693</xdr:colOff>
      <xdr:row>11</xdr:row>
      <xdr:rowOff>298939</xdr:rowOff>
    </xdr:to>
    <xdr:sp macro="" textlink="">
      <xdr:nvSpPr>
        <xdr:cNvPr id="30" name="Triángulo 29"/>
        <xdr:cNvSpPr/>
      </xdr:nvSpPr>
      <xdr:spPr>
        <a:xfrm rot="10800000" flipH="1">
          <a:off x="9930693" y="3480777"/>
          <a:ext cx="363538" cy="266700"/>
        </a:xfrm>
        <a:prstGeom prst="triangl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overflow" horzOverflow="overflow" vert="horz" wrap="none" lIns="118872" tIns="0" bIns="91440" rtlCol="0" anchor="ctr" anchorCtr="0">
          <a:scene3d>
            <a:camera prst="orthographicFront">
              <a:rot lat="0" lon="0" rev="10799999"/>
            </a:camera>
            <a:lightRig rig="threePt" dir="t"/>
          </a:scene3d>
        </a:bodyPr>
        <a:lstStyle/>
        <a:p>
          <a:pPr marL="0" indent="0" algn="ctr"/>
          <a:r>
            <a:rPr lang="es-ES_tradnl" sz="1400" b="1">
              <a:solidFill>
                <a:schemeClr val="dk1"/>
              </a:solidFill>
              <a:latin typeface="+mn-lt"/>
              <a:ea typeface="+mn-ea"/>
              <a:cs typeface="+mn-cs"/>
            </a:rPr>
            <a:t>6 </a:t>
          </a:r>
        </a:p>
      </xdr:txBody>
    </xdr:sp>
    <xdr:clientData/>
  </xdr:twoCellAnchor>
  <xdr:twoCellAnchor>
    <xdr:from>
      <xdr:col>5</xdr:col>
      <xdr:colOff>315785</xdr:colOff>
      <xdr:row>12</xdr:row>
      <xdr:rowOff>108440</xdr:rowOff>
    </xdr:from>
    <xdr:to>
      <xdr:col>5</xdr:col>
      <xdr:colOff>820063</xdr:colOff>
      <xdr:row>12</xdr:row>
      <xdr:rowOff>437624</xdr:rowOff>
    </xdr:to>
    <xdr:sp macro="" textlink="">
      <xdr:nvSpPr>
        <xdr:cNvPr id="38" name="Flowchart: Decision 8"/>
        <xdr:cNvSpPr/>
      </xdr:nvSpPr>
      <xdr:spPr>
        <a:xfrm>
          <a:off x="9860323" y="3879363"/>
          <a:ext cx="504278" cy="329184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PE" sz="1400" b="1">
              <a:solidFill>
                <a:schemeClr val="dk1"/>
              </a:solidFill>
              <a:latin typeface="+mn-lt"/>
              <a:ea typeface="+mn-ea"/>
              <a:cs typeface="+mn-cs"/>
            </a:rPr>
            <a:t>7</a:t>
          </a:r>
        </a:p>
      </xdr:txBody>
    </xdr:sp>
    <xdr:clientData/>
  </xdr:twoCellAnchor>
  <xdr:twoCellAnchor>
    <xdr:from>
      <xdr:col>5</xdr:col>
      <xdr:colOff>272433</xdr:colOff>
      <xdr:row>13</xdr:row>
      <xdr:rowOff>88900</xdr:rowOff>
    </xdr:from>
    <xdr:to>
      <xdr:col>5</xdr:col>
      <xdr:colOff>863416</xdr:colOff>
      <xdr:row>13</xdr:row>
      <xdr:rowOff>266700</xdr:rowOff>
    </xdr:to>
    <xdr:sp macro="" textlink="">
      <xdr:nvSpPr>
        <xdr:cNvPr id="44" name="Rectangle 16"/>
        <xdr:cNvSpPr/>
      </xdr:nvSpPr>
      <xdr:spPr>
        <a:xfrm>
          <a:off x="9816971" y="4299438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8</a:t>
          </a:r>
        </a:p>
      </xdr:txBody>
    </xdr:sp>
    <xdr:clientData/>
  </xdr:twoCellAnchor>
  <xdr:twoCellAnchor>
    <xdr:from>
      <xdr:col>5</xdr:col>
      <xdr:colOff>566612</xdr:colOff>
      <xdr:row>13</xdr:row>
      <xdr:rowOff>254000</xdr:rowOff>
    </xdr:from>
    <xdr:to>
      <xdr:col>5</xdr:col>
      <xdr:colOff>569236</xdr:colOff>
      <xdr:row>14</xdr:row>
      <xdr:rowOff>68075</xdr:rowOff>
    </xdr:to>
    <xdr:cxnSp macro="">
      <xdr:nvCxnSpPr>
        <xdr:cNvPr id="45" name="Straight Arrow Connector 7"/>
        <xdr:cNvCxnSpPr/>
      </xdr:nvCxnSpPr>
      <xdr:spPr>
        <a:xfrm flipH="1">
          <a:off x="10111150" y="4464538"/>
          <a:ext cx="2624" cy="13646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272433</xdr:colOff>
      <xdr:row>14</xdr:row>
      <xdr:rowOff>76200</xdr:rowOff>
    </xdr:from>
    <xdr:to>
      <xdr:col>5</xdr:col>
      <xdr:colOff>863416</xdr:colOff>
      <xdr:row>14</xdr:row>
      <xdr:rowOff>254000</xdr:rowOff>
    </xdr:to>
    <xdr:sp macro="" textlink="">
      <xdr:nvSpPr>
        <xdr:cNvPr id="46" name="Rectangle 16"/>
        <xdr:cNvSpPr/>
      </xdr:nvSpPr>
      <xdr:spPr>
        <a:xfrm>
          <a:off x="9816971" y="4609123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9</a:t>
          </a:r>
        </a:p>
      </xdr:txBody>
    </xdr:sp>
    <xdr:clientData/>
  </xdr:twoCellAnchor>
  <xdr:twoCellAnchor>
    <xdr:from>
      <xdr:col>5</xdr:col>
      <xdr:colOff>272433</xdr:colOff>
      <xdr:row>15</xdr:row>
      <xdr:rowOff>76200</xdr:rowOff>
    </xdr:from>
    <xdr:to>
      <xdr:col>5</xdr:col>
      <xdr:colOff>863416</xdr:colOff>
      <xdr:row>15</xdr:row>
      <xdr:rowOff>254000</xdr:rowOff>
    </xdr:to>
    <xdr:sp macro="" textlink="">
      <xdr:nvSpPr>
        <xdr:cNvPr id="47" name="Rectangle 16"/>
        <xdr:cNvSpPr/>
      </xdr:nvSpPr>
      <xdr:spPr>
        <a:xfrm>
          <a:off x="9816971" y="4931508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10</a:t>
          </a:r>
        </a:p>
      </xdr:txBody>
    </xdr:sp>
    <xdr:clientData/>
  </xdr:twoCellAnchor>
  <xdr:twoCellAnchor>
    <xdr:from>
      <xdr:col>5</xdr:col>
      <xdr:colOff>566612</xdr:colOff>
      <xdr:row>14</xdr:row>
      <xdr:rowOff>266700</xdr:rowOff>
    </xdr:from>
    <xdr:to>
      <xdr:col>5</xdr:col>
      <xdr:colOff>569236</xdr:colOff>
      <xdr:row>15</xdr:row>
      <xdr:rowOff>80775</xdr:rowOff>
    </xdr:to>
    <xdr:cxnSp macro="">
      <xdr:nvCxnSpPr>
        <xdr:cNvPr id="48" name="Straight Arrow Connector 7"/>
        <xdr:cNvCxnSpPr/>
      </xdr:nvCxnSpPr>
      <xdr:spPr>
        <a:xfrm flipH="1">
          <a:off x="10111150" y="4799623"/>
          <a:ext cx="2624" cy="13646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566612</xdr:colOff>
      <xdr:row>11</xdr:row>
      <xdr:rowOff>312616</xdr:rowOff>
    </xdr:from>
    <xdr:to>
      <xdr:col>5</xdr:col>
      <xdr:colOff>569236</xdr:colOff>
      <xdr:row>12</xdr:row>
      <xdr:rowOff>126691</xdr:rowOff>
    </xdr:to>
    <xdr:cxnSp macro="">
      <xdr:nvCxnSpPr>
        <xdr:cNvPr id="49" name="Straight Arrow Connector 7"/>
        <xdr:cNvCxnSpPr/>
      </xdr:nvCxnSpPr>
      <xdr:spPr>
        <a:xfrm flipH="1">
          <a:off x="10111150" y="3761154"/>
          <a:ext cx="2624" cy="13646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562382</xdr:colOff>
      <xdr:row>12</xdr:row>
      <xdr:rowOff>449385</xdr:rowOff>
    </xdr:from>
    <xdr:to>
      <xdr:col>5</xdr:col>
      <xdr:colOff>573467</xdr:colOff>
      <xdr:row>13</xdr:row>
      <xdr:rowOff>88900</xdr:rowOff>
    </xdr:to>
    <xdr:cxnSp macro="">
      <xdr:nvCxnSpPr>
        <xdr:cNvPr id="55" name="Straight Arrow Connector 7"/>
        <xdr:cNvCxnSpPr/>
      </xdr:nvCxnSpPr>
      <xdr:spPr>
        <a:xfrm flipH="1">
          <a:off x="10106920" y="4122616"/>
          <a:ext cx="11085" cy="176822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272433</xdr:colOff>
      <xdr:row>12</xdr:row>
      <xdr:rowOff>273031</xdr:rowOff>
    </xdr:from>
    <xdr:to>
      <xdr:col>5</xdr:col>
      <xdr:colOff>315785</xdr:colOff>
      <xdr:row>15</xdr:row>
      <xdr:rowOff>165099</xdr:rowOff>
    </xdr:to>
    <xdr:cxnSp macro="">
      <xdr:nvCxnSpPr>
        <xdr:cNvPr id="57" name="Elbow Connector 76"/>
        <xdr:cNvCxnSpPr>
          <a:stCxn id="38" idx="1"/>
          <a:endCxn id="47" idx="1"/>
        </xdr:cNvCxnSpPr>
      </xdr:nvCxnSpPr>
      <xdr:spPr>
        <a:xfrm rot="10800000" flipV="1">
          <a:off x="9816971" y="4043954"/>
          <a:ext cx="43352" cy="1074145"/>
        </a:xfrm>
        <a:prstGeom prst="bentConnector3">
          <a:avLst>
            <a:gd name="adj1" fmla="val 2024460"/>
          </a:avLst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205153</xdr:colOff>
      <xdr:row>12</xdr:row>
      <xdr:rowOff>534438</xdr:rowOff>
    </xdr:from>
    <xdr:to>
      <xdr:col>4</xdr:col>
      <xdr:colOff>581388</xdr:colOff>
      <xdr:row>14</xdr:row>
      <xdr:rowOff>19539</xdr:rowOff>
    </xdr:to>
    <xdr:sp macro="" textlink="">
      <xdr:nvSpPr>
        <xdr:cNvPr id="62" name="TextBox 45"/>
        <xdr:cNvSpPr txBox="1"/>
      </xdr:nvSpPr>
      <xdr:spPr>
        <a:xfrm>
          <a:off x="8606691" y="4207669"/>
          <a:ext cx="376235" cy="3447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/>
            <a:t>Sí</a:t>
          </a:r>
        </a:p>
      </xdr:txBody>
    </xdr:sp>
    <xdr:clientData/>
  </xdr:twoCellAnchor>
  <xdr:twoCellAnchor>
    <xdr:from>
      <xdr:col>5</xdr:col>
      <xdr:colOff>595923</xdr:colOff>
      <xdr:row>12</xdr:row>
      <xdr:rowOff>302845</xdr:rowOff>
    </xdr:from>
    <xdr:to>
      <xdr:col>5</xdr:col>
      <xdr:colOff>1007162</xdr:colOff>
      <xdr:row>13</xdr:row>
      <xdr:rowOff>107315</xdr:rowOff>
    </xdr:to>
    <xdr:sp macro="" textlink="">
      <xdr:nvSpPr>
        <xdr:cNvPr id="63" name="TextBox 68"/>
        <xdr:cNvSpPr txBox="1"/>
      </xdr:nvSpPr>
      <xdr:spPr>
        <a:xfrm>
          <a:off x="10140461" y="3976076"/>
          <a:ext cx="411239" cy="34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/>
            <a:t>No</a:t>
          </a:r>
        </a:p>
      </xdr:txBody>
    </xdr:sp>
    <xdr:clientData/>
  </xdr:twoCellAnchor>
  <xdr:twoCellAnchor>
    <xdr:from>
      <xdr:col>5</xdr:col>
      <xdr:colOff>272433</xdr:colOff>
      <xdr:row>17</xdr:row>
      <xdr:rowOff>76200</xdr:rowOff>
    </xdr:from>
    <xdr:to>
      <xdr:col>5</xdr:col>
      <xdr:colOff>863416</xdr:colOff>
      <xdr:row>17</xdr:row>
      <xdr:rowOff>254000</xdr:rowOff>
    </xdr:to>
    <xdr:sp macro="" textlink="">
      <xdr:nvSpPr>
        <xdr:cNvPr id="64" name="Rectangle 16"/>
        <xdr:cNvSpPr/>
      </xdr:nvSpPr>
      <xdr:spPr>
        <a:xfrm>
          <a:off x="9816971" y="5253892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12</a:t>
          </a:r>
        </a:p>
      </xdr:txBody>
    </xdr:sp>
    <xdr:clientData/>
  </xdr:twoCellAnchor>
  <xdr:twoCellAnchor>
    <xdr:from>
      <xdr:col>6</xdr:col>
      <xdr:colOff>268709</xdr:colOff>
      <xdr:row>18</xdr:row>
      <xdr:rowOff>78153</xdr:rowOff>
    </xdr:from>
    <xdr:to>
      <xdr:col>6</xdr:col>
      <xdr:colOff>859692</xdr:colOff>
      <xdr:row>18</xdr:row>
      <xdr:rowOff>255953</xdr:rowOff>
    </xdr:to>
    <xdr:sp macro="" textlink="">
      <xdr:nvSpPr>
        <xdr:cNvPr id="69" name="Rectangle 16"/>
        <xdr:cNvSpPr/>
      </xdr:nvSpPr>
      <xdr:spPr>
        <a:xfrm>
          <a:off x="10956247" y="557823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13</a:t>
          </a:r>
        </a:p>
      </xdr:txBody>
    </xdr:sp>
    <xdr:clientData/>
  </xdr:twoCellAnchor>
  <xdr:twoCellAnchor>
    <xdr:from>
      <xdr:col>6</xdr:col>
      <xdr:colOff>268709</xdr:colOff>
      <xdr:row>19</xdr:row>
      <xdr:rowOff>78152</xdr:rowOff>
    </xdr:from>
    <xdr:to>
      <xdr:col>6</xdr:col>
      <xdr:colOff>859692</xdr:colOff>
      <xdr:row>19</xdr:row>
      <xdr:rowOff>255952</xdr:rowOff>
    </xdr:to>
    <xdr:sp macro="" textlink="">
      <xdr:nvSpPr>
        <xdr:cNvPr id="70" name="Rectangle 16"/>
        <xdr:cNvSpPr/>
      </xdr:nvSpPr>
      <xdr:spPr>
        <a:xfrm>
          <a:off x="10956247" y="5900614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14</a:t>
          </a:r>
        </a:p>
      </xdr:txBody>
    </xdr:sp>
    <xdr:clientData/>
  </xdr:twoCellAnchor>
  <xdr:twoCellAnchor>
    <xdr:from>
      <xdr:col>6</xdr:col>
      <xdr:colOff>562888</xdr:colOff>
      <xdr:row>18</xdr:row>
      <xdr:rowOff>260015</xdr:rowOff>
    </xdr:from>
    <xdr:to>
      <xdr:col>6</xdr:col>
      <xdr:colOff>565512</xdr:colOff>
      <xdr:row>19</xdr:row>
      <xdr:rowOff>74090</xdr:rowOff>
    </xdr:to>
    <xdr:cxnSp macro="">
      <xdr:nvCxnSpPr>
        <xdr:cNvPr id="71" name="Straight Arrow Connector 7"/>
        <xdr:cNvCxnSpPr/>
      </xdr:nvCxnSpPr>
      <xdr:spPr>
        <a:xfrm flipH="1">
          <a:off x="11250426" y="5760092"/>
          <a:ext cx="2624" cy="13646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567925</xdr:colOff>
      <xdr:row>17</xdr:row>
      <xdr:rowOff>254000</xdr:rowOff>
    </xdr:from>
    <xdr:to>
      <xdr:col>6</xdr:col>
      <xdr:colOff>268709</xdr:colOff>
      <xdr:row>18</xdr:row>
      <xdr:rowOff>167053</xdr:rowOff>
    </xdr:to>
    <xdr:cxnSp macro="">
      <xdr:nvCxnSpPr>
        <xdr:cNvPr id="74" name="Elbow Connector 76"/>
        <xdr:cNvCxnSpPr>
          <a:stCxn id="64" idx="2"/>
          <a:endCxn id="69" idx="1"/>
        </xdr:cNvCxnSpPr>
      </xdr:nvCxnSpPr>
      <xdr:spPr>
        <a:xfrm rot="16200000" flipH="1">
          <a:off x="10416636" y="5127519"/>
          <a:ext cx="235438" cy="843784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322412</xdr:colOff>
      <xdr:row>16</xdr:row>
      <xdr:rowOff>68385</xdr:rowOff>
    </xdr:from>
    <xdr:to>
      <xdr:col>3</xdr:col>
      <xdr:colOff>913395</xdr:colOff>
      <xdr:row>16</xdr:row>
      <xdr:rowOff>246185</xdr:rowOff>
    </xdr:to>
    <xdr:sp macro="" textlink="">
      <xdr:nvSpPr>
        <xdr:cNvPr id="77" name="Rectangle 16"/>
        <xdr:cNvSpPr/>
      </xdr:nvSpPr>
      <xdr:spPr>
        <a:xfrm>
          <a:off x="7580950" y="534377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11</a:t>
          </a:r>
        </a:p>
      </xdr:txBody>
    </xdr:sp>
    <xdr:clientData/>
  </xdr:twoCellAnchor>
  <xdr:twoCellAnchor>
    <xdr:from>
      <xdr:col>3</xdr:col>
      <xdr:colOff>913395</xdr:colOff>
      <xdr:row>15</xdr:row>
      <xdr:rowOff>254000</xdr:rowOff>
    </xdr:from>
    <xdr:to>
      <xdr:col>5</xdr:col>
      <xdr:colOff>567925</xdr:colOff>
      <xdr:row>16</xdr:row>
      <xdr:rowOff>157285</xdr:rowOff>
    </xdr:to>
    <xdr:cxnSp macro="">
      <xdr:nvCxnSpPr>
        <xdr:cNvPr id="78" name="Elbow Connector 76"/>
        <xdr:cNvCxnSpPr>
          <a:stCxn id="47" idx="2"/>
          <a:endCxn id="77" idx="3"/>
        </xdr:cNvCxnSpPr>
      </xdr:nvCxnSpPr>
      <xdr:spPr>
        <a:xfrm rot="5400000">
          <a:off x="9029363" y="4349570"/>
          <a:ext cx="225670" cy="1940530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617904</xdr:colOff>
      <xdr:row>16</xdr:row>
      <xdr:rowOff>246184</xdr:rowOff>
    </xdr:from>
    <xdr:to>
      <xdr:col>5</xdr:col>
      <xdr:colOff>272433</xdr:colOff>
      <xdr:row>17</xdr:row>
      <xdr:rowOff>165099</xdr:rowOff>
    </xdr:to>
    <xdr:cxnSp macro="">
      <xdr:nvCxnSpPr>
        <xdr:cNvPr id="81" name="Elbow Connector 76"/>
        <xdr:cNvCxnSpPr>
          <a:stCxn id="77" idx="2"/>
          <a:endCxn id="64" idx="1"/>
        </xdr:cNvCxnSpPr>
      </xdr:nvCxnSpPr>
      <xdr:spPr>
        <a:xfrm rot="16200000" flipH="1">
          <a:off x="8726057" y="4671954"/>
          <a:ext cx="241299" cy="1940529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416569</xdr:colOff>
      <xdr:row>20</xdr:row>
      <xdr:rowOff>48846</xdr:rowOff>
    </xdr:from>
    <xdr:to>
      <xdr:col>7</xdr:col>
      <xdr:colOff>780107</xdr:colOff>
      <xdr:row>20</xdr:row>
      <xdr:rowOff>315546</xdr:rowOff>
    </xdr:to>
    <xdr:sp macro="" textlink="">
      <xdr:nvSpPr>
        <xdr:cNvPr id="84" name="Triángulo 83"/>
        <xdr:cNvSpPr/>
      </xdr:nvSpPr>
      <xdr:spPr>
        <a:xfrm rot="10800000" flipH="1">
          <a:off x="12247107" y="6613769"/>
          <a:ext cx="363538" cy="266700"/>
        </a:xfrm>
        <a:prstGeom prst="triangle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overflow" horzOverflow="overflow" vert="horz" wrap="none" lIns="118872" tIns="0" bIns="91440" rtlCol="0" anchor="ctr" anchorCtr="0">
          <a:scene3d>
            <a:camera prst="orthographicFront">
              <a:rot lat="0" lon="0" rev="10799999"/>
            </a:camera>
            <a:lightRig rig="threePt" dir="t"/>
          </a:scene3d>
        </a:bodyPr>
        <a:lstStyle/>
        <a:p>
          <a:pPr marL="0" indent="0" algn="ctr"/>
          <a:r>
            <a:rPr lang="es-ES_tradnl" sz="1400" b="1">
              <a:solidFill>
                <a:schemeClr val="dk1"/>
              </a:solidFill>
              <a:latin typeface="+mn-lt"/>
              <a:ea typeface="+mn-ea"/>
              <a:cs typeface="+mn-cs"/>
            </a:rPr>
            <a:t>15 </a:t>
          </a:r>
        </a:p>
      </xdr:txBody>
    </xdr:sp>
    <xdr:clientData/>
  </xdr:twoCellAnchor>
  <xdr:twoCellAnchor>
    <xdr:from>
      <xdr:col>7</xdr:col>
      <xdr:colOff>346199</xdr:colOff>
      <xdr:row>21</xdr:row>
      <xdr:rowOff>125047</xdr:rowOff>
    </xdr:from>
    <xdr:to>
      <xdr:col>7</xdr:col>
      <xdr:colOff>850477</xdr:colOff>
      <xdr:row>21</xdr:row>
      <xdr:rowOff>454231</xdr:rowOff>
    </xdr:to>
    <xdr:sp macro="" textlink="">
      <xdr:nvSpPr>
        <xdr:cNvPr id="85" name="Flowchart: Decision 8"/>
        <xdr:cNvSpPr/>
      </xdr:nvSpPr>
      <xdr:spPr>
        <a:xfrm>
          <a:off x="12176737" y="7012355"/>
          <a:ext cx="504278" cy="329184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overflow" horzOverflow="overflow" vert="horz" wrap="non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PE" sz="1400" b="1">
              <a:solidFill>
                <a:schemeClr val="dk1"/>
              </a:solidFill>
              <a:latin typeface="+mn-lt"/>
              <a:ea typeface="+mn-ea"/>
              <a:cs typeface="+mn-cs"/>
            </a:rPr>
            <a:t>16</a:t>
          </a:r>
        </a:p>
      </xdr:txBody>
    </xdr:sp>
    <xdr:clientData/>
  </xdr:twoCellAnchor>
  <xdr:twoCellAnchor>
    <xdr:from>
      <xdr:col>7</xdr:col>
      <xdr:colOff>293078</xdr:colOff>
      <xdr:row>22</xdr:row>
      <xdr:rowOff>95739</xdr:rowOff>
    </xdr:from>
    <xdr:to>
      <xdr:col>7</xdr:col>
      <xdr:colOff>884061</xdr:colOff>
      <xdr:row>22</xdr:row>
      <xdr:rowOff>273539</xdr:rowOff>
    </xdr:to>
    <xdr:sp macro="" textlink="">
      <xdr:nvSpPr>
        <xdr:cNvPr id="86" name="Rectangle 16"/>
        <xdr:cNvSpPr/>
      </xdr:nvSpPr>
      <xdr:spPr>
        <a:xfrm>
          <a:off x="12123616" y="7520354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17</a:t>
          </a:r>
        </a:p>
      </xdr:txBody>
    </xdr:sp>
    <xdr:clientData/>
  </xdr:twoCellAnchor>
  <xdr:twoCellAnchor>
    <xdr:from>
      <xdr:col>7</xdr:col>
      <xdr:colOff>587256</xdr:colOff>
      <xdr:row>22</xdr:row>
      <xdr:rowOff>260839</xdr:rowOff>
    </xdr:from>
    <xdr:to>
      <xdr:col>7</xdr:col>
      <xdr:colOff>589880</xdr:colOff>
      <xdr:row>23</xdr:row>
      <xdr:rowOff>74913</xdr:rowOff>
    </xdr:to>
    <xdr:cxnSp macro="">
      <xdr:nvCxnSpPr>
        <xdr:cNvPr id="87" name="Straight Arrow Connector 7"/>
        <xdr:cNvCxnSpPr/>
      </xdr:nvCxnSpPr>
      <xdr:spPr>
        <a:xfrm flipH="1">
          <a:off x="12417794" y="7685454"/>
          <a:ext cx="2624" cy="136459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293077</xdr:colOff>
      <xdr:row>23</xdr:row>
      <xdr:rowOff>83038</xdr:rowOff>
    </xdr:from>
    <xdr:to>
      <xdr:col>7</xdr:col>
      <xdr:colOff>884060</xdr:colOff>
      <xdr:row>23</xdr:row>
      <xdr:rowOff>260837</xdr:rowOff>
    </xdr:to>
    <xdr:sp macro="" textlink="">
      <xdr:nvSpPr>
        <xdr:cNvPr id="88" name="Rectangle 16"/>
        <xdr:cNvSpPr/>
      </xdr:nvSpPr>
      <xdr:spPr>
        <a:xfrm>
          <a:off x="12123615" y="7830038"/>
          <a:ext cx="590983" cy="17779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18</a:t>
          </a:r>
        </a:p>
      </xdr:txBody>
    </xdr:sp>
    <xdr:clientData/>
  </xdr:twoCellAnchor>
  <xdr:twoCellAnchor>
    <xdr:from>
      <xdr:col>7</xdr:col>
      <xdr:colOff>293077</xdr:colOff>
      <xdr:row>24</xdr:row>
      <xdr:rowOff>83038</xdr:rowOff>
    </xdr:from>
    <xdr:to>
      <xdr:col>7</xdr:col>
      <xdr:colOff>884060</xdr:colOff>
      <xdr:row>24</xdr:row>
      <xdr:rowOff>260839</xdr:rowOff>
    </xdr:to>
    <xdr:sp macro="" textlink="">
      <xdr:nvSpPr>
        <xdr:cNvPr id="89" name="Rectangle 16"/>
        <xdr:cNvSpPr/>
      </xdr:nvSpPr>
      <xdr:spPr>
        <a:xfrm>
          <a:off x="12123615" y="8152423"/>
          <a:ext cx="590983" cy="17780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19</a:t>
          </a:r>
        </a:p>
      </xdr:txBody>
    </xdr:sp>
    <xdr:clientData/>
  </xdr:twoCellAnchor>
  <xdr:twoCellAnchor>
    <xdr:from>
      <xdr:col>7</xdr:col>
      <xdr:colOff>587256</xdr:colOff>
      <xdr:row>23</xdr:row>
      <xdr:rowOff>273537</xdr:rowOff>
    </xdr:from>
    <xdr:to>
      <xdr:col>7</xdr:col>
      <xdr:colOff>589880</xdr:colOff>
      <xdr:row>24</xdr:row>
      <xdr:rowOff>87613</xdr:rowOff>
    </xdr:to>
    <xdr:cxnSp macro="">
      <xdr:nvCxnSpPr>
        <xdr:cNvPr id="90" name="Straight Arrow Connector 7"/>
        <xdr:cNvCxnSpPr/>
      </xdr:nvCxnSpPr>
      <xdr:spPr>
        <a:xfrm flipH="1">
          <a:off x="12417794" y="8020537"/>
          <a:ext cx="2624" cy="136461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597026</xdr:colOff>
      <xdr:row>21</xdr:row>
      <xdr:rowOff>6838</xdr:rowOff>
    </xdr:from>
    <xdr:to>
      <xdr:col>7</xdr:col>
      <xdr:colOff>599650</xdr:colOff>
      <xdr:row>21</xdr:row>
      <xdr:rowOff>143298</xdr:rowOff>
    </xdr:to>
    <xdr:cxnSp macro="">
      <xdr:nvCxnSpPr>
        <xdr:cNvPr id="91" name="Straight Arrow Connector 7"/>
        <xdr:cNvCxnSpPr/>
      </xdr:nvCxnSpPr>
      <xdr:spPr>
        <a:xfrm flipH="1">
          <a:off x="12427564" y="6894146"/>
          <a:ext cx="2624" cy="13646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583026</xdr:colOff>
      <xdr:row>21</xdr:row>
      <xdr:rowOff>436685</xdr:rowOff>
    </xdr:from>
    <xdr:to>
      <xdr:col>7</xdr:col>
      <xdr:colOff>594111</xdr:colOff>
      <xdr:row>22</xdr:row>
      <xdr:rowOff>95739</xdr:rowOff>
    </xdr:to>
    <xdr:cxnSp macro="">
      <xdr:nvCxnSpPr>
        <xdr:cNvPr id="92" name="Straight Arrow Connector 7"/>
        <xdr:cNvCxnSpPr/>
      </xdr:nvCxnSpPr>
      <xdr:spPr>
        <a:xfrm flipH="1">
          <a:off x="12413564" y="7323993"/>
          <a:ext cx="11085" cy="196361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564201</xdr:colOff>
      <xdr:row>19</xdr:row>
      <xdr:rowOff>255951</xdr:rowOff>
    </xdr:from>
    <xdr:to>
      <xdr:col>7</xdr:col>
      <xdr:colOff>507454</xdr:colOff>
      <xdr:row>20</xdr:row>
      <xdr:rowOff>182195</xdr:rowOff>
    </xdr:to>
    <xdr:cxnSp macro="">
      <xdr:nvCxnSpPr>
        <xdr:cNvPr id="93" name="Elbow Connector 76"/>
        <xdr:cNvCxnSpPr>
          <a:stCxn id="70" idx="2"/>
          <a:endCxn id="84" idx="1"/>
        </xdr:cNvCxnSpPr>
      </xdr:nvCxnSpPr>
      <xdr:spPr>
        <a:xfrm rot="16200000" flipH="1">
          <a:off x="11670551" y="6079677"/>
          <a:ext cx="248629" cy="1086253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293077</xdr:colOff>
      <xdr:row>21</xdr:row>
      <xdr:rowOff>289638</xdr:rowOff>
    </xdr:from>
    <xdr:to>
      <xdr:col>7</xdr:col>
      <xdr:colOff>346199</xdr:colOff>
      <xdr:row>24</xdr:row>
      <xdr:rowOff>171938</xdr:rowOff>
    </xdr:to>
    <xdr:cxnSp macro="">
      <xdr:nvCxnSpPr>
        <xdr:cNvPr id="97" name="Elbow Connector 76"/>
        <xdr:cNvCxnSpPr>
          <a:stCxn id="85" idx="1"/>
          <a:endCxn id="89" idx="1"/>
        </xdr:cNvCxnSpPr>
      </xdr:nvCxnSpPr>
      <xdr:spPr>
        <a:xfrm rot="10800000" flipV="1">
          <a:off x="12123615" y="7176946"/>
          <a:ext cx="53122" cy="1064377"/>
        </a:xfrm>
        <a:prstGeom prst="bentConnector3">
          <a:avLst>
            <a:gd name="adj1" fmla="val 1725692"/>
          </a:avLst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322385</xdr:colOff>
      <xdr:row>25</xdr:row>
      <xdr:rowOff>68384</xdr:rowOff>
    </xdr:from>
    <xdr:to>
      <xdr:col>3</xdr:col>
      <xdr:colOff>913368</xdr:colOff>
      <xdr:row>25</xdr:row>
      <xdr:rowOff>246184</xdr:rowOff>
    </xdr:to>
    <xdr:sp macro="" textlink="">
      <xdr:nvSpPr>
        <xdr:cNvPr id="102" name="Rectangle 16"/>
        <xdr:cNvSpPr/>
      </xdr:nvSpPr>
      <xdr:spPr>
        <a:xfrm>
          <a:off x="7580923" y="8460153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20</a:t>
          </a:r>
        </a:p>
      </xdr:txBody>
    </xdr:sp>
    <xdr:clientData/>
  </xdr:twoCellAnchor>
  <xdr:twoCellAnchor>
    <xdr:from>
      <xdr:col>3</xdr:col>
      <xdr:colOff>913369</xdr:colOff>
      <xdr:row>24</xdr:row>
      <xdr:rowOff>260839</xdr:rowOff>
    </xdr:from>
    <xdr:to>
      <xdr:col>7</xdr:col>
      <xdr:colOff>588570</xdr:colOff>
      <xdr:row>25</xdr:row>
      <xdr:rowOff>157284</xdr:rowOff>
    </xdr:to>
    <xdr:cxnSp macro="">
      <xdr:nvCxnSpPr>
        <xdr:cNvPr id="103" name="Elbow Connector 76"/>
        <xdr:cNvCxnSpPr>
          <a:stCxn id="89" idx="2"/>
          <a:endCxn id="102" idx="3"/>
        </xdr:cNvCxnSpPr>
      </xdr:nvCxnSpPr>
      <xdr:spPr>
        <a:xfrm rot="5400000">
          <a:off x="10186093" y="6316038"/>
          <a:ext cx="218829" cy="4247201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194453</xdr:colOff>
      <xdr:row>21</xdr:row>
      <xdr:rowOff>524668</xdr:rowOff>
    </xdr:from>
    <xdr:to>
      <xdr:col>6</xdr:col>
      <xdr:colOff>570688</xdr:colOff>
      <xdr:row>23</xdr:row>
      <xdr:rowOff>9769</xdr:rowOff>
    </xdr:to>
    <xdr:sp macro="" textlink="">
      <xdr:nvSpPr>
        <xdr:cNvPr id="106" name="TextBox 45"/>
        <xdr:cNvSpPr txBox="1"/>
      </xdr:nvSpPr>
      <xdr:spPr>
        <a:xfrm>
          <a:off x="10881991" y="7411976"/>
          <a:ext cx="376235" cy="3447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/>
            <a:t>Sí</a:t>
          </a:r>
        </a:p>
      </xdr:txBody>
    </xdr:sp>
    <xdr:clientData/>
  </xdr:twoCellAnchor>
  <xdr:twoCellAnchor>
    <xdr:from>
      <xdr:col>7</xdr:col>
      <xdr:colOff>634068</xdr:colOff>
      <xdr:row>21</xdr:row>
      <xdr:rowOff>293075</xdr:rowOff>
    </xdr:from>
    <xdr:to>
      <xdr:col>7</xdr:col>
      <xdr:colOff>1045307</xdr:colOff>
      <xdr:row>22</xdr:row>
      <xdr:rowOff>97546</xdr:rowOff>
    </xdr:to>
    <xdr:sp macro="" textlink="">
      <xdr:nvSpPr>
        <xdr:cNvPr id="107" name="TextBox 68"/>
        <xdr:cNvSpPr txBox="1"/>
      </xdr:nvSpPr>
      <xdr:spPr>
        <a:xfrm>
          <a:off x="12464606" y="7180383"/>
          <a:ext cx="411239" cy="34177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/>
            <a:t>No</a:t>
          </a:r>
        </a:p>
      </xdr:txBody>
    </xdr:sp>
    <xdr:clientData/>
  </xdr:twoCellAnchor>
  <xdr:twoCellAnchor>
    <xdr:from>
      <xdr:col>7</xdr:col>
      <xdr:colOff>293076</xdr:colOff>
      <xdr:row>26</xdr:row>
      <xdr:rowOff>68385</xdr:rowOff>
    </xdr:from>
    <xdr:to>
      <xdr:col>7</xdr:col>
      <xdr:colOff>884059</xdr:colOff>
      <xdr:row>26</xdr:row>
      <xdr:rowOff>246185</xdr:rowOff>
    </xdr:to>
    <xdr:sp macro="" textlink="">
      <xdr:nvSpPr>
        <xdr:cNvPr id="108" name="Rectangle 16"/>
        <xdr:cNvSpPr/>
      </xdr:nvSpPr>
      <xdr:spPr>
        <a:xfrm>
          <a:off x="12123614" y="8782539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21</a:t>
          </a:r>
        </a:p>
      </xdr:txBody>
    </xdr:sp>
    <xdr:clientData/>
  </xdr:twoCellAnchor>
  <xdr:twoCellAnchor>
    <xdr:from>
      <xdr:col>3</xdr:col>
      <xdr:colOff>617876</xdr:colOff>
      <xdr:row>25</xdr:row>
      <xdr:rowOff>246184</xdr:rowOff>
    </xdr:from>
    <xdr:to>
      <xdr:col>7</xdr:col>
      <xdr:colOff>293075</xdr:colOff>
      <xdr:row>26</xdr:row>
      <xdr:rowOff>157285</xdr:rowOff>
    </xdr:to>
    <xdr:cxnSp macro="">
      <xdr:nvCxnSpPr>
        <xdr:cNvPr id="109" name="Elbow Connector 76"/>
        <xdr:cNvCxnSpPr>
          <a:stCxn id="102" idx="2"/>
          <a:endCxn id="108" idx="1"/>
        </xdr:cNvCxnSpPr>
      </xdr:nvCxnSpPr>
      <xdr:spPr>
        <a:xfrm rot="16200000" flipH="1">
          <a:off x="9883271" y="6631096"/>
          <a:ext cx="233486" cy="4247199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266700</xdr:colOff>
      <xdr:row>27</xdr:row>
      <xdr:rowOff>76200</xdr:rowOff>
    </xdr:from>
    <xdr:to>
      <xdr:col>8</xdr:col>
      <xdr:colOff>857683</xdr:colOff>
      <xdr:row>27</xdr:row>
      <xdr:rowOff>254000</xdr:rowOff>
    </xdr:to>
    <xdr:sp macro="" textlink="">
      <xdr:nvSpPr>
        <xdr:cNvPr id="112" name="Rectangle 16"/>
        <xdr:cNvSpPr/>
      </xdr:nvSpPr>
      <xdr:spPr>
        <a:xfrm>
          <a:off x="13233400" y="90043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22</a:t>
          </a:r>
        </a:p>
      </xdr:txBody>
    </xdr:sp>
    <xdr:clientData/>
  </xdr:twoCellAnchor>
  <xdr:twoCellAnchor>
    <xdr:from>
      <xdr:col>7</xdr:col>
      <xdr:colOff>588569</xdr:colOff>
      <xdr:row>26</xdr:row>
      <xdr:rowOff>246184</xdr:rowOff>
    </xdr:from>
    <xdr:to>
      <xdr:col>8</xdr:col>
      <xdr:colOff>266701</xdr:colOff>
      <xdr:row>27</xdr:row>
      <xdr:rowOff>165099</xdr:rowOff>
    </xdr:to>
    <xdr:cxnSp macro="">
      <xdr:nvCxnSpPr>
        <xdr:cNvPr id="113" name="Elbow Connector 76"/>
        <xdr:cNvCxnSpPr>
          <a:stCxn id="108" idx="2"/>
          <a:endCxn id="112" idx="1"/>
        </xdr:cNvCxnSpPr>
      </xdr:nvCxnSpPr>
      <xdr:spPr>
        <a:xfrm rot="16200000" flipH="1">
          <a:off x="12704627" y="8564426"/>
          <a:ext cx="236415" cy="821132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292100</xdr:colOff>
      <xdr:row>28</xdr:row>
      <xdr:rowOff>76200</xdr:rowOff>
    </xdr:from>
    <xdr:to>
      <xdr:col>7</xdr:col>
      <xdr:colOff>883083</xdr:colOff>
      <xdr:row>28</xdr:row>
      <xdr:rowOff>254000</xdr:rowOff>
    </xdr:to>
    <xdr:sp macro="" textlink="">
      <xdr:nvSpPr>
        <xdr:cNvPr id="116" name="Rectangle 16"/>
        <xdr:cNvSpPr/>
      </xdr:nvSpPr>
      <xdr:spPr>
        <a:xfrm>
          <a:off x="12115800" y="93218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23</a:t>
          </a:r>
        </a:p>
      </xdr:txBody>
    </xdr:sp>
    <xdr:clientData/>
  </xdr:twoCellAnchor>
  <xdr:twoCellAnchor>
    <xdr:from>
      <xdr:col>7</xdr:col>
      <xdr:colOff>883083</xdr:colOff>
      <xdr:row>27</xdr:row>
      <xdr:rowOff>254001</xdr:rowOff>
    </xdr:from>
    <xdr:to>
      <xdr:col>8</xdr:col>
      <xdr:colOff>562192</xdr:colOff>
      <xdr:row>28</xdr:row>
      <xdr:rowOff>165101</xdr:rowOff>
    </xdr:to>
    <xdr:cxnSp macro="">
      <xdr:nvCxnSpPr>
        <xdr:cNvPr id="117" name="Elbow Connector 76"/>
        <xdr:cNvCxnSpPr>
          <a:stCxn id="112" idx="2"/>
          <a:endCxn id="116" idx="3"/>
        </xdr:cNvCxnSpPr>
      </xdr:nvCxnSpPr>
      <xdr:spPr>
        <a:xfrm rot="5400000">
          <a:off x="13003538" y="8885346"/>
          <a:ext cx="228600" cy="822109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279400</xdr:colOff>
      <xdr:row>29</xdr:row>
      <xdr:rowOff>76200</xdr:rowOff>
    </xdr:from>
    <xdr:to>
      <xdr:col>9</xdr:col>
      <xdr:colOff>870383</xdr:colOff>
      <xdr:row>29</xdr:row>
      <xdr:rowOff>254000</xdr:rowOff>
    </xdr:to>
    <xdr:sp macro="" textlink="">
      <xdr:nvSpPr>
        <xdr:cNvPr id="120" name="Rectangle 16"/>
        <xdr:cNvSpPr/>
      </xdr:nvSpPr>
      <xdr:spPr>
        <a:xfrm>
          <a:off x="14389100" y="9639300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24</a:t>
          </a:r>
        </a:p>
      </xdr:txBody>
    </xdr:sp>
    <xdr:clientData/>
  </xdr:twoCellAnchor>
  <xdr:twoCellAnchor>
    <xdr:from>
      <xdr:col>7</xdr:col>
      <xdr:colOff>587592</xdr:colOff>
      <xdr:row>28</xdr:row>
      <xdr:rowOff>254000</xdr:rowOff>
    </xdr:from>
    <xdr:to>
      <xdr:col>9</xdr:col>
      <xdr:colOff>279400</xdr:colOff>
      <xdr:row>29</xdr:row>
      <xdr:rowOff>165100</xdr:rowOff>
    </xdr:to>
    <xdr:cxnSp macro="">
      <xdr:nvCxnSpPr>
        <xdr:cNvPr id="121" name="Elbow Connector 76"/>
        <xdr:cNvCxnSpPr>
          <a:stCxn id="116" idx="2"/>
          <a:endCxn id="120" idx="1"/>
        </xdr:cNvCxnSpPr>
      </xdr:nvCxnSpPr>
      <xdr:spPr>
        <a:xfrm rot="16200000" flipH="1">
          <a:off x="13285896" y="8624996"/>
          <a:ext cx="228600" cy="1977808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403848</xdr:colOff>
      <xdr:row>30</xdr:row>
      <xdr:rowOff>58270</xdr:rowOff>
    </xdr:from>
    <xdr:to>
      <xdr:col>9</xdr:col>
      <xdr:colOff>769608</xdr:colOff>
      <xdr:row>30</xdr:row>
      <xdr:rowOff>268582</xdr:rowOff>
    </xdr:to>
    <xdr:sp macro="" textlink="">
      <xdr:nvSpPr>
        <xdr:cNvPr id="124" name="Rectangle 20"/>
        <xdr:cNvSpPr/>
      </xdr:nvSpPr>
      <xdr:spPr>
        <a:xfrm>
          <a:off x="14513548" y="9938870"/>
          <a:ext cx="365760" cy="210312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F</a:t>
          </a:r>
        </a:p>
      </xdr:txBody>
    </xdr:sp>
    <xdr:clientData/>
  </xdr:twoCellAnchor>
  <xdr:twoCellAnchor>
    <xdr:from>
      <xdr:col>9</xdr:col>
      <xdr:colOff>574892</xdr:colOff>
      <xdr:row>29</xdr:row>
      <xdr:rowOff>254000</xdr:rowOff>
    </xdr:from>
    <xdr:to>
      <xdr:col>9</xdr:col>
      <xdr:colOff>586728</xdr:colOff>
      <xdr:row>30</xdr:row>
      <xdr:rowOff>58270</xdr:rowOff>
    </xdr:to>
    <xdr:cxnSp macro="">
      <xdr:nvCxnSpPr>
        <xdr:cNvPr id="125" name="Straight Arrow Connector 7"/>
        <xdr:cNvCxnSpPr>
          <a:stCxn id="120" idx="2"/>
          <a:endCxn id="124" idx="0"/>
        </xdr:cNvCxnSpPr>
      </xdr:nvCxnSpPr>
      <xdr:spPr>
        <a:xfrm>
          <a:off x="14684592" y="9817100"/>
          <a:ext cx="11836" cy="12177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383027</xdr:colOff>
      <xdr:row>36</xdr:row>
      <xdr:rowOff>62179</xdr:rowOff>
    </xdr:from>
    <xdr:to>
      <xdr:col>3</xdr:col>
      <xdr:colOff>752821</xdr:colOff>
      <xdr:row>36</xdr:row>
      <xdr:rowOff>270609</xdr:rowOff>
    </xdr:to>
    <xdr:sp macro="" textlink="">
      <xdr:nvSpPr>
        <xdr:cNvPr id="128" name="Rectangle 5"/>
        <xdr:cNvSpPr/>
      </xdr:nvSpPr>
      <xdr:spPr>
        <a:xfrm>
          <a:off x="7641565" y="11619179"/>
          <a:ext cx="369794" cy="208430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I</a:t>
          </a:r>
        </a:p>
      </xdr:txBody>
    </xdr:sp>
    <xdr:clientData/>
  </xdr:twoCellAnchor>
  <xdr:twoCellAnchor>
    <xdr:from>
      <xdr:col>3</xdr:col>
      <xdr:colOff>315785</xdr:colOff>
      <xdr:row>37</xdr:row>
      <xdr:rowOff>108440</xdr:rowOff>
    </xdr:from>
    <xdr:to>
      <xdr:col>3</xdr:col>
      <xdr:colOff>820063</xdr:colOff>
      <xdr:row>37</xdr:row>
      <xdr:rowOff>437624</xdr:rowOff>
    </xdr:to>
    <xdr:sp macro="" textlink="">
      <xdr:nvSpPr>
        <xdr:cNvPr id="133" name="Flowchart: Decision 8"/>
        <xdr:cNvSpPr/>
      </xdr:nvSpPr>
      <xdr:spPr>
        <a:xfrm>
          <a:off x="7574323" y="11987825"/>
          <a:ext cx="504278" cy="329184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clip" horzOverflow="clip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PE" sz="1400" b="1">
              <a:solidFill>
                <a:schemeClr val="dk1"/>
              </a:solidFill>
              <a:latin typeface="+mn-lt"/>
              <a:ea typeface="+mn-ea"/>
              <a:cs typeface="+mn-cs"/>
            </a:rPr>
            <a:t>1</a:t>
          </a:r>
        </a:p>
      </xdr:txBody>
    </xdr:sp>
    <xdr:clientData/>
  </xdr:twoCellAnchor>
  <xdr:twoCellAnchor>
    <xdr:from>
      <xdr:col>3</xdr:col>
      <xdr:colOff>567924</xdr:colOff>
      <xdr:row>36</xdr:row>
      <xdr:rowOff>270609</xdr:rowOff>
    </xdr:from>
    <xdr:to>
      <xdr:col>3</xdr:col>
      <xdr:colOff>567924</xdr:colOff>
      <xdr:row>37</xdr:row>
      <xdr:rowOff>108440</xdr:rowOff>
    </xdr:to>
    <xdr:cxnSp macro="">
      <xdr:nvCxnSpPr>
        <xdr:cNvPr id="134" name="Straight Arrow Connector 7"/>
        <xdr:cNvCxnSpPr>
          <a:stCxn id="128" idx="2"/>
          <a:endCxn id="133" idx="0"/>
        </xdr:cNvCxnSpPr>
      </xdr:nvCxnSpPr>
      <xdr:spPr>
        <a:xfrm>
          <a:off x="7826462" y="11827609"/>
          <a:ext cx="0" cy="160216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562382</xdr:colOff>
      <xdr:row>37</xdr:row>
      <xdr:rowOff>439616</xdr:rowOff>
    </xdr:from>
    <xdr:to>
      <xdr:col>3</xdr:col>
      <xdr:colOff>573467</xdr:colOff>
      <xdr:row>38</xdr:row>
      <xdr:rowOff>79131</xdr:rowOff>
    </xdr:to>
    <xdr:cxnSp macro="">
      <xdr:nvCxnSpPr>
        <xdr:cNvPr id="135" name="Straight Arrow Connector 7"/>
        <xdr:cNvCxnSpPr/>
      </xdr:nvCxnSpPr>
      <xdr:spPr>
        <a:xfrm flipH="1">
          <a:off x="7820920" y="12319001"/>
          <a:ext cx="11085" cy="176822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576384</xdr:colOff>
      <xdr:row>37</xdr:row>
      <xdr:rowOff>283306</xdr:rowOff>
    </xdr:from>
    <xdr:to>
      <xdr:col>3</xdr:col>
      <xdr:colOff>987623</xdr:colOff>
      <xdr:row>38</xdr:row>
      <xdr:rowOff>87776</xdr:rowOff>
    </xdr:to>
    <xdr:sp macro="" textlink="">
      <xdr:nvSpPr>
        <xdr:cNvPr id="136" name="TextBox 68"/>
        <xdr:cNvSpPr txBox="1"/>
      </xdr:nvSpPr>
      <xdr:spPr>
        <a:xfrm>
          <a:off x="7834922" y="12162691"/>
          <a:ext cx="411239" cy="34177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/>
            <a:t>No</a:t>
          </a:r>
        </a:p>
      </xdr:txBody>
    </xdr:sp>
    <xdr:clientData/>
  </xdr:twoCellAnchor>
  <xdr:twoCellAnchor>
    <xdr:from>
      <xdr:col>3</xdr:col>
      <xdr:colOff>273540</xdr:colOff>
      <xdr:row>38</xdr:row>
      <xdr:rowOff>78154</xdr:rowOff>
    </xdr:from>
    <xdr:to>
      <xdr:col>3</xdr:col>
      <xdr:colOff>864523</xdr:colOff>
      <xdr:row>38</xdr:row>
      <xdr:rowOff>255954</xdr:rowOff>
    </xdr:to>
    <xdr:sp macro="" textlink="">
      <xdr:nvSpPr>
        <xdr:cNvPr id="139" name="Rectangle 16"/>
        <xdr:cNvSpPr/>
      </xdr:nvSpPr>
      <xdr:spPr>
        <a:xfrm>
          <a:off x="7532078" y="12494846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2</a:t>
          </a:r>
        </a:p>
      </xdr:txBody>
    </xdr:sp>
    <xdr:clientData/>
  </xdr:twoCellAnchor>
  <xdr:twoCellAnchor>
    <xdr:from>
      <xdr:col>3</xdr:col>
      <xdr:colOff>273539</xdr:colOff>
      <xdr:row>39</xdr:row>
      <xdr:rowOff>65452</xdr:rowOff>
    </xdr:from>
    <xdr:to>
      <xdr:col>3</xdr:col>
      <xdr:colOff>864522</xdr:colOff>
      <xdr:row>39</xdr:row>
      <xdr:rowOff>243251</xdr:rowOff>
    </xdr:to>
    <xdr:sp macro="" textlink="">
      <xdr:nvSpPr>
        <xdr:cNvPr id="141" name="Rectangle 16"/>
        <xdr:cNvSpPr/>
      </xdr:nvSpPr>
      <xdr:spPr>
        <a:xfrm>
          <a:off x="7532077" y="12804529"/>
          <a:ext cx="590983" cy="17779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3</a:t>
          </a:r>
        </a:p>
      </xdr:txBody>
    </xdr:sp>
    <xdr:clientData/>
  </xdr:twoCellAnchor>
  <xdr:twoCellAnchor>
    <xdr:from>
      <xdr:col>3</xdr:col>
      <xdr:colOff>273539</xdr:colOff>
      <xdr:row>37</xdr:row>
      <xdr:rowOff>273032</xdr:rowOff>
    </xdr:from>
    <xdr:to>
      <xdr:col>3</xdr:col>
      <xdr:colOff>315785</xdr:colOff>
      <xdr:row>39</xdr:row>
      <xdr:rowOff>154352</xdr:rowOff>
    </xdr:to>
    <xdr:cxnSp macro="">
      <xdr:nvCxnSpPr>
        <xdr:cNvPr id="147" name="Elbow Connector 76"/>
        <xdr:cNvCxnSpPr>
          <a:stCxn id="133" idx="1"/>
          <a:endCxn id="141" idx="1"/>
        </xdr:cNvCxnSpPr>
      </xdr:nvCxnSpPr>
      <xdr:spPr>
        <a:xfrm rot="10800000" flipV="1">
          <a:off x="7532077" y="12152417"/>
          <a:ext cx="42246" cy="741012"/>
        </a:xfrm>
        <a:prstGeom prst="bentConnector3">
          <a:avLst>
            <a:gd name="adj1" fmla="val 432995"/>
          </a:avLst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293078</xdr:colOff>
      <xdr:row>40</xdr:row>
      <xdr:rowOff>87923</xdr:rowOff>
    </xdr:from>
    <xdr:to>
      <xdr:col>4</xdr:col>
      <xdr:colOff>884061</xdr:colOff>
      <xdr:row>40</xdr:row>
      <xdr:rowOff>265723</xdr:rowOff>
    </xdr:to>
    <xdr:sp macro="" textlink="">
      <xdr:nvSpPr>
        <xdr:cNvPr id="151" name="Rectangle 16"/>
        <xdr:cNvSpPr/>
      </xdr:nvSpPr>
      <xdr:spPr>
        <a:xfrm>
          <a:off x="8694616" y="13149385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4</a:t>
          </a:r>
        </a:p>
      </xdr:txBody>
    </xdr:sp>
    <xdr:clientData/>
  </xdr:twoCellAnchor>
  <xdr:twoCellAnchor>
    <xdr:from>
      <xdr:col>4</xdr:col>
      <xdr:colOff>587256</xdr:colOff>
      <xdr:row>40</xdr:row>
      <xdr:rowOff>253023</xdr:rowOff>
    </xdr:from>
    <xdr:to>
      <xdr:col>4</xdr:col>
      <xdr:colOff>589880</xdr:colOff>
      <xdr:row>41</xdr:row>
      <xdr:rowOff>67097</xdr:rowOff>
    </xdr:to>
    <xdr:cxnSp macro="">
      <xdr:nvCxnSpPr>
        <xdr:cNvPr id="152" name="Straight Arrow Connector 7"/>
        <xdr:cNvCxnSpPr/>
      </xdr:nvCxnSpPr>
      <xdr:spPr>
        <a:xfrm flipH="1">
          <a:off x="8988794" y="13314485"/>
          <a:ext cx="2624" cy="136458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293077</xdr:colOff>
      <xdr:row>41</xdr:row>
      <xdr:rowOff>75222</xdr:rowOff>
    </xdr:from>
    <xdr:to>
      <xdr:col>4</xdr:col>
      <xdr:colOff>884060</xdr:colOff>
      <xdr:row>41</xdr:row>
      <xdr:rowOff>253021</xdr:rowOff>
    </xdr:to>
    <xdr:sp macro="" textlink="">
      <xdr:nvSpPr>
        <xdr:cNvPr id="153" name="Rectangle 16"/>
        <xdr:cNvSpPr/>
      </xdr:nvSpPr>
      <xdr:spPr>
        <a:xfrm>
          <a:off x="8694615" y="13459068"/>
          <a:ext cx="590983" cy="17779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5</a:t>
          </a:r>
        </a:p>
      </xdr:txBody>
    </xdr:sp>
    <xdr:clientData/>
  </xdr:twoCellAnchor>
  <xdr:twoCellAnchor>
    <xdr:from>
      <xdr:col>3</xdr:col>
      <xdr:colOff>864523</xdr:colOff>
      <xdr:row>38</xdr:row>
      <xdr:rowOff>167054</xdr:rowOff>
    </xdr:from>
    <xdr:to>
      <xdr:col>4</xdr:col>
      <xdr:colOff>588570</xdr:colOff>
      <xdr:row>40</xdr:row>
      <xdr:rowOff>87923</xdr:rowOff>
    </xdr:to>
    <xdr:cxnSp macro="">
      <xdr:nvCxnSpPr>
        <xdr:cNvPr id="154" name="Elbow Connector 76"/>
        <xdr:cNvCxnSpPr>
          <a:stCxn id="139" idx="3"/>
          <a:endCxn id="151" idx="0"/>
        </xdr:cNvCxnSpPr>
      </xdr:nvCxnSpPr>
      <xdr:spPr>
        <a:xfrm>
          <a:off x="8123061" y="12583746"/>
          <a:ext cx="867047" cy="565639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293078</xdr:colOff>
      <xdr:row>42</xdr:row>
      <xdr:rowOff>87923</xdr:rowOff>
    </xdr:from>
    <xdr:to>
      <xdr:col>4</xdr:col>
      <xdr:colOff>884061</xdr:colOff>
      <xdr:row>42</xdr:row>
      <xdr:rowOff>265723</xdr:rowOff>
    </xdr:to>
    <xdr:sp macro="" textlink="">
      <xdr:nvSpPr>
        <xdr:cNvPr id="157" name="Rectangle 16"/>
        <xdr:cNvSpPr/>
      </xdr:nvSpPr>
      <xdr:spPr>
        <a:xfrm>
          <a:off x="8694616" y="13794154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6</a:t>
          </a:r>
        </a:p>
      </xdr:txBody>
    </xdr:sp>
    <xdr:clientData/>
  </xdr:twoCellAnchor>
  <xdr:twoCellAnchor>
    <xdr:from>
      <xdr:col>4</xdr:col>
      <xdr:colOff>587256</xdr:colOff>
      <xdr:row>42</xdr:row>
      <xdr:rowOff>253023</xdr:rowOff>
    </xdr:from>
    <xdr:to>
      <xdr:col>4</xdr:col>
      <xdr:colOff>589880</xdr:colOff>
      <xdr:row>43</xdr:row>
      <xdr:rowOff>67097</xdr:rowOff>
    </xdr:to>
    <xdr:cxnSp macro="">
      <xdr:nvCxnSpPr>
        <xdr:cNvPr id="158" name="Straight Arrow Connector 7"/>
        <xdr:cNvCxnSpPr/>
      </xdr:nvCxnSpPr>
      <xdr:spPr>
        <a:xfrm flipH="1">
          <a:off x="8988794" y="13959254"/>
          <a:ext cx="2624" cy="136458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293077</xdr:colOff>
      <xdr:row>43</xdr:row>
      <xdr:rowOff>75222</xdr:rowOff>
    </xdr:from>
    <xdr:to>
      <xdr:col>4</xdr:col>
      <xdr:colOff>884060</xdr:colOff>
      <xdr:row>43</xdr:row>
      <xdr:rowOff>253021</xdr:rowOff>
    </xdr:to>
    <xdr:sp macro="" textlink="">
      <xdr:nvSpPr>
        <xdr:cNvPr id="159" name="Rectangle 16"/>
        <xdr:cNvSpPr/>
      </xdr:nvSpPr>
      <xdr:spPr>
        <a:xfrm>
          <a:off x="8694615" y="14103837"/>
          <a:ext cx="590983" cy="17779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7</a:t>
          </a:r>
        </a:p>
      </xdr:txBody>
    </xdr:sp>
    <xdr:clientData/>
  </xdr:twoCellAnchor>
  <xdr:twoCellAnchor>
    <xdr:from>
      <xdr:col>3</xdr:col>
      <xdr:colOff>569030</xdr:colOff>
      <xdr:row>39</xdr:row>
      <xdr:rowOff>243251</xdr:rowOff>
    </xdr:from>
    <xdr:to>
      <xdr:col>4</xdr:col>
      <xdr:colOff>293077</xdr:colOff>
      <xdr:row>42</xdr:row>
      <xdr:rowOff>176823</xdr:rowOff>
    </xdr:to>
    <xdr:cxnSp macro="">
      <xdr:nvCxnSpPr>
        <xdr:cNvPr id="160" name="Elbow Connector 76"/>
        <xdr:cNvCxnSpPr>
          <a:stCxn id="141" idx="2"/>
          <a:endCxn id="157" idx="1"/>
        </xdr:cNvCxnSpPr>
      </xdr:nvCxnSpPr>
      <xdr:spPr>
        <a:xfrm rot="16200000" flipH="1">
          <a:off x="7810729" y="12999167"/>
          <a:ext cx="900726" cy="867047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317823</xdr:colOff>
      <xdr:row>44</xdr:row>
      <xdr:rowOff>107461</xdr:rowOff>
    </xdr:from>
    <xdr:to>
      <xdr:col>5</xdr:col>
      <xdr:colOff>822101</xdr:colOff>
      <xdr:row>44</xdr:row>
      <xdr:rowOff>436645</xdr:rowOff>
    </xdr:to>
    <xdr:sp macro="" textlink="">
      <xdr:nvSpPr>
        <xdr:cNvPr id="167" name="Flowchart: Decision 8"/>
        <xdr:cNvSpPr/>
      </xdr:nvSpPr>
      <xdr:spPr>
        <a:xfrm>
          <a:off x="9862361" y="14458461"/>
          <a:ext cx="504278" cy="329184"/>
        </a:xfrm>
        <a:prstGeom prst="flowChartDecision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ot="0" spcFirstLastPara="0" vertOverflow="overflow" horzOverflow="overflow" vert="horz" wrap="non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indent="0" algn="ctr"/>
          <a:r>
            <a:rPr lang="es-PE" sz="1400" b="1">
              <a:solidFill>
                <a:schemeClr val="dk1"/>
              </a:solidFill>
              <a:latin typeface="+mn-lt"/>
              <a:ea typeface="+mn-ea"/>
              <a:cs typeface="+mn-cs"/>
            </a:rPr>
            <a:t>8</a:t>
          </a:r>
        </a:p>
      </xdr:txBody>
    </xdr:sp>
    <xdr:clientData/>
  </xdr:twoCellAnchor>
  <xdr:twoCellAnchor>
    <xdr:from>
      <xdr:col>5</xdr:col>
      <xdr:colOff>264702</xdr:colOff>
      <xdr:row>45</xdr:row>
      <xdr:rowOff>78153</xdr:rowOff>
    </xdr:from>
    <xdr:to>
      <xdr:col>5</xdr:col>
      <xdr:colOff>855685</xdr:colOff>
      <xdr:row>45</xdr:row>
      <xdr:rowOff>255953</xdr:rowOff>
    </xdr:to>
    <xdr:sp macro="" textlink="">
      <xdr:nvSpPr>
        <xdr:cNvPr id="168" name="Rectangle 16"/>
        <xdr:cNvSpPr/>
      </xdr:nvSpPr>
      <xdr:spPr>
        <a:xfrm>
          <a:off x="9809240" y="14966461"/>
          <a:ext cx="590983" cy="17780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9</a:t>
          </a:r>
        </a:p>
      </xdr:txBody>
    </xdr:sp>
    <xdr:clientData/>
  </xdr:twoCellAnchor>
  <xdr:twoCellAnchor>
    <xdr:from>
      <xdr:col>5</xdr:col>
      <xdr:colOff>558880</xdr:colOff>
      <xdr:row>45</xdr:row>
      <xdr:rowOff>243253</xdr:rowOff>
    </xdr:from>
    <xdr:to>
      <xdr:col>5</xdr:col>
      <xdr:colOff>561504</xdr:colOff>
      <xdr:row>46</xdr:row>
      <xdr:rowOff>57327</xdr:rowOff>
    </xdr:to>
    <xdr:cxnSp macro="">
      <xdr:nvCxnSpPr>
        <xdr:cNvPr id="169" name="Straight Arrow Connector 7"/>
        <xdr:cNvCxnSpPr/>
      </xdr:nvCxnSpPr>
      <xdr:spPr>
        <a:xfrm flipH="1">
          <a:off x="10103418" y="15131561"/>
          <a:ext cx="2624" cy="136458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264701</xdr:colOff>
      <xdr:row>46</xdr:row>
      <xdr:rowOff>65452</xdr:rowOff>
    </xdr:from>
    <xdr:to>
      <xdr:col>5</xdr:col>
      <xdr:colOff>855684</xdr:colOff>
      <xdr:row>46</xdr:row>
      <xdr:rowOff>243251</xdr:rowOff>
    </xdr:to>
    <xdr:sp macro="" textlink="">
      <xdr:nvSpPr>
        <xdr:cNvPr id="170" name="Rectangle 16"/>
        <xdr:cNvSpPr/>
      </xdr:nvSpPr>
      <xdr:spPr>
        <a:xfrm>
          <a:off x="9809239" y="15276144"/>
          <a:ext cx="590983" cy="177799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10</a:t>
          </a:r>
        </a:p>
      </xdr:txBody>
    </xdr:sp>
    <xdr:clientData/>
  </xdr:twoCellAnchor>
  <xdr:twoCellAnchor>
    <xdr:from>
      <xdr:col>5</xdr:col>
      <xdr:colOff>264701</xdr:colOff>
      <xdr:row>47</xdr:row>
      <xdr:rowOff>65452</xdr:rowOff>
    </xdr:from>
    <xdr:to>
      <xdr:col>5</xdr:col>
      <xdr:colOff>855684</xdr:colOff>
      <xdr:row>47</xdr:row>
      <xdr:rowOff>243253</xdr:rowOff>
    </xdr:to>
    <xdr:sp macro="" textlink="">
      <xdr:nvSpPr>
        <xdr:cNvPr id="171" name="Rectangle 16"/>
        <xdr:cNvSpPr/>
      </xdr:nvSpPr>
      <xdr:spPr>
        <a:xfrm>
          <a:off x="9809239" y="15598529"/>
          <a:ext cx="590983" cy="17780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11</a:t>
          </a:r>
        </a:p>
      </xdr:txBody>
    </xdr:sp>
    <xdr:clientData/>
  </xdr:twoCellAnchor>
  <xdr:twoCellAnchor>
    <xdr:from>
      <xdr:col>5</xdr:col>
      <xdr:colOff>558880</xdr:colOff>
      <xdr:row>46</xdr:row>
      <xdr:rowOff>255951</xdr:rowOff>
    </xdr:from>
    <xdr:to>
      <xdr:col>5</xdr:col>
      <xdr:colOff>561504</xdr:colOff>
      <xdr:row>47</xdr:row>
      <xdr:rowOff>70027</xdr:rowOff>
    </xdr:to>
    <xdr:cxnSp macro="">
      <xdr:nvCxnSpPr>
        <xdr:cNvPr id="172" name="Straight Arrow Connector 7"/>
        <xdr:cNvCxnSpPr/>
      </xdr:nvCxnSpPr>
      <xdr:spPr>
        <a:xfrm flipH="1">
          <a:off x="10103418" y="15466643"/>
          <a:ext cx="2624" cy="136461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554650</xdr:colOff>
      <xdr:row>44</xdr:row>
      <xdr:rowOff>419099</xdr:rowOff>
    </xdr:from>
    <xdr:to>
      <xdr:col>5</xdr:col>
      <xdr:colOff>565735</xdr:colOff>
      <xdr:row>45</xdr:row>
      <xdr:rowOff>78153</xdr:rowOff>
    </xdr:to>
    <xdr:cxnSp macro="">
      <xdr:nvCxnSpPr>
        <xdr:cNvPr id="173" name="Straight Arrow Connector 7"/>
        <xdr:cNvCxnSpPr/>
      </xdr:nvCxnSpPr>
      <xdr:spPr>
        <a:xfrm flipH="1">
          <a:off x="10099188" y="14770099"/>
          <a:ext cx="11085" cy="196362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264701</xdr:colOff>
      <xdr:row>44</xdr:row>
      <xdr:rowOff>272052</xdr:rowOff>
    </xdr:from>
    <xdr:to>
      <xdr:col>5</xdr:col>
      <xdr:colOff>317823</xdr:colOff>
      <xdr:row>46</xdr:row>
      <xdr:rowOff>154351</xdr:rowOff>
    </xdr:to>
    <xdr:cxnSp macro="">
      <xdr:nvCxnSpPr>
        <xdr:cNvPr id="174" name="Elbow Connector 76"/>
        <xdr:cNvCxnSpPr>
          <a:stCxn id="167" idx="1"/>
          <a:endCxn id="170" idx="1"/>
        </xdr:cNvCxnSpPr>
      </xdr:nvCxnSpPr>
      <xdr:spPr>
        <a:xfrm rot="10800000" flipV="1">
          <a:off x="9809239" y="14623052"/>
          <a:ext cx="53122" cy="741991"/>
        </a:xfrm>
        <a:prstGeom prst="bentConnector3">
          <a:avLst>
            <a:gd name="adj1" fmla="val 1652131"/>
          </a:avLst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166077</xdr:colOff>
      <xdr:row>44</xdr:row>
      <xdr:rowOff>507082</xdr:rowOff>
    </xdr:from>
    <xdr:to>
      <xdr:col>4</xdr:col>
      <xdr:colOff>542312</xdr:colOff>
      <xdr:row>45</xdr:row>
      <xdr:rowOff>314567</xdr:rowOff>
    </xdr:to>
    <xdr:sp macro="" textlink="">
      <xdr:nvSpPr>
        <xdr:cNvPr id="175" name="TextBox 45"/>
        <xdr:cNvSpPr txBox="1"/>
      </xdr:nvSpPr>
      <xdr:spPr>
        <a:xfrm>
          <a:off x="8567615" y="14858082"/>
          <a:ext cx="376235" cy="3447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/>
            <a:t>Sí</a:t>
          </a:r>
        </a:p>
      </xdr:txBody>
    </xdr:sp>
    <xdr:clientData/>
  </xdr:twoCellAnchor>
  <xdr:twoCellAnchor>
    <xdr:from>
      <xdr:col>5</xdr:col>
      <xdr:colOff>605692</xdr:colOff>
      <xdr:row>44</xdr:row>
      <xdr:rowOff>275489</xdr:rowOff>
    </xdr:from>
    <xdr:to>
      <xdr:col>5</xdr:col>
      <xdr:colOff>1016931</xdr:colOff>
      <xdr:row>45</xdr:row>
      <xdr:rowOff>79960</xdr:rowOff>
    </xdr:to>
    <xdr:sp macro="" textlink="">
      <xdr:nvSpPr>
        <xdr:cNvPr id="176" name="TextBox 68"/>
        <xdr:cNvSpPr txBox="1"/>
      </xdr:nvSpPr>
      <xdr:spPr>
        <a:xfrm>
          <a:off x="10150230" y="14626489"/>
          <a:ext cx="411239" cy="341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E" sz="1400" b="1"/>
            <a:t>No</a:t>
          </a:r>
        </a:p>
      </xdr:txBody>
    </xdr:sp>
    <xdr:clientData/>
  </xdr:twoCellAnchor>
  <xdr:twoCellAnchor>
    <xdr:from>
      <xdr:col>4</xdr:col>
      <xdr:colOff>884060</xdr:colOff>
      <xdr:row>43</xdr:row>
      <xdr:rowOff>164122</xdr:rowOff>
    </xdr:from>
    <xdr:to>
      <xdr:col>5</xdr:col>
      <xdr:colOff>569962</xdr:colOff>
      <xdr:row>44</xdr:row>
      <xdr:rowOff>107461</xdr:rowOff>
    </xdr:to>
    <xdr:cxnSp macro="">
      <xdr:nvCxnSpPr>
        <xdr:cNvPr id="177" name="Elbow Connector 76"/>
        <xdr:cNvCxnSpPr>
          <a:stCxn id="159" idx="3"/>
          <a:endCxn id="167" idx="0"/>
        </xdr:cNvCxnSpPr>
      </xdr:nvCxnSpPr>
      <xdr:spPr>
        <a:xfrm>
          <a:off x="9285598" y="14192737"/>
          <a:ext cx="828902" cy="265724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6033477</xdr:colOff>
      <xdr:row>36</xdr:row>
      <xdr:rowOff>288251</xdr:rowOff>
    </xdr:from>
    <xdr:to>
      <xdr:col>3</xdr:col>
      <xdr:colOff>352789</xdr:colOff>
      <xdr:row>37</xdr:row>
      <xdr:rowOff>310659</xdr:rowOff>
    </xdr:to>
    <xdr:sp macro="" textlink="">
      <xdr:nvSpPr>
        <xdr:cNvPr id="182" name="TextBox 45"/>
        <xdr:cNvSpPr txBox="1"/>
      </xdr:nvSpPr>
      <xdr:spPr>
        <a:xfrm>
          <a:off x="7235092" y="11845251"/>
          <a:ext cx="376235" cy="3447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E" sz="1400" b="1"/>
            <a:t>Sí</a:t>
          </a:r>
        </a:p>
      </xdr:txBody>
    </xdr:sp>
    <xdr:clientData/>
  </xdr:twoCellAnchor>
  <xdr:twoCellAnchor>
    <xdr:from>
      <xdr:col>5</xdr:col>
      <xdr:colOff>263770</xdr:colOff>
      <xdr:row>48</xdr:row>
      <xdr:rowOff>63501</xdr:rowOff>
    </xdr:from>
    <xdr:to>
      <xdr:col>5</xdr:col>
      <xdr:colOff>854753</xdr:colOff>
      <xdr:row>48</xdr:row>
      <xdr:rowOff>241302</xdr:rowOff>
    </xdr:to>
    <xdr:sp macro="" textlink="">
      <xdr:nvSpPr>
        <xdr:cNvPr id="185" name="Rectangle 16"/>
        <xdr:cNvSpPr/>
      </xdr:nvSpPr>
      <xdr:spPr>
        <a:xfrm>
          <a:off x="9808308" y="15918963"/>
          <a:ext cx="590983" cy="17780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12</a:t>
          </a:r>
        </a:p>
      </xdr:txBody>
    </xdr:sp>
    <xdr:clientData/>
  </xdr:twoCellAnchor>
  <xdr:twoCellAnchor>
    <xdr:from>
      <xdr:col>5</xdr:col>
      <xdr:colOff>557949</xdr:colOff>
      <xdr:row>47</xdr:row>
      <xdr:rowOff>254000</xdr:rowOff>
    </xdr:from>
    <xdr:to>
      <xdr:col>5</xdr:col>
      <xdr:colOff>560573</xdr:colOff>
      <xdr:row>48</xdr:row>
      <xdr:rowOff>68076</xdr:rowOff>
    </xdr:to>
    <xdr:cxnSp macro="">
      <xdr:nvCxnSpPr>
        <xdr:cNvPr id="186" name="Straight Arrow Connector 7"/>
        <xdr:cNvCxnSpPr/>
      </xdr:nvCxnSpPr>
      <xdr:spPr>
        <a:xfrm flipH="1">
          <a:off x="10102487" y="15787077"/>
          <a:ext cx="2624" cy="136461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283308</xdr:colOff>
      <xdr:row>49</xdr:row>
      <xdr:rowOff>68385</xdr:rowOff>
    </xdr:from>
    <xdr:to>
      <xdr:col>3</xdr:col>
      <xdr:colOff>874291</xdr:colOff>
      <xdr:row>49</xdr:row>
      <xdr:rowOff>246186</xdr:rowOff>
    </xdr:to>
    <xdr:sp macro="" textlink="">
      <xdr:nvSpPr>
        <xdr:cNvPr id="187" name="Rectangle 16"/>
        <xdr:cNvSpPr/>
      </xdr:nvSpPr>
      <xdr:spPr>
        <a:xfrm>
          <a:off x="7541846" y="16246231"/>
          <a:ext cx="590983" cy="17780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13</a:t>
          </a:r>
        </a:p>
      </xdr:txBody>
    </xdr:sp>
    <xdr:clientData/>
  </xdr:twoCellAnchor>
  <xdr:twoCellAnchor>
    <xdr:from>
      <xdr:col>3</xdr:col>
      <xdr:colOff>874291</xdr:colOff>
      <xdr:row>48</xdr:row>
      <xdr:rowOff>241303</xdr:rowOff>
    </xdr:from>
    <xdr:to>
      <xdr:col>5</xdr:col>
      <xdr:colOff>559262</xdr:colOff>
      <xdr:row>49</xdr:row>
      <xdr:rowOff>157287</xdr:rowOff>
    </xdr:to>
    <xdr:cxnSp macro="">
      <xdr:nvCxnSpPr>
        <xdr:cNvPr id="188" name="Elbow Connector 76"/>
        <xdr:cNvCxnSpPr>
          <a:stCxn id="185" idx="2"/>
          <a:endCxn id="187" idx="3"/>
        </xdr:cNvCxnSpPr>
      </xdr:nvCxnSpPr>
      <xdr:spPr>
        <a:xfrm rot="5400000">
          <a:off x="8999131" y="15230463"/>
          <a:ext cx="238368" cy="1970971"/>
        </a:xfrm>
        <a:prstGeom prst="bentConnector2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429847</xdr:colOff>
      <xdr:row>41</xdr:row>
      <xdr:rowOff>29308</xdr:rowOff>
    </xdr:from>
    <xdr:to>
      <xdr:col>5</xdr:col>
      <xdr:colOff>703385</xdr:colOff>
      <xdr:row>41</xdr:row>
      <xdr:rowOff>302382</xdr:rowOff>
    </xdr:to>
    <xdr:sp macro="" textlink="">
      <xdr:nvSpPr>
        <xdr:cNvPr id="191" name="89 Conector"/>
        <xdr:cNvSpPr/>
      </xdr:nvSpPr>
      <xdr:spPr>
        <a:xfrm>
          <a:off x="9974385" y="13413154"/>
          <a:ext cx="273538" cy="273074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es-PE" sz="1400" b="1">
              <a:solidFill>
                <a:sysClr val="windowText" lastClr="000000"/>
              </a:solidFill>
            </a:rPr>
            <a:t>A</a:t>
          </a:r>
        </a:p>
      </xdr:txBody>
    </xdr:sp>
    <xdr:clientData/>
  </xdr:twoCellAnchor>
  <xdr:twoCellAnchor>
    <xdr:from>
      <xdr:col>4</xdr:col>
      <xdr:colOff>884060</xdr:colOff>
      <xdr:row>41</xdr:row>
      <xdr:rowOff>164122</xdr:rowOff>
    </xdr:from>
    <xdr:to>
      <xdr:col>5</xdr:col>
      <xdr:colOff>429847</xdr:colOff>
      <xdr:row>41</xdr:row>
      <xdr:rowOff>165845</xdr:rowOff>
    </xdr:to>
    <xdr:cxnSp macro="">
      <xdr:nvCxnSpPr>
        <xdr:cNvPr id="193" name="Straight Arrow Connector 7"/>
        <xdr:cNvCxnSpPr>
          <a:stCxn id="153" idx="3"/>
          <a:endCxn id="191" idx="2"/>
        </xdr:cNvCxnSpPr>
      </xdr:nvCxnSpPr>
      <xdr:spPr>
        <a:xfrm>
          <a:off x="9285598" y="13547968"/>
          <a:ext cx="688787" cy="1723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439616</xdr:colOff>
      <xdr:row>47</xdr:row>
      <xdr:rowOff>19540</xdr:rowOff>
    </xdr:from>
    <xdr:to>
      <xdr:col>3</xdr:col>
      <xdr:colOff>713154</xdr:colOff>
      <xdr:row>47</xdr:row>
      <xdr:rowOff>292614</xdr:rowOff>
    </xdr:to>
    <xdr:sp macro="" textlink="">
      <xdr:nvSpPr>
        <xdr:cNvPr id="197" name="89 Conector"/>
        <xdr:cNvSpPr/>
      </xdr:nvSpPr>
      <xdr:spPr>
        <a:xfrm>
          <a:off x="7698154" y="15552617"/>
          <a:ext cx="273538" cy="273074"/>
        </a:xfrm>
        <a:prstGeom prst="flowChartConnector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es-PE" sz="1400" b="1">
              <a:solidFill>
                <a:sysClr val="windowText" lastClr="000000"/>
              </a:solidFill>
            </a:rPr>
            <a:t>A</a:t>
          </a:r>
        </a:p>
      </xdr:txBody>
    </xdr:sp>
    <xdr:clientData/>
  </xdr:twoCellAnchor>
  <xdr:twoCellAnchor>
    <xdr:from>
      <xdr:col>3</xdr:col>
      <xdr:colOff>576385</xdr:colOff>
      <xdr:row>47</xdr:row>
      <xdr:rowOff>292614</xdr:rowOff>
    </xdr:from>
    <xdr:to>
      <xdr:col>3</xdr:col>
      <xdr:colOff>578800</xdr:colOff>
      <xdr:row>49</xdr:row>
      <xdr:rowOff>68385</xdr:rowOff>
    </xdr:to>
    <xdr:cxnSp macro="">
      <xdr:nvCxnSpPr>
        <xdr:cNvPr id="198" name="Straight Arrow Connector 7"/>
        <xdr:cNvCxnSpPr>
          <a:stCxn id="197" idx="4"/>
          <a:endCxn id="187" idx="0"/>
        </xdr:cNvCxnSpPr>
      </xdr:nvCxnSpPr>
      <xdr:spPr>
        <a:xfrm>
          <a:off x="7834923" y="15825691"/>
          <a:ext cx="2415" cy="420540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400539</xdr:colOff>
      <xdr:row>50</xdr:row>
      <xdr:rowOff>68040</xdr:rowOff>
    </xdr:from>
    <xdr:to>
      <xdr:col>3</xdr:col>
      <xdr:colOff>766299</xdr:colOff>
      <xdr:row>50</xdr:row>
      <xdr:rowOff>278352</xdr:rowOff>
    </xdr:to>
    <xdr:sp macro="" textlink="">
      <xdr:nvSpPr>
        <xdr:cNvPr id="201" name="Rectangle 20"/>
        <xdr:cNvSpPr/>
      </xdr:nvSpPr>
      <xdr:spPr>
        <a:xfrm>
          <a:off x="7659077" y="16568271"/>
          <a:ext cx="365760" cy="210312"/>
        </a:xfrm>
        <a:prstGeom prst="rect">
          <a:avLst/>
        </a:prstGeom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PE" sz="1400" b="1"/>
            <a:t>F</a:t>
          </a:r>
        </a:p>
      </xdr:txBody>
    </xdr:sp>
    <xdr:clientData/>
  </xdr:twoCellAnchor>
  <xdr:twoCellAnchor>
    <xdr:from>
      <xdr:col>3</xdr:col>
      <xdr:colOff>571583</xdr:colOff>
      <xdr:row>49</xdr:row>
      <xdr:rowOff>263770</xdr:rowOff>
    </xdr:from>
    <xdr:to>
      <xdr:col>3</xdr:col>
      <xdr:colOff>583419</xdr:colOff>
      <xdr:row>50</xdr:row>
      <xdr:rowOff>68040</xdr:rowOff>
    </xdr:to>
    <xdr:cxnSp macro="">
      <xdr:nvCxnSpPr>
        <xdr:cNvPr id="202" name="Straight Arrow Connector 7"/>
        <xdr:cNvCxnSpPr>
          <a:endCxn id="201" idx="0"/>
        </xdr:cNvCxnSpPr>
      </xdr:nvCxnSpPr>
      <xdr:spPr>
        <a:xfrm>
          <a:off x="7830121" y="16441616"/>
          <a:ext cx="11836" cy="126655"/>
        </a:xfrm>
        <a:prstGeom prst="straightConnector1">
          <a:avLst/>
        </a:prstGeom>
        <a:ln>
          <a:headEnd w="sm" len="sm"/>
          <a:tailEnd type="triangle" w="lg" len="med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6349</xdr:colOff>
      <xdr:row>29</xdr:row>
      <xdr:rowOff>0</xdr:rowOff>
    </xdr:from>
    <xdr:to>
      <xdr:col>14</xdr:col>
      <xdr:colOff>74082</xdr:colOff>
      <xdr:row>58</xdr:row>
      <xdr:rowOff>190500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285749</xdr:colOff>
      <xdr:row>5</xdr:row>
      <xdr:rowOff>142874</xdr:rowOff>
    </xdr:from>
    <xdr:to>
      <xdr:col>14</xdr:col>
      <xdr:colOff>419100</xdr:colOff>
      <xdr:row>25</xdr:row>
      <xdr:rowOff>177799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32</xdr:row>
      <xdr:rowOff>0</xdr:rowOff>
    </xdr:from>
    <xdr:to>
      <xdr:col>14</xdr:col>
      <xdr:colOff>133351</xdr:colOff>
      <xdr:row>49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406400</xdr:colOff>
      <xdr:row>8</xdr:row>
      <xdr:rowOff>127000</xdr:rowOff>
    </xdr:from>
    <xdr:to>
      <xdr:col>21</xdr:col>
      <xdr:colOff>762000</xdr:colOff>
      <xdr:row>35</xdr:row>
      <xdr:rowOff>152400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2</xdr:row>
      <xdr:rowOff>0</xdr:rowOff>
    </xdr:from>
    <xdr:to>
      <xdr:col>25</xdr:col>
      <xdr:colOff>355600</xdr:colOff>
      <xdr:row>29</xdr:row>
      <xdr:rowOff>25400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6</xdr:col>
      <xdr:colOff>0</xdr:colOff>
      <xdr:row>20</xdr:row>
      <xdr:rowOff>182880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647700</xdr:colOff>
      <xdr:row>14</xdr:row>
      <xdr:rowOff>152400</xdr:rowOff>
    </xdr:from>
    <xdr:to>
      <xdr:col>12</xdr:col>
      <xdr:colOff>266700</xdr:colOff>
      <xdr:row>28</xdr:row>
      <xdr:rowOff>50800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</xdr:row>
      <xdr:rowOff>190500</xdr:rowOff>
    </xdr:from>
    <xdr:to>
      <xdr:col>18</xdr:col>
      <xdr:colOff>0</xdr:colOff>
      <xdr:row>26</xdr:row>
      <xdr:rowOff>10160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546100</xdr:colOff>
      <xdr:row>32</xdr:row>
      <xdr:rowOff>152400</xdr:rowOff>
    </xdr:from>
    <xdr:to>
      <xdr:col>7</xdr:col>
      <xdr:colOff>165100</xdr:colOff>
      <xdr:row>46</xdr:row>
      <xdr:rowOff>50800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33</xdr:row>
      <xdr:rowOff>0</xdr:rowOff>
    </xdr:from>
    <xdr:to>
      <xdr:col>18</xdr:col>
      <xdr:colOff>812800</xdr:colOff>
      <xdr:row>53</xdr:row>
      <xdr:rowOff>104140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774700</xdr:colOff>
      <xdr:row>21</xdr:row>
      <xdr:rowOff>190500</xdr:rowOff>
    </xdr:from>
    <xdr:to>
      <xdr:col>14</xdr:col>
      <xdr:colOff>393700</xdr:colOff>
      <xdr:row>35</xdr:row>
      <xdr:rowOff>88900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8775</xdr:colOff>
      <xdr:row>4</xdr:row>
      <xdr:rowOff>23310</xdr:rowOff>
    </xdr:from>
    <xdr:ext cx="2531225" cy="2516690"/>
    <xdr:sp macro="" textlink="">
      <xdr:nvSpPr>
        <xdr:cNvPr id="2" name="Rectángulo 1"/>
        <xdr:cNvSpPr/>
      </xdr:nvSpPr>
      <xdr:spPr>
        <a:xfrm>
          <a:off x="1095331" y="601866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I</a:t>
          </a:r>
        </a:p>
      </xdr:txBody>
    </xdr:sp>
    <xdr:clientData/>
  </xdr:oneCellAnchor>
  <xdr:oneCellAnchor>
    <xdr:from>
      <xdr:col>23</xdr:col>
      <xdr:colOff>2425</xdr:colOff>
      <xdr:row>4</xdr:row>
      <xdr:rowOff>1085</xdr:rowOff>
    </xdr:from>
    <xdr:ext cx="2531225" cy="2516690"/>
    <xdr:sp macro="" textlink="">
      <xdr:nvSpPr>
        <xdr:cNvPr id="3" name="Rectángulo 2"/>
        <xdr:cNvSpPr/>
      </xdr:nvSpPr>
      <xdr:spPr>
        <a:xfrm>
          <a:off x="3621925" y="588460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II</a:t>
          </a:r>
        </a:p>
      </xdr:txBody>
    </xdr:sp>
    <xdr:clientData/>
  </xdr:oneCellAnchor>
  <xdr:oneCellAnchor>
    <xdr:from>
      <xdr:col>43</xdr:col>
      <xdr:colOff>11950</xdr:colOff>
      <xdr:row>4</xdr:row>
      <xdr:rowOff>10610</xdr:rowOff>
    </xdr:from>
    <xdr:ext cx="2531225" cy="2516690"/>
    <xdr:sp macro="" textlink="">
      <xdr:nvSpPr>
        <xdr:cNvPr id="4" name="Rectángulo 3"/>
        <xdr:cNvSpPr/>
      </xdr:nvSpPr>
      <xdr:spPr>
        <a:xfrm>
          <a:off x="6171450" y="59798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III</a:t>
          </a:r>
        </a:p>
      </xdr:txBody>
    </xdr:sp>
    <xdr:clientData/>
  </xdr:oneCellAnchor>
  <xdr:oneCellAnchor>
    <xdr:from>
      <xdr:col>3</xdr:col>
      <xdr:colOff>0</xdr:colOff>
      <xdr:row>24</xdr:row>
      <xdr:rowOff>0</xdr:rowOff>
    </xdr:from>
    <xdr:ext cx="2531225" cy="2516690"/>
    <xdr:sp macro="" textlink="">
      <xdr:nvSpPr>
        <xdr:cNvPr id="5" name="Rectángulo 4"/>
        <xdr:cNvSpPr/>
      </xdr:nvSpPr>
      <xdr:spPr>
        <a:xfrm>
          <a:off x="1079500" y="312737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IV</a:t>
          </a:r>
        </a:p>
      </xdr:txBody>
    </xdr:sp>
    <xdr:clientData/>
  </xdr:oneCellAnchor>
  <xdr:oneCellAnchor>
    <xdr:from>
      <xdr:col>23</xdr:col>
      <xdr:colOff>0</xdr:colOff>
      <xdr:row>24</xdr:row>
      <xdr:rowOff>0</xdr:rowOff>
    </xdr:from>
    <xdr:ext cx="2531225" cy="2516690"/>
    <xdr:sp macro="" textlink="">
      <xdr:nvSpPr>
        <xdr:cNvPr id="6" name="Rectángulo 5"/>
        <xdr:cNvSpPr/>
      </xdr:nvSpPr>
      <xdr:spPr>
        <a:xfrm>
          <a:off x="3619500" y="312737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V</a:t>
          </a:r>
        </a:p>
      </xdr:txBody>
    </xdr:sp>
    <xdr:clientData/>
  </xdr:oneCellAnchor>
  <xdr:oneCellAnchor>
    <xdr:from>
      <xdr:col>43</xdr:col>
      <xdr:colOff>15875</xdr:colOff>
      <xdr:row>24</xdr:row>
      <xdr:rowOff>0</xdr:rowOff>
    </xdr:from>
    <xdr:ext cx="2531225" cy="2516690"/>
    <xdr:sp macro="" textlink="">
      <xdr:nvSpPr>
        <xdr:cNvPr id="7" name="Rectángulo 6"/>
        <xdr:cNvSpPr/>
      </xdr:nvSpPr>
      <xdr:spPr>
        <a:xfrm>
          <a:off x="6175375" y="312737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VI</a:t>
          </a:r>
        </a:p>
      </xdr:txBody>
    </xdr:sp>
    <xdr:clientData/>
  </xdr:oneCellAnchor>
  <xdr:oneCellAnchor>
    <xdr:from>
      <xdr:col>3</xdr:col>
      <xdr:colOff>0</xdr:colOff>
      <xdr:row>44</xdr:row>
      <xdr:rowOff>0</xdr:rowOff>
    </xdr:from>
    <xdr:ext cx="2531225" cy="2516690"/>
    <xdr:sp macro="" textlink="">
      <xdr:nvSpPr>
        <xdr:cNvPr id="8" name="Rectángulo 7"/>
        <xdr:cNvSpPr/>
      </xdr:nvSpPr>
      <xdr:spPr>
        <a:xfrm>
          <a:off x="1079500" y="566737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VII</a:t>
          </a:r>
        </a:p>
      </xdr:txBody>
    </xdr:sp>
    <xdr:clientData/>
  </xdr:oneCellAnchor>
  <xdr:oneCellAnchor>
    <xdr:from>
      <xdr:col>22</xdr:col>
      <xdr:colOff>111125</xdr:colOff>
      <xdr:row>44</xdr:row>
      <xdr:rowOff>15875</xdr:rowOff>
    </xdr:from>
    <xdr:ext cx="2531225" cy="2516690"/>
    <xdr:sp macro="" textlink="">
      <xdr:nvSpPr>
        <xdr:cNvPr id="9" name="Rectángulo 8"/>
        <xdr:cNvSpPr/>
      </xdr:nvSpPr>
      <xdr:spPr>
        <a:xfrm>
          <a:off x="3610681" y="5674431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0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VIII</a:t>
          </a:r>
        </a:p>
      </xdr:txBody>
    </xdr:sp>
    <xdr:clientData/>
  </xdr:oneCellAnchor>
  <xdr:oneCellAnchor>
    <xdr:from>
      <xdr:col>43</xdr:col>
      <xdr:colOff>0</xdr:colOff>
      <xdr:row>44</xdr:row>
      <xdr:rowOff>0</xdr:rowOff>
    </xdr:from>
    <xdr:ext cx="2531225" cy="2516690"/>
    <xdr:sp macro="" textlink="">
      <xdr:nvSpPr>
        <xdr:cNvPr id="10" name="Rectángulo 9"/>
        <xdr:cNvSpPr/>
      </xdr:nvSpPr>
      <xdr:spPr>
        <a:xfrm>
          <a:off x="6159500" y="5667375"/>
          <a:ext cx="2531225" cy="2516690"/>
        </a:xfrm>
        <a:prstGeom prst="rect">
          <a:avLst/>
        </a:prstGeom>
        <a:noFill/>
      </xdr:spPr>
      <xdr:txBody>
        <a:bodyPr wrap="square" lIns="91440" tIns="45720" rIns="91440" bIns="45720" anchor="ctr">
          <a:noAutofit/>
        </a:bodyPr>
        <a:lstStyle/>
        <a:p>
          <a:pPr algn="ctr"/>
          <a:r>
            <a:rPr lang="es-ES" sz="11500" b="0" cap="none" spc="0">
              <a:ln w="10160">
                <a:solidFill>
                  <a:schemeClr val="tx1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  <a:latin typeface="Copperplate Gothic Light" charset="0"/>
              <a:ea typeface="Copperplate Gothic Light" charset="0"/>
              <a:cs typeface="Copperplate Gothic Light" charset="0"/>
            </a:rPr>
            <a:t>IX</a:t>
          </a:r>
        </a:p>
      </xdr:txBody>
    </xdr:sp>
    <xdr:clientData/>
  </xdr:oneCellAnchor>
  <xdr:twoCellAnchor>
    <xdr:from>
      <xdr:col>26</xdr:col>
      <xdr:colOff>9360</xdr:colOff>
      <xdr:row>7</xdr:row>
      <xdr:rowOff>8024</xdr:rowOff>
    </xdr:from>
    <xdr:to>
      <xdr:col>38</xdr:col>
      <xdr:colOff>104944</xdr:colOff>
      <xdr:row>19</xdr:row>
      <xdr:rowOff>103608</xdr:rowOff>
    </xdr:to>
    <xdr:sp macro="" textlink="">
      <xdr:nvSpPr>
        <xdr:cNvPr id="11" name="Elipse 10"/>
        <xdr:cNvSpPr/>
      </xdr:nvSpPr>
      <xdr:spPr>
        <a:xfrm>
          <a:off x="4180307" y="1010656"/>
          <a:ext cx="1699795" cy="1699794"/>
        </a:xfrm>
        <a:prstGeom prst="ellipse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ES_tradnl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3576.494926041669" createdVersion="4" refreshedVersion="4" minRefreshableVersion="3" recordCount="38">
  <cacheSource type="worksheet">
    <worksheetSource ref="B2:H40" sheet="# de locales (2)"/>
  </cacheSource>
  <cacheFields count="7">
    <cacheField name="Distrito" numFmtId="0">
      <sharedItems/>
    </cacheField>
    <cacheField name="Marca" numFmtId="0">
      <sharedItems count="7">
        <s v="Llama Gas"/>
        <s v="Amazon Gas"/>
        <s v="UNIGAS"/>
        <s v="Pecsagas"/>
        <s v="Sugas" u="1"/>
        <s v="Selva Gas" u="1"/>
        <s v="Solgas" u="1"/>
      </sharedItems>
    </cacheField>
    <cacheField name="Establecimiento" numFmtId="0">
      <sharedItems/>
    </cacheField>
    <cacheField name="Dirección" numFmtId="167">
      <sharedItems/>
    </cacheField>
    <cacheField name="Teléfono" numFmtId="0">
      <sharedItems containsString="0" containsBlank="1" containsNumber="1" containsInteger="1" minValue="65253535" maxValue="988543493"/>
    </cacheField>
    <cacheField name="Precio de Venta" numFmtId="174">
      <sharedItems containsSemiMixedTypes="0" containsString="0" containsNumber="1" minValue="40" maxValue="49"/>
    </cacheField>
    <cacheField name="Fecha Actualización" numFmtId="14">
      <sharedItems containsSemiMixedTypes="0" containsNonDate="0" containsDate="1" containsString="0" minDate="2019-04-21T00:00:00" maxDate="2019-04-22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">
  <r>
    <s v="BELEN"/>
    <x v="0"/>
    <s v="PANDURO CARO JON MARCOS"/>
    <s v="AV. ABELARDO QUIÑONES 1117"/>
    <n v="955247262"/>
    <n v="43"/>
    <d v="2019-04-21T00:00:00"/>
  </r>
  <r>
    <s v="BELEN"/>
    <x v="1"/>
    <s v="BAYLON GAMARRA JOSE LUIS"/>
    <s v="CALLE LAS AMERICAS N° 334 - A.H. CARDOZO"/>
    <m/>
    <n v="46"/>
    <d v="2019-04-21T00:00:00"/>
  </r>
  <r>
    <s v="BELEN"/>
    <x v="0"/>
    <s v="LLAMA GAS PUCALLPA S.A."/>
    <s v="PASAJE CANAAN MZ. D, LOTE 10, AA. HH. SARITA COLONIA "/>
    <m/>
    <n v="46.5"/>
    <d v="2019-04-21T00:00:00"/>
  </r>
  <r>
    <s v="BELEN"/>
    <x v="1"/>
    <s v="COMERCIAL JULCA EIRL"/>
    <s v="CALLE VICTORIA 273-PUEBLO JOVEN CARDOSO"/>
    <m/>
    <n v="49"/>
    <d v="2019-04-21T00:00:00"/>
  </r>
  <r>
    <s v="IQUITOS"/>
    <x v="2"/>
    <s v="DAYRO RESTREPO VASQUEZ"/>
    <s v="AV. SAN ANTONIO N° 2337"/>
    <m/>
    <n v="40"/>
    <d v="2019-04-21T00:00:00"/>
  </r>
  <r>
    <s v="IQUITOS"/>
    <x v="1"/>
    <s v="DAYRO RESTREPO VASQUEZ"/>
    <s v="AV. SAN ANTONIO N° 2337"/>
    <m/>
    <n v="41"/>
    <d v="2019-04-21T00:00:00"/>
  </r>
  <r>
    <s v="IQUITOS"/>
    <x v="1"/>
    <s v="MULTISERVICIOS LUZ GAS E.I.R.L."/>
    <s v="CALLE MISTI N° 251"/>
    <m/>
    <n v="42"/>
    <d v="2019-04-21T00:00:00"/>
  </r>
  <r>
    <s v="IQUITOS"/>
    <x v="2"/>
    <s v="CORPORACION JJ NISSI S.A.C."/>
    <s v="JR. CALVO DE ARAUJO N°967"/>
    <m/>
    <n v="42"/>
    <d v="2019-04-21T00:00:00"/>
  </r>
  <r>
    <s v="IQUITOS"/>
    <x v="3"/>
    <s v="CORPORACION BORA E.I.R.L."/>
    <s v="AV. DEL EJERCITO 1602"/>
    <n v="938165943"/>
    <n v="44"/>
    <d v="2019-04-21T00:00:00"/>
  </r>
  <r>
    <s v="IQUITOS"/>
    <x v="3"/>
    <s v="JORGE AGUSTIN PEREIRA PINEDO"/>
    <s v="PASAJE BUENA VISTA N 196 REF. CUADRA 17 DE PEVAS"/>
    <n v="938165943"/>
    <n v="44"/>
    <d v="2019-04-21T00:00:00"/>
  </r>
  <r>
    <s v="IQUITOS"/>
    <x v="3"/>
    <s v="CORPORACION BORA E.I.R.L."/>
    <s v="Avenida Almirante Miguel Grau 1369"/>
    <n v="938165943"/>
    <n v="44"/>
    <d v="2019-04-21T00:00:00"/>
  </r>
  <r>
    <s v="IQUITOS"/>
    <x v="3"/>
    <s v="JJ GAS"/>
    <s v="CALLE SANTA ROSA MZ. G LT. 4"/>
    <n v="971456492"/>
    <n v="44"/>
    <d v="2019-04-21T00:00:00"/>
  </r>
  <r>
    <s v="IQUITOS"/>
    <x v="1"/>
    <s v="CURTO VILLACORTA GABY ZARELA"/>
    <s v="PRO. PUTUMAYO 1513 (A 30 MTROS DEL MERCADILLO NORTEÑITA)"/>
    <n v="948613080"/>
    <n v="45"/>
    <d v="2019-04-21T00:00:00"/>
  </r>
  <r>
    <s v="IQUITOS"/>
    <x v="1"/>
    <s v="RICO GAS E.I.R.L."/>
    <s v="CALLE RAMON CASTILLA Nº 775"/>
    <m/>
    <n v="45"/>
    <d v="2019-04-21T00:00:00"/>
  </r>
  <r>
    <s v="IQUITOS"/>
    <x v="1"/>
    <s v="DISTRIBUIDORA DE GAS L Y L E.I.R.L."/>
    <s v="PSJ. INTI MZ. E LT. 13. PUEBLO JOVEN TUPAC AMARU."/>
    <n v="949427545"/>
    <n v="46"/>
    <d v="2019-04-21T00:00:00"/>
  </r>
  <r>
    <s v="IQUITOS"/>
    <x v="1"/>
    <s v="MECCA PEREA DAVID RICARDO"/>
    <s v="AV. EJERCITO 1599 (ESQUINA CON GARISHO)"/>
    <n v="920849634"/>
    <n v="46"/>
    <d v="2019-04-21T00:00:00"/>
  </r>
  <r>
    <s v="IQUITOS"/>
    <x v="0"/>
    <s v="LLAMA GAS PUCALLPA S.A."/>
    <s v="AV. JOSE ABELARDO QUIÑONES Nº 522 SECTOR SUR"/>
    <n v="65263335"/>
    <n v="46.5"/>
    <d v="2019-04-21T00:00:00"/>
  </r>
  <r>
    <s v="IQUITOS"/>
    <x v="0"/>
    <s v="LLAMA GAS PUCALLPA S.A."/>
    <s v="CALLE LAS CASTAÑAS N° 198, PUEBLO JOVEN SAN ANTONIO"/>
    <n v="947699219"/>
    <n v="46.5"/>
    <d v="2019-04-21T00:00:00"/>
  </r>
  <r>
    <s v="IQUITOS"/>
    <x v="0"/>
    <s v="LLAMA GAS PUCALLPA S.A."/>
    <s v="CALLE JAEN MZ. C LT. 30 AAHH MUNICH"/>
    <m/>
    <n v="46.5"/>
    <d v="2019-04-21T00:00:00"/>
  </r>
  <r>
    <s v="PUNCHANA"/>
    <x v="1"/>
    <s v="SERVICENTRO BELEN S.R.L."/>
    <s v="CALLE MALECON MZ Z LOTE 1, AAHH NUEVO VERSALLES"/>
    <m/>
    <n v="45"/>
    <d v="2019-04-21T00:00:00"/>
  </r>
  <r>
    <s v="PUNCHANA"/>
    <x v="1"/>
    <s v="CONSTRUCTORA Y SERVICIOS MULTIPLES SILOE S.A.C. "/>
    <s v="AV. 28 DE JULIO N° 1749"/>
    <n v="65253535"/>
    <n v="46"/>
    <d v="2019-04-21T00:00:00"/>
  </r>
  <r>
    <s v="PUNCHANA"/>
    <x v="0"/>
    <s v="LLAMAGAS PUCALLPA S.A."/>
    <s v="AV. AUGUSTO FREYRE N° 1421"/>
    <m/>
    <n v="46.5"/>
    <d v="2019-04-21T00:00:00"/>
  </r>
  <r>
    <s v="PUNCHANA"/>
    <x v="0"/>
    <s v="ALBERTO ACOSTA FLORES "/>
    <s v="PASAJE DEXA, MZ. D, LT. 01 "/>
    <m/>
    <n v="46.5"/>
    <d v="2019-04-21T00:00:00"/>
  </r>
  <r>
    <s v="PUNCHANA"/>
    <x v="0"/>
    <s v="PEREZ CHANCHARI JORGE"/>
    <s v="CAL. BELGRANO MZA. B LOTE. 14"/>
    <n v="986158980"/>
    <n v="47"/>
    <d v="2019-04-21T00:00:00"/>
  </r>
  <r>
    <s v="PUNCHANA"/>
    <x v="0"/>
    <s v="VICTOR AUGUSTO SIFUENTES RIOS"/>
    <s v="CALLE MANCO CAPAC N° 109"/>
    <m/>
    <n v="47"/>
    <d v="2019-04-21T00:00:00"/>
  </r>
  <r>
    <s v="PUNCHANA"/>
    <x v="0"/>
    <s v="NAVARRO ECHEVARRIA BETTY ERNESTINA"/>
    <s v="PJ. BELLO AMAZONAS MZA. G LOTE. 13"/>
    <n v="988543493"/>
    <n v="48"/>
    <d v="2019-04-21T00:00:00"/>
  </r>
  <r>
    <s v="SAN JUAN BAUTISTA"/>
    <x v="1"/>
    <s v="RUIZ VELA JOHNNY"/>
    <s v="CALLE LOS JASMINES MZ A LT 5"/>
    <n v="942119801"/>
    <n v="41"/>
    <d v="2019-04-21T00:00:00"/>
  </r>
  <r>
    <s v="SAN JUAN BAUTISTA"/>
    <x v="1"/>
    <s v="RUIZ VELA JOHNNY"/>
    <s v="CAR.IQUITOS - NAUTA QUISTOCOCHA MZ J LT 1B-1"/>
    <n v="955908306"/>
    <n v="41"/>
    <d v="2019-04-21T00:00:00"/>
  </r>
  <r>
    <s v="SAN JUAN BAUTISTA"/>
    <x v="1"/>
    <s v="SERVICENTRO BELEN S.R.L."/>
    <s v="CALLE LAS AMAZONAS N° 502"/>
    <n v="65265315"/>
    <n v="45"/>
    <d v="2019-04-21T00:00:00"/>
  </r>
  <r>
    <s v="SAN JUAN BAUTISTA"/>
    <x v="1"/>
    <s v="INVERSIONES MULTIPLES MLVE E.I.R.L"/>
    <s v="AV. ABELARDO QUIÑONES Nº1093"/>
    <m/>
    <n v="46"/>
    <d v="2019-04-21T00:00:00"/>
  </r>
  <r>
    <s v="SAN JUAN BAUTISTA"/>
    <x v="3"/>
    <s v="MACHUCA DIAZ GEISER ALBENIS"/>
    <s v="A.H. ROSA PANDURO CAL. 25 DE ABRIL 194"/>
    <m/>
    <n v="46"/>
    <d v="2019-04-21T00:00:00"/>
  </r>
  <r>
    <s v="SAN JUAN BAUTISTA"/>
    <x v="3"/>
    <s v="CORPORACION BORA E.I.R.L."/>
    <s v="PJ. SIMON BOLIVAR NRO 200"/>
    <m/>
    <n v="46"/>
    <d v="2019-04-21T00:00:00"/>
  </r>
  <r>
    <s v="SAN JUAN BAUTISTA"/>
    <x v="3"/>
    <s v="GEISER ALBENIS MACHUCA DIAZ"/>
    <s v="CALLE LA HERRADURA MZ. A, LOTE 13 NUEVO JARDIN-LOS DELFINES"/>
    <m/>
    <n v="46"/>
    <d v="2019-04-21T00:00:00"/>
  </r>
  <r>
    <s v="SAN JUAN BAUTISTA"/>
    <x v="1"/>
    <s v="CARDENAS ANGULO JOSE GABRIEL"/>
    <s v="CAL. PABLO NERUDA 160A"/>
    <m/>
    <n v="46"/>
    <d v="2019-04-21T00:00:00"/>
  </r>
  <r>
    <s v="SAN JUAN BAUTISTA"/>
    <x v="1"/>
    <s v="FASANANDO ARICARI LUCRECIA ABIGAIL"/>
    <s v="CALLE LOS GAVILANES Nª 121"/>
    <m/>
    <n v="46"/>
    <d v="2019-04-21T00:00:00"/>
  </r>
  <r>
    <s v="SAN JUAN BAUTISTA"/>
    <x v="1"/>
    <s v="GLADIS GARCIA DE RUIZ"/>
    <s v="CALLE LOS GAVILANES MZ &quot;C&quot; LT. 15"/>
    <n v="984081569"/>
    <n v="46"/>
    <d v="2019-04-21T00:00:00"/>
  </r>
  <r>
    <s v="SAN JUAN BAUTISTA"/>
    <x v="0"/>
    <s v="LLAMA GAS PUCALLPA SA"/>
    <s v="AV. ABELARDO QUIÑONEZ KM. 3.5"/>
    <m/>
    <n v="46.5"/>
    <d v="2019-04-21T00:00:00"/>
  </r>
  <r>
    <s v="SAN JUAN BAUTISTA"/>
    <x v="1"/>
    <s v="GOMEZ BARBAGELATA GERMAN"/>
    <s v="PJ. LAS ORQUIDEAS 158"/>
    <m/>
    <n v="47"/>
    <d v="2019-04-21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J16:L21" firstHeaderRow="0" firstDataRow="1" firstDataCol="1"/>
  <pivotFields count="7">
    <pivotField showAll="0"/>
    <pivotField axis="axisRow" showAll="0">
      <items count="8">
        <item x="1"/>
        <item x="0"/>
        <item m="1" x="5"/>
        <item m="1" x="6"/>
        <item m="1" x="4"/>
        <item x="2"/>
        <item x="3"/>
        <item t="default"/>
      </items>
    </pivotField>
    <pivotField dataField="1" showAll="0"/>
    <pivotField showAll="0"/>
    <pivotField showAll="0"/>
    <pivotField dataField="1" numFmtId="174" showAll="0"/>
    <pivotField numFmtId="14" showAll="0"/>
  </pivotFields>
  <rowFields count="1">
    <field x="1"/>
  </rowFields>
  <rowItems count="5">
    <i>
      <x/>
    </i>
    <i>
      <x v="1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Cuenta de Establecimiento" fld="2" subtotal="count" baseField="0" baseItem="0"/>
    <dataField name="Promedio de Precio de Venta" fld="5" subtotal="average" baseField="0" baseItem="0" numFmtId="44"/>
  </dataFields>
  <formats count="1">
    <format dxfId="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3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8"/>
  <sheetViews>
    <sheetView tabSelected="1" workbookViewId="0">
      <selection activeCell="N7" sqref="N7"/>
    </sheetView>
  </sheetViews>
  <sheetFormatPr baseColWidth="10" defaultRowHeight="16" x14ac:dyDescent="0.2"/>
  <cols>
    <col min="2" max="2" width="22.83203125" bestFit="1" customWidth="1"/>
  </cols>
  <sheetData>
    <row r="2" spans="2:20" x14ac:dyDescent="0.2">
      <c r="B2" t="s">
        <v>6</v>
      </c>
      <c r="C2" s="4">
        <v>2005</v>
      </c>
      <c r="D2" s="4">
        <v>2006</v>
      </c>
      <c r="E2" s="4">
        <v>2007</v>
      </c>
      <c r="F2" s="4">
        <v>2008</v>
      </c>
      <c r="G2" s="4">
        <v>2009</v>
      </c>
      <c r="H2" s="4">
        <v>2010</v>
      </c>
      <c r="I2" s="4">
        <v>2011</v>
      </c>
      <c r="J2" s="4">
        <v>2012</v>
      </c>
      <c r="K2" s="4">
        <v>2013</v>
      </c>
      <c r="L2" s="4">
        <v>2014</v>
      </c>
      <c r="M2" s="4">
        <v>2015</v>
      </c>
      <c r="N2" s="4">
        <v>2016</v>
      </c>
      <c r="O2" s="4">
        <v>2017</v>
      </c>
      <c r="P2" s="4">
        <v>2018</v>
      </c>
      <c r="Q2" s="5" t="s">
        <v>5</v>
      </c>
    </row>
    <row r="3" spans="2:20" x14ac:dyDescent="0.2">
      <c r="B3" s="1" t="s">
        <v>0</v>
      </c>
      <c r="C3" s="2">
        <v>172799</v>
      </c>
      <c r="D3" s="2">
        <v>171273</v>
      </c>
      <c r="E3" s="2">
        <v>169599</v>
      </c>
      <c r="F3" s="2">
        <v>167768</v>
      </c>
      <c r="G3" s="2">
        <v>165773</v>
      </c>
      <c r="H3" s="2">
        <v>163594</v>
      </c>
      <c r="I3" s="2">
        <v>161236</v>
      </c>
      <c r="J3" s="2">
        <v>158738</v>
      </c>
      <c r="K3" s="2">
        <v>156113</v>
      </c>
      <c r="L3" s="2">
        <v>153357</v>
      </c>
      <c r="M3" s="2">
        <v>150484</v>
      </c>
      <c r="N3" s="2">
        <v>149360</v>
      </c>
      <c r="O3" s="2">
        <v>147121</v>
      </c>
      <c r="P3" s="2">
        <v>144882</v>
      </c>
      <c r="Q3" s="2"/>
      <c r="R3" s="6">
        <f>+M3/$M$7</f>
        <v>0.31882676226130474</v>
      </c>
      <c r="S3">
        <f>+R3*170</f>
        <v>54.200549584421807</v>
      </c>
      <c r="T3">
        <v>54</v>
      </c>
    </row>
    <row r="4" spans="2:20" x14ac:dyDescent="0.2">
      <c r="B4" s="3" t="s">
        <v>1</v>
      </c>
      <c r="C4" s="2">
        <v>77686</v>
      </c>
      <c r="D4" s="2">
        <v>79268</v>
      </c>
      <c r="E4" s="2">
        <v>80820</v>
      </c>
      <c r="F4" s="2">
        <v>82333</v>
      </c>
      <c r="G4" s="2">
        <v>83789</v>
      </c>
      <c r="H4" s="2">
        <v>85179</v>
      </c>
      <c r="I4" s="2">
        <v>86498</v>
      </c>
      <c r="J4" s="2">
        <v>87755</v>
      </c>
      <c r="K4" s="2">
        <v>88947</v>
      </c>
      <c r="L4" s="2">
        <v>90071</v>
      </c>
      <c r="M4" s="2">
        <v>91128</v>
      </c>
      <c r="N4" s="2">
        <v>92954</v>
      </c>
      <c r="O4" s="2">
        <v>94303</v>
      </c>
      <c r="P4" s="2">
        <v>95651</v>
      </c>
      <c r="Q4" s="2"/>
      <c r="R4" s="6">
        <f t="shared" ref="R4:R6" si="0">+M4/$M$7</f>
        <v>0.19307065994622802</v>
      </c>
      <c r="S4">
        <f t="shared" ref="S4:S6" si="1">+R4*170</f>
        <v>32.822012190858764</v>
      </c>
      <c r="T4">
        <v>33</v>
      </c>
    </row>
    <row r="5" spans="2:20" x14ac:dyDescent="0.2">
      <c r="B5" s="3" t="s">
        <v>2</v>
      </c>
      <c r="C5" s="2">
        <v>71687</v>
      </c>
      <c r="D5" s="2">
        <v>72375</v>
      </c>
      <c r="E5" s="2">
        <v>73015</v>
      </c>
      <c r="F5" s="2">
        <v>73597</v>
      </c>
      <c r="G5" s="2">
        <v>74112</v>
      </c>
      <c r="H5" s="2">
        <v>74551</v>
      </c>
      <c r="I5" s="2">
        <v>74914</v>
      </c>
      <c r="J5" s="2">
        <v>75209</v>
      </c>
      <c r="K5" s="2">
        <v>75435</v>
      </c>
      <c r="L5" s="2">
        <v>75593</v>
      </c>
      <c r="M5" s="2">
        <v>75685</v>
      </c>
      <c r="N5" s="2">
        <v>76606</v>
      </c>
      <c r="O5" s="2">
        <v>77007</v>
      </c>
      <c r="P5" s="2">
        <v>77409</v>
      </c>
      <c r="Q5" s="2"/>
      <c r="R5" s="6">
        <f t="shared" si="0"/>
        <v>0.16035195437220467</v>
      </c>
      <c r="S5">
        <f t="shared" si="1"/>
        <v>27.259832243274793</v>
      </c>
      <c r="T5">
        <v>27</v>
      </c>
    </row>
    <row r="6" spans="2:20" x14ac:dyDescent="0.2">
      <c r="B6" s="3" t="s">
        <v>3</v>
      </c>
      <c r="C6" s="2">
        <v>95996</v>
      </c>
      <c r="D6" s="2">
        <v>101331</v>
      </c>
      <c r="E6" s="2">
        <v>106834</v>
      </c>
      <c r="F6" s="2">
        <v>112487</v>
      </c>
      <c r="G6" s="2">
        <v>118265</v>
      </c>
      <c r="H6" s="2">
        <v>124143</v>
      </c>
      <c r="I6" s="2">
        <v>130109</v>
      </c>
      <c r="J6" s="2">
        <v>136163</v>
      </c>
      <c r="K6" s="2">
        <v>142288</v>
      </c>
      <c r="L6" s="2">
        <v>148472</v>
      </c>
      <c r="M6" s="2">
        <v>154696</v>
      </c>
      <c r="N6" s="2">
        <v>159942</v>
      </c>
      <c r="O6" s="2">
        <v>165830</v>
      </c>
      <c r="P6" s="2">
        <v>171717</v>
      </c>
      <c r="Q6" s="2"/>
      <c r="R6" s="6">
        <f t="shared" si="0"/>
        <v>0.32775062342026257</v>
      </c>
      <c r="S6">
        <f t="shared" si="1"/>
        <v>55.717605981444635</v>
      </c>
      <c r="T6">
        <v>56</v>
      </c>
    </row>
    <row r="7" spans="2:20" x14ac:dyDescent="0.2">
      <c r="B7" s="3" t="s">
        <v>4</v>
      </c>
      <c r="C7" s="2">
        <f>SUM(C3:C6)</f>
        <v>418168</v>
      </c>
      <c r="D7" s="2">
        <f t="shared" ref="D7:Q7" si="2">SUM(D3:D6)</f>
        <v>424247</v>
      </c>
      <c r="E7" s="2">
        <f t="shared" si="2"/>
        <v>430268</v>
      </c>
      <c r="F7" s="2">
        <f t="shared" si="2"/>
        <v>436185</v>
      </c>
      <c r="G7" s="2">
        <f t="shared" si="2"/>
        <v>441939</v>
      </c>
      <c r="H7" s="2">
        <f t="shared" si="2"/>
        <v>447467</v>
      </c>
      <c r="I7" s="2">
        <f t="shared" si="2"/>
        <v>452757</v>
      </c>
      <c r="J7" s="2">
        <f t="shared" si="2"/>
        <v>457865</v>
      </c>
      <c r="K7" s="2">
        <f t="shared" si="2"/>
        <v>462783</v>
      </c>
      <c r="L7" s="2">
        <f t="shared" si="2"/>
        <v>467493</v>
      </c>
      <c r="M7" s="2">
        <f t="shared" si="2"/>
        <v>471993</v>
      </c>
      <c r="N7" s="2">
        <f t="shared" si="2"/>
        <v>478862</v>
      </c>
      <c r="O7" s="2">
        <f t="shared" si="2"/>
        <v>484261</v>
      </c>
      <c r="P7" s="2">
        <f t="shared" si="2"/>
        <v>489659</v>
      </c>
      <c r="Q7" s="2">
        <f t="shared" si="2"/>
        <v>0</v>
      </c>
    </row>
    <row r="8" spans="2:20" x14ac:dyDescent="0.2">
      <c r="C8" s="7"/>
      <c r="D8" s="7">
        <f t="shared" ref="D8:L8" si="3">+(D7-C7)/C7</f>
        <v>1.4537219490730998E-2</v>
      </c>
      <c r="E8" s="7">
        <f t="shared" si="3"/>
        <v>1.4192204069798962E-2</v>
      </c>
      <c r="F8" s="7">
        <f t="shared" si="3"/>
        <v>1.3751894168285813E-2</v>
      </c>
      <c r="G8" s="7">
        <f t="shared" si="3"/>
        <v>1.3191650331854604E-2</v>
      </c>
      <c r="H8" s="7">
        <f t="shared" si="3"/>
        <v>1.2508513618395299E-2</v>
      </c>
      <c r="I8" s="7">
        <f t="shared" si="3"/>
        <v>1.1822100847660274E-2</v>
      </c>
      <c r="J8" s="7">
        <f t="shared" si="3"/>
        <v>1.128199011831954E-2</v>
      </c>
      <c r="K8" s="7">
        <f t="shared" si="3"/>
        <v>1.0741157328033372E-2</v>
      </c>
      <c r="L8" s="7">
        <f t="shared" si="3"/>
        <v>1.0177556219653704E-2</v>
      </c>
      <c r="M8" s="7">
        <f>+(M7-L7)/L7</f>
        <v>9.6258125790118776E-3</v>
      </c>
      <c r="N8" s="7"/>
      <c r="O8" s="7"/>
      <c r="P8" s="7"/>
      <c r="Q8" s="8">
        <f>AVERAGE(D8:M8)</f>
        <v>1.2183009877174446E-2</v>
      </c>
      <c r="R8">
        <v>170</v>
      </c>
    </row>
  </sheetData>
  <pageMargins left="0.7" right="0.7" top="0.75" bottom="0.75" header="0.3" footer="0.3"/>
  <pageSetup paperSize="9" orientation="portrait" horizontalDpi="0" verticalDpi="0"/>
  <ignoredErrors>
    <ignoredError sqref="Q7 C7:M7 N7:P7" formulaRange="1"/>
  </ignoredError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workbookViewId="0">
      <selection activeCell="P34" sqref="P34:P35"/>
    </sheetView>
  </sheetViews>
  <sheetFormatPr baseColWidth="10" defaultRowHeight="16" x14ac:dyDescent="0.2"/>
  <cols>
    <col min="1" max="1" width="29.5" bestFit="1" customWidth="1"/>
    <col min="2" max="2" width="16.83203125" bestFit="1" customWidth="1"/>
    <col min="3" max="3" width="17.6640625" bestFit="1" customWidth="1"/>
    <col min="4" max="4" width="23.6640625" bestFit="1" customWidth="1"/>
    <col min="5" max="5" width="12.1640625" bestFit="1" customWidth="1"/>
    <col min="6" max="6" width="15.33203125" bestFit="1" customWidth="1"/>
    <col min="7" max="7" width="12.6640625" bestFit="1" customWidth="1"/>
    <col min="8" max="8" width="13.1640625" bestFit="1" customWidth="1"/>
    <col min="9" max="9" width="14" bestFit="1" customWidth="1"/>
  </cols>
  <sheetData>
    <row r="1" spans="1:9" x14ac:dyDescent="0.2">
      <c r="A1" t="s">
        <v>3582</v>
      </c>
    </row>
    <row r="2" spans="1:9" ht="17" thickBot="1" x14ac:dyDescent="0.25"/>
    <row r="3" spans="1:9" x14ac:dyDescent="0.2">
      <c r="A3" s="294" t="s">
        <v>3583</v>
      </c>
      <c r="B3" s="294"/>
    </row>
    <row r="4" spans="1:9" x14ac:dyDescent="0.2">
      <c r="A4" s="27" t="s">
        <v>3584</v>
      </c>
      <c r="B4" s="27">
        <v>0.99879102739126757</v>
      </c>
    </row>
    <row r="5" spans="1:9" x14ac:dyDescent="0.2">
      <c r="A5" s="27" t="s">
        <v>3585</v>
      </c>
      <c r="B5" s="27">
        <v>0.99758351639730392</v>
      </c>
    </row>
    <row r="6" spans="1:9" x14ac:dyDescent="0.2">
      <c r="A6" s="27" t="s">
        <v>3586</v>
      </c>
      <c r="B6" s="27">
        <v>-1.2222222222222223</v>
      </c>
    </row>
    <row r="7" spans="1:9" x14ac:dyDescent="0.2">
      <c r="A7" s="27" t="s">
        <v>3587</v>
      </c>
      <c r="B7" s="27">
        <v>928.88787419595667</v>
      </c>
    </row>
    <row r="8" spans="1:9" ht="17" thickBot="1" x14ac:dyDescent="0.25">
      <c r="A8" s="28" t="s">
        <v>3588</v>
      </c>
      <c r="B8" s="28">
        <v>1</v>
      </c>
    </row>
    <row r="10" spans="1:9" ht="17" thickBot="1" x14ac:dyDescent="0.25">
      <c r="A10" t="s">
        <v>3589</v>
      </c>
    </row>
    <row r="11" spans="1:9" x14ac:dyDescent="0.2">
      <c r="A11" s="29"/>
      <c r="B11" s="29" t="s">
        <v>3593</v>
      </c>
      <c r="C11" s="29" t="s">
        <v>3594</v>
      </c>
      <c r="D11" s="29" t="s">
        <v>3595</v>
      </c>
      <c r="E11" s="29" t="s">
        <v>3596</v>
      </c>
      <c r="F11" s="29" t="s">
        <v>3597</v>
      </c>
    </row>
    <row r="12" spans="1:9" x14ac:dyDescent="0.2">
      <c r="A12" s="27" t="s">
        <v>3590</v>
      </c>
      <c r="B12" s="27">
        <v>11</v>
      </c>
      <c r="C12" s="27">
        <v>3205785856.5818186</v>
      </c>
      <c r="D12" s="27">
        <v>291435077.87107444</v>
      </c>
      <c r="E12" s="27">
        <v>3715.4200581201417</v>
      </c>
      <c r="F12" s="27" t="e">
        <v>#NUM!</v>
      </c>
    </row>
    <row r="13" spans="1:9" x14ac:dyDescent="0.2">
      <c r="A13" s="27" t="s">
        <v>3591</v>
      </c>
      <c r="B13" s="27">
        <v>9</v>
      </c>
      <c r="C13" s="27">
        <v>7765494.1454545502</v>
      </c>
      <c r="D13" s="27">
        <v>862832.6828282834</v>
      </c>
      <c r="E13" s="27"/>
      <c r="F13" s="27"/>
    </row>
    <row r="14" spans="1:9" ht="17" thickBot="1" x14ac:dyDescent="0.25">
      <c r="A14" s="28" t="s">
        <v>3545</v>
      </c>
      <c r="B14" s="28">
        <v>20</v>
      </c>
      <c r="C14" s="28">
        <v>3213551350.727273</v>
      </c>
      <c r="D14" s="28"/>
      <c r="E14" s="28"/>
      <c r="F14" s="28"/>
    </row>
    <row r="15" spans="1:9" ht="17" thickBot="1" x14ac:dyDescent="0.25"/>
    <row r="16" spans="1:9" x14ac:dyDescent="0.2">
      <c r="A16" s="29"/>
      <c r="B16" s="29" t="s">
        <v>3598</v>
      </c>
      <c r="C16" s="29" t="s">
        <v>3587</v>
      </c>
      <c r="D16" s="29" t="s">
        <v>3599</v>
      </c>
      <c r="E16" s="29" t="s">
        <v>3600</v>
      </c>
      <c r="F16" s="29" t="s">
        <v>3601</v>
      </c>
      <c r="G16" s="29" t="s">
        <v>3602</v>
      </c>
      <c r="H16" s="29" t="s">
        <v>3603</v>
      </c>
      <c r="I16" s="29" t="s">
        <v>3604</v>
      </c>
    </row>
    <row r="17" spans="1:9" x14ac:dyDescent="0.2">
      <c r="A17" s="27" t="s">
        <v>3592</v>
      </c>
      <c r="B17" s="27"/>
      <c r="C17" s="27"/>
      <c r="D17" s="27"/>
      <c r="E17" s="27"/>
      <c r="F17" s="27"/>
      <c r="G17" s="27"/>
      <c r="H17" s="27">
        <v>0</v>
      </c>
      <c r="I17" s="27">
        <v>0</v>
      </c>
    </row>
    <row r="18" spans="1:9" x14ac:dyDescent="0.2">
      <c r="A18" s="27" t="s">
        <v>3605</v>
      </c>
      <c r="B18" s="27"/>
      <c r="C18" s="27"/>
      <c r="D18" s="27"/>
      <c r="E18" s="27"/>
      <c r="F18" s="27"/>
      <c r="G18" s="27"/>
      <c r="H18" s="27">
        <v>-3.8519314771175512E-25</v>
      </c>
      <c r="I18" s="27">
        <v>-3.8519314771175512E-25</v>
      </c>
    </row>
    <row r="19" spans="1:9" x14ac:dyDescent="0.2">
      <c r="A19" s="27" t="s">
        <v>3606</v>
      </c>
      <c r="B19" s="27"/>
      <c r="C19" s="27"/>
      <c r="D19" s="27"/>
      <c r="E19" s="27"/>
      <c r="F19" s="27"/>
      <c r="G19" s="27"/>
      <c r="H19" s="27">
        <v>0</v>
      </c>
      <c r="I19" s="27">
        <v>0</v>
      </c>
    </row>
    <row r="20" spans="1:9" x14ac:dyDescent="0.2">
      <c r="A20" s="27" t="s">
        <v>3607</v>
      </c>
      <c r="B20" s="27"/>
      <c r="C20" s="27"/>
      <c r="D20" s="27"/>
      <c r="E20" s="27"/>
      <c r="F20" s="27"/>
      <c r="G20" s="27"/>
      <c r="H20" s="27">
        <v>-3.8519314771175512E-25</v>
      </c>
      <c r="I20" s="27">
        <v>-3.8519314771175512E-25</v>
      </c>
    </row>
    <row r="21" spans="1:9" x14ac:dyDescent="0.2">
      <c r="A21" s="27" t="s">
        <v>3608</v>
      </c>
      <c r="B21" s="27"/>
      <c r="C21" s="27"/>
      <c r="D21" s="27"/>
      <c r="E21" s="27"/>
      <c r="F21" s="27"/>
      <c r="G21" s="27"/>
      <c r="H21" s="27">
        <v>-4.2371662355712606E-152</v>
      </c>
      <c r="I21" s="27">
        <v>4.2371662355712606E-152</v>
      </c>
    </row>
    <row r="22" spans="1:9" x14ac:dyDescent="0.2">
      <c r="A22" s="27" t="s">
        <v>3609</v>
      </c>
      <c r="B22" s="27"/>
      <c r="C22" s="27"/>
      <c r="D22" s="27"/>
      <c r="E22" s="27"/>
      <c r="F22" s="27"/>
      <c r="G22" s="27"/>
      <c r="H22" s="27">
        <v>-3.8519314771175512E-25</v>
      </c>
      <c r="I22" s="27">
        <v>-3.8519314771175512E-25</v>
      </c>
    </row>
    <row r="23" spans="1:9" x14ac:dyDescent="0.2">
      <c r="A23" s="27" t="s">
        <v>3610</v>
      </c>
      <c r="B23" s="27"/>
      <c r="C23" s="27"/>
      <c r="D23" s="27"/>
      <c r="E23" s="27"/>
      <c r="F23" s="27"/>
      <c r="G23" s="27"/>
      <c r="H23" s="27">
        <v>0</v>
      </c>
      <c r="I23" s="27">
        <v>0</v>
      </c>
    </row>
    <row r="24" spans="1:9" x14ac:dyDescent="0.2">
      <c r="A24" s="27" t="s">
        <v>3611</v>
      </c>
      <c r="B24" s="27"/>
      <c r="C24" s="27"/>
      <c r="D24" s="27"/>
      <c r="E24" s="27"/>
      <c r="F24" s="27"/>
      <c r="G24" s="27"/>
      <c r="H24" s="27">
        <v>4.0147177670232875E-308</v>
      </c>
      <c r="I24" s="27">
        <v>4.329308915868351E-308</v>
      </c>
    </row>
    <row r="25" spans="1:9" x14ac:dyDescent="0.2">
      <c r="A25" s="27" t="s">
        <v>3612</v>
      </c>
      <c r="B25" s="27"/>
      <c r="C25" s="27"/>
      <c r="D25" s="27"/>
      <c r="E25" s="27"/>
      <c r="F25" s="27"/>
      <c r="G25" s="27"/>
      <c r="H25" s="27">
        <v>1.6020966389821154E-306</v>
      </c>
      <c r="I25" s="27">
        <v>1.6020966389821154E-306</v>
      </c>
    </row>
    <row r="26" spans="1:9" x14ac:dyDescent="0.2">
      <c r="A26" s="27" t="s">
        <v>3613</v>
      </c>
      <c r="B26" s="27"/>
      <c r="C26" s="27"/>
      <c r="D26" s="27"/>
      <c r="E26" s="27"/>
      <c r="F26" s="27"/>
      <c r="G26" s="27"/>
      <c r="H26" s="27">
        <v>4.1672274543312013E-308</v>
      </c>
      <c r="I26" s="27">
        <v>4.1767992285604373E-308</v>
      </c>
    </row>
    <row r="27" spans="1:9" x14ac:dyDescent="0.2">
      <c r="A27" s="27" t="s">
        <v>3614</v>
      </c>
      <c r="B27" s="27">
        <v>-10404460.636363639</v>
      </c>
      <c r="C27" s="27">
        <v>178017.847680848</v>
      </c>
      <c r="D27" s="27">
        <v>-58.446165774438803</v>
      </c>
      <c r="E27" s="27">
        <v>6.3298251640954268E-13</v>
      </c>
      <c r="F27" s="27">
        <v>-10807164.985600788</v>
      </c>
      <c r="G27" s="27">
        <v>-10001756.287126489</v>
      </c>
      <c r="H27" s="27">
        <v>-10807164.985600788</v>
      </c>
      <c r="I27" s="27">
        <v>-10001756.287126489</v>
      </c>
    </row>
    <row r="28" spans="1:9" ht="17" thickBot="1" x14ac:dyDescent="0.25">
      <c r="A28" s="28" t="s">
        <v>3615</v>
      </c>
      <c r="B28" s="28">
        <v>5398.4727272727278</v>
      </c>
      <c r="C28" s="28">
        <v>88.565983764971094</v>
      </c>
      <c r="D28" s="28">
        <v>60.954245611935363</v>
      </c>
      <c r="E28" s="28">
        <v>4.340468900498293E-13</v>
      </c>
      <c r="F28" s="28">
        <v>5198.1225527185288</v>
      </c>
      <c r="G28" s="28">
        <v>5598.8229018269267</v>
      </c>
      <c r="H28" s="28">
        <v>5198.1225527185288</v>
      </c>
      <c r="I28" s="28">
        <v>5598.8229018269267</v>
      </c>
    </row>
    <row r="34" spans="10:16" x14ac:dyDescent="0.2">
      <c r="J34">
        <v>2016</v>
      </c>
      <c r="K34">
        <v>2017</v>
      </c>
      <c r="L34">
        <v>2018</v>
      </c>
      <c r="M34">
        <v>2019</v>
      </c>
      <c r="N34">
        <v>2020</v>
      </c>
      <c r="O34">
        <v>2021</v>
      </c>
      <c r="P34">
        <v>2022</v>
      </c>
    </row>
    <row r="35" spans="10:16" x14ac:dyDescent="0.2">
      <c r="J35">
        <f>+$B$27+$B$28*J34</f>
        <v>478860.3818181809</v>
      </c>
      <c r="K35">
        <f t="shared" ref="K35:O35" si="0">+$B$27+$B$28*K34</f>
        <v>484258.85454545356</v>
      </c>
      <c r="L35">
        <f t="shared" si="0"/>
        <v>489657.32727272622</v>
      </c>
      <c r="M35">
        <f t="shared" si="0"/>
        <v>495055.79999999888</v>
      </c>
      <c r="N35">
        <f t="shared" si="0"/>
        <v>500454.27272727154</v>
      </c>
      <c r="O35">
        <f t="shared" si="0"/>
        <v>505852.7454545442</v>
      </c>
      <c r="P35">
        <f t="shared" ref="P35" si="1">+$B$27+$B$28*P34</f>
        <v>511251.21818181686</v>
      </c>
    </row>
  </sheetData>
  <mergeCells count="1">
    <mergeCell ref="A3:B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J30"/>
  <sheetViews>
    <sheetView topLeftCell="S1" workbookViewId="0">
      <selection activeCell="T16" sqref="T16:AJ30"/>
    </sheetView>
  </sheetViews>
  <sheetFormatPr baseColWidth="10" defaultRowHeight="16" x14ac:dyDescent="0.2"/>
  <cols>
    <col min="2" max="2" width="16.6640625" bestFit="1" customWidth="1"/>
    <col min="3" max="3" width="14.6640625" bestFit="1" customWidth="1"/>
    <col min="15" max="15" width="16.6640625" customWidth="1"/>
    <col min="16" max="19" width="8.33203125" customWidth="1"/>
    <col min="20" max="20" width="16.6640625" customWidth="1"/>
    <col min="21" max="21" width="10" customWidth="1"/>
    <col min="22" max="22" width="8.33203125" hidden="1" customWidth="1"/>
    <col min="23" max="23" width="10" customWidth="1"/>
    <col min="24" max="24" width="8.33203125" customWidth="1"/>
    <col min="25" max="25" width="10" customWidth="1"/>
    <col min="26" max="26" width="8.33203125" customWidth="1"/>
    <col min="27" max="27" width="10" customWidth="1"/>
    <col min="28" max="28" width="8.33203125" customWidth="1"/>
    <col min="29" max="29" width="10" customWidth="1"/>
    <col min="30" max="30" width="8.33203125" customWidth="1"/>
    <col min="31" max="31" width="10" customWidth="1"/>
    <col min="32" max="32" width="8.33203125" customWidth="1"/>
    <col min="33" max="33" width="10" customWidth="1"/>
    <col min="34" max="34" width="8.33203125" customWidth="1"/>
    <col min="35" max="35" width="9.6640625" customWidth="1"/>
    <col min="36" max="36" width="8.33203125" customWidth="1"/>
  </cols>
  <sheetData>
    <row r="2" spans="1:36" x14ac:dyDescent="0.2">
      <c r="B2" t="s">
        <v>3617</v>
      </c>
      <c r="C2" t="s">
        <v>3528</v>
      </c>
      <c r="D2" t="s">
        <v>3533</v>
      </c>
      <c r="E2" t="s">
        <v>3522</v>
      </c>
      <c r="F2" t="s">
        <v>3573</v>
      </c>
      <c r="G2" t="s">
        <v>3572</v>
      </c>
      <c r="H2" t="s">
        <v>3547</v>
      </c>
      <c r="I2">
        <v>2007</v>
      </c>
      <c r="K2">
        <v>2015</v>
      </c>
      <c r="L2" t="s">
        <v>3574</v>
      </c>
      <c r="M2" t="s">
        <v>3575</v>
      </c>
    </row>
    <row r="3" spans="1:36" x14ac:dyDescent="0.2">
      <c r="A3">
        <v>1</v>
      </c>
      <c r="B3" t="s">
        <v>3561</v>
      </c>
      <c r="C3">
        <v>2681</v>
      </c>
      <c r="D3">
        <v>995</v>
      </c>
      <c r="E3">
        <v>826</v>
      </c>
      <c r="F3">
        <v>1722</v>
      </c>
      <c r="G3">
        <f>+SUM(C3:F3)</f>
        <v>6224</v>
      </c>
      <c r="H3" s="23">
        <f>+G3/$G$14</f>
        <v>7.3737960121790846E-2</v>
      </c>
      <c r="I3">
        <f>+G3*A3</f>
        <v>6224</v>
      </c>
      <c r="J3" s="23">
        <f>+I3/$I$14</f>
        <v>1.5317222030811636E-2</v>
      </c>
      <c r="K3">
        <f>+J3*$K$14</f>
        <v>7229.6215779888771</v>
      </c>
      <c r="L3">
        <f>+K3/A3</f>
        <v>7229.6215779888771</v>
      </c>
      <c r="M3">
        <f>ROUNDUP(L3,0)</f>
        <v>7230</v>
      </c>
    </row>
    <row r="4" spans="1:36" x14ac:dyDescent="0.2">
      <c r="A4">
        <v>2</v>
      </c>
      <c r="B4" t="s">
        <v>3562</v>
      </c>
      <c r="C4">
        <v>3689</v>
      </c>
      <c r="D4">
        <v>1370</v>
      </c>
      <c r="E4">
        <v>1180</v>
      </c>
      <c r="F4">
        <v>2204</v>
      </c>
      <c r="G4">
        <f t="shared" ref="G4:G13" si="0">+SUM(C4:F4)</f>
        <v>8443</v>
      </c>
      <c r="H4" s="23">
        <f t="shared" ref="H4:H13" si="1">+G4/$G$14</f>
        <v>0.10002724892485221</v>
      </c>
      <c r="I4">
        <f t="shared" ref="I4:I12" si="2">+G4*A4</f>
        <v>16886</v>
      </c>
      <c r="J4" s="23">
        <f t="shared" ref="J4:J13" si="3">+I4/$I$14</f>
        <v>4.1556332135649951E-2</v>
      </c>
      <c r="K4">
        <f t="shared" ref="K4:K13" si="4">+J4*$K$14</f>
        <v>19614.297873701827</v>
      </c>
      <c r="L4">
        <f t="shared" ref="L4:L13" si="5">+K4/A4</f>
        <v>9807.1489368509137</v>
      </c>
      <c r="M4">
        <f t="shared" ref="M4:M13" si="6">ROUNDUP(L4,0)</f>
        <v>9808</v>
      </c>
    </row>
    <row r="5" spans="1:36" x14ac:dyDescent="0.2">
      <c r="A5">
        <v>3</v>
      </c>
      <c r="B5" t="s">
        <v>3563</v>
      </c>
      <c r="C5">
        <v>5538</v>
      </c>
      <c r="D5">
        <v>2317</v>
      </c>
      <c r="E5">
        <v>1920</v>
      </c>
      <c r="F5">
        <v>3590</v>
      </c>
      <c r="G5">
        <f t="shared" si="0"/>
        <v>13365</v>
      </c>
      <c r="H5" s="23">
        <f t="shared" si="1"/>
        <v>0.15833994810856919</v>
      </c>
      <c r="I5">
        <f t="shared" si="2"/>
        <v>40095</v>
      </c>
      <c r="J5" s="23">
        <f t="shared" si="3"/>
        <v>9.86735246345425E-2</v>
      </c>
      <c r="K5">
        <f t="shared" si="4"/>
        <v>46573.212912831616</v>
      </c>
      <c r="L5">
        <f t="shared" si="5"/>
        <v>15524.404304277205</v>
      </c>
      <c r="M5">
        <f t="shared" si="6"/>
        <v>15525</v>
      </c>
    </row>
    <row r="6" spans="1:36" x14ac:dyDescent="0.2">
      <c r="A6">
        <v>4</v>
      </c>
      <c r="B6" t="s">
        <v>3564</v>
      </c>
      <c r="C6">
        <v>6128</v>
      </c>
      <c r="D6">
        <v>2800</v>
      </c>
      <c r="E6">
        <v>2304</v>
      </c>
      <c r="F6">
        <v>4311</v>
      </c>
      <c r="G6">
        <f t="shared" si="0"/>
        <v>15543</v>
      </c>
      <c r="H6" s="23">
        <f t="shared" si="1"/>
        <v>0.18414349520774342</v>
      </c>
      <c r="I6">
        <f t="shared" si="2"/>
        <v>62172</v>
      </c>
      <c r="J6" s="23">
        <f t="shared" si="3"/>
        <v>0.15300487276664862</v>
      </c>
      <c r="K6">
        <f t="shared" si="4"/>
        <v>72217.228911748782</v>
      </c>
      <c r="L6">
        <f t="shared" si="5"/>
        <v>18054.307227937195</v>
      </c>
      <c r="M6">
        <f t="shared" si="6"/>
        <v>18055</v>
      </c>
    </row>
    <row r="7" spans="1:36" x14ac:dyDescent="0.2">
      <c r="A7">
        <v>5</v>
      </c>
      <c r="B7" t="s">
        <v>3565</v>
      </c>
      <c r="C7">
        <v>5264</v>
      </c>
      <c r="D7">
        <v>2623</v>
      </c>
      <c r="E7">
        <v>2185</v>
      </c>
      <c r="F7">
        <v>3810</v>
      </c>
      <c r="G7">
        <f t="shared" si="0"/>
        <v>13882</v>
      </c>
      <c r="H7" s="23">
        <f t="shared" si="1"/>
        <v>0.16446503252099945</v>
      </c>
      <c r="I7">
        <f t="shared" si="2"/>
        <v>69410</v>
      </c>
      <c r="J7" s="23">
        <f t="shared" si="3"/>
        <v>0.17081754195993504</v>
      </c>
      <c r="K7">
        <f t="shared" si="4"/>
        <v>80624.684082295615</v>
      </c>
      <c r="L7">
        <f t="shared" si="5"/>
        <v>16124.936816459123</v>
      </c>
      <c r="M7">
        <f t="shared" si="6"/>
        <v>16125</v>
      </c>
    </row>
    <row r="8" spans="1:36" x14ac:dyDescent="0.2">
      <c r="A8">
        <v>6</v>
      </c>
      <c r="B8" t="s">
        <v>3566</v>
      </c>
      <c r="C8">
        <v>3522</v>
      </c>
      <c r="D8">
        <v>1780</v>
      </c>
      <c r="E8">
        <v>1665</v>
      </c>
      <c r="F8">
        <v>2593</v>
      </c>
      <c r="G8">
        <f t="shared" si="0"/>
        <v>9560</v>
      </c>
      <c r="H8" s="23">
        <f t="shared" si="1"/>
        <v>0.11326074851611834</v>
      </c>
      <c r="I8">
        <f t="shared" si="2"/>
        <v>57360</v>
      </c>
      <c r="J8" s="23">
        <f t="shared" si="3"/>
        <v>0.14116257321454939</v>
      </c>
      <c r="K8">
        <f t="shared" si="4"/>
        <v>66627.746419254807</v>
      </c>
      <c r="L8">
        <f t="shared" si="5"/>
        <v>11104.624403209134</v>
      </c>
      <c r="M8">
        <f t="shared" si="6"/>
        <v>11105</v>
      </c>
    </row>
    <row r="9" spans="1:36" x14ac:dyDescent="0.2">
      <c r="A9">
        <v>7</v>
      </c>
      <c r="B9" t="s">
        <v>3567</v>
      </c>
      <c r="C9">
        <v>2403</v>
      </c>
      <c r="D9">
        <v>1285</v>
      </c>
      <c r="E9">
        <v>1113</v>
      </c>
      <c r="F9">
        <v>1612</v>
      </c>
      <c r="G9">
        <f t="shared" si="0"/>
        <v>6413</v>
      </c>
      <c r="H9" s="23">
        <f t="shared" si="1"/>
        <v>7.5977110903124145E-2</v>
      </c>
      <c r="I9">
        <f t="shared" si="2"/>
        <v>44891</v>
      </c>
      <c r="J9" s="23">
        <f t="shared" si="3"/>
        <v>0.11047644829453167</v>
      </c>
      <c r="K9">
        <f t="shared" si="4"/>
        <v>52144.110259880887</v>
      </c>
      <c r="L9">
        <f t="shared" si="5"/>
        <v>7449.1586085544122</v>
      </c>
      <c r="M9">
        <f t="shared" si="6"/>
        <v>7450</v>
      </c>
    </row>
    <row r="10" spans="1:36" x14ac:dyDescent="0.2">
      <c r="A10">
        <v>8</v>
      </c>
      <c r="B10" t="s">
        <v>3568</v>
      </c>
      <c r="C10">
        <v>1608</v>
      </c>
      <c r="D10">
        <v>785</v>
      </c>
      <c r="E10">
        <v>782</v>
      </c>
      <c r="F10">
        <v>945</v>
      </c>
      <c r="G10">
        <f t="shared" si="0"/>
        <v>4120</v>
      </c>
      <c r="H10" s="23">
        <f t="shared" si="1"/>
        <v>4.8811117561339698E-2</v>
      </c>
      <c r="I10">
        <f t="shared" si="2"/>
        <v>32960</v>
      </c>
      <c r="J10" s="23">
        <f t="shared" si="3"/>
        <v>8.1114337746714574E-2</v>
      </c>
      <c r="K10">
        <f t="shared" si="4"/>
        <v>38285.399616085051</v>
      </c>
      <c r="L10">
        <f t="shared" si="5"/>
        <v>4785.6749520106314</v>
      </c>
      <c r="M10">
        <f t="shared" si="6"/>
        <v>4786</v>
      </c>
    </row>
    <row r="11" spans="1:36" x14ac:dyDescent="0.2">
      <c r="A11">
        <v>9</v>
      </c>
      <c r="B11" t="s">
        <v>3569</v>
      </c>
      <c r="C11">
        <v>1008</v>
      </c>
      <c r="D11">
        <v>524</v>
      </c>
      <c r="E11">
        <v>518</v>
      </c>
      <c r="F11">
        <v>587</v>
      </c>
      <c r="G11">
        <f t="shared" si="0"/>
        <v>2637</v>
      </c>
      <c r="H11" s="23">
        <f t="shared" si="1"/>
        <v>3.1241484710983685E-2</v>
      </c>
      <c r="I11">
        <f t="shared" si="2"/>
        <v>23733</v>
      </c>
      <c r="J11" s="23">
        <f t="shared" si="3"/>
        <v>5.8406752965496876E-2</v>
      </c>
      <c r="K11">
        <f t="shared" si="4"/>
        <v>27567.578552443767</v>
      </c>
      <c r="L11">
        <f t="shared" si="5"/>
        <v>3063.0642836048628</v>
      </c>
      <c r="M11">
        <f t="shared" si="6"/>
        <v>3064</v>
      </c>
    </row>
    <row r="12" spans="1:36" x14ac:dyDescent="0.2">
      <c r="A12">
        <v>10</v>
      </c>
      <c r="B12" t="s">
        <v>3570</v>
      </c>
      <c r="C12">
        <v>796</v>
      </c>
      <c r="D12">
        <v>421</v>
      </c>
      <c r="E12">
        <v>423</v>
      </c>
      <c r="F12">
        <v>413</v>
      </c>
      <c r="G12">
        <f t="shared" si="0"/>
        <v>2053</v>
      </c>
      <c r="H12" s="23">
        <f t="shared" si="1"/>
        <v>2.4322627270250096E-2</v>
      </c>
      <c r="I12">
        <f t="shared" si="2"/>
        <v>20530</v>
      </c>
      <c r="J12" s="23">
        <f t="shared" si="3"/>
        <v>5.0524191563715112E-2</v>
      </c>
      <c r="K12">
        <f t="shared" si="4"/>
        <v>23847.064748732588</v>
      </c>
      <c r="L12">
        <f t="shared" si="5"/>
        <v>2384.7064748732587</v>
      </c>
      <c r="M12">
        <f t="shared" si="6"/>
        <v>2385</v>
      </c>
    </row>
    <row r="13" spans="1:36" x14ac:dyDescent="0.2">
      <c r="A13">
        <f>+I13/G13</f>
        <v>14.803414859252422</v>
      </c>
      <c r="B13" t="s">
        <v>3571</v>
      </c>
      <c r="C13">
        <v>900</v>
      </c>
      <c r="D13">
        <v>451</v>
      </c>
      <c r="E13">
        <v>450</v>
      </c>
      <c r="F13">
        <v>366</v>
      </c>
      <c r="G13">
        <f t="shared" si="0"/>
        <v>2167</v>
      </c>
      <c r="H13" s="23">
        <f t="shared" si="1"/>
        <v>2.5673226154228915E-2</v>
      </c>
      <c r="I13">
        <v>32079</v>
      </c>
      <c r="J13" s="23">
        <f t="shared" si="3"/>
        <v>7.894620268740464E-2</v>
      </c>
      <c r="K13">
        <f t="shared" si="4"/>
        <v>37262.055045036177</v>
      </c>
      <c r="L13">
        <f t="shared" si="5"/>
        <v>2517.125636166757</v>
      </c>
      <c r="M13">
        <f t="shared" si="6"/>
        <v>2518</v>
      </c>
    </row>
    <row r="14" spans="1:36" ht="16" customHeight="1" x14ac:dyDescent="0.2">
      <c r="G14">
        <f>+SUM(G3:G13)</f>
        <v>84407</v>
      </c>
      <c r="H14">
        <f>+SUM(H3:H13)</f>
        <v>1</v>
      </c>
      <c r="I14">
        <f>+SUM(I3:I13)</f>
        <v>406340</v>
      </c>
      <c r="K14">
        <v>471993</v>
      </c>
      <c r="L14">
        <f>+SUM(L3:L13)</f>
        <v>98044.773221932366</v>
      </c>
      <c r="M14">
        <f>+SUM(M3:M13)</f>
        <v>98051</v>
      </c>
    </row>
    <row r="15" spans="1:36" ht="16" customHeight="1" x14ac:dyDescent="0.2"/>
    <row r="16" spans="1:36" ht="16" customHeight="1" x14ac:dyDescent="0.2">
      <c r="T16" s="290" t="s">
        <v>3618</v>
      </c>
      <c r="U16" s="290" t="s">
        <v>3621</v>
      </c>
      <c r="V16" s="297" t="s">
        <v>3547</v>
      </c>
      <c r="W16" s="295">
        <v>2016</v>
      </c>
      <c r="X16" s="295"/>
      <c r="Y16" s="295">
        <v>2017</v>
      </c>
      <c r="Z16" s="295"/>
      <c r="AA16" s="295">
        <v>2018</v>
      </c>
      <c r="AB16" s="295"/>
      <c r="AC16" s="295">
        <v>2019</v>
      </c>
      <c r="AD16" s="295"/>
      <c r="AE16" s="295">
        <v>2020</v>
      </c>
      <c r="AF16" s="295"/>
      <c r="AG16" s="295">
        <v>2021</v>
      </c>
      <c r="AH16" s="295"/>
      <c r="AI16" s="295">
        <v>2022</v>
      </c>
      <c r="AJ16" s="295"/>
    </row>
    <row r="17" spans="3:36" ht="16" customHeight="1" x14ac:dyDescent="0.2">
      <c r="O17" s="296" t="s">
        <v>3618</v>
      </c>
      <c r="P17" s="296" t="s">
        <v>3619</v>
      </c>
      <c r="Q17" s="296" t="s">
        <v>3620</v>
      </c>
      <c r="R17" s="290" t="s">
        <v>3547</v>
      </c>
      <c r="T17" s="290"/>
      <c r="U17" s="290"/>
      <c r="V17" s="297"/>
      <c r="W17" s="296" t="s">
        <v>3620</v>
      </c>
      <c r="X17" s="296" t="s">
        <v>3619</v>
      </c>
      <c r="Y17" s="296" t="s">
        <v>3620</v>
      </c>
      <c r="Z17" s="296" t="s">
        <v>3619</v>
      </c>
      <c r="AA17" s="296" t="s">
        <v>3620</v>
      </c>
      <c r="AB17" s="296" t="s">
        <v>3619</v>
      </c>
      <c r="AC17" s="296" t="s">
        <v>3620</v>
      </c>
      <c r="AD17" s="296" t="s">
        <v>3619</v>
      </c>
      <c r="AE17" s="296" t="s">
        <v>3620</v>
      </c>
      <c r="AF17" s="296" t="s">
        <v>3619</v>
      </c>
      <c r="AG17" s="296" t="s">
        <v>3620</v>
      </c>
      <c r="AH17" s="296" t="s">
        <v>3619</v>
      </c>
      <c r="AI17" s="296" t="s">
        <v>3620</v>
      </c>
      <c r="AJ17" s="296" t="s">
        <v>3619</v>
      </c>
    </row>
    <row r="18" spans="3:36" x14ac:dyDescent="0.2">
      <c r="O18" s="296"/>
      <c r="P18" s="296"/>
      <c r="Q18" s="296"/>
      <c r="R18" s="290"/>
      <c r="T18" s="290"/>
      <c r="U18" s="290"/>
      <c r="V18" s="297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</row>
    <row r="19" spans="3:36" x14ac:dyDescent="0.2">
      <c r="O19" s="4" t="s">
        <v>3561</v>
      </c>
      <c r="P19" s="4">
        <v>6224</v>
      </c>
      <c r="Q19" s="4">
        <v>6224</v>
      </c>
      <c r="R19" s="9">
        <f>+Q19/$I$14</f>
        <v>1.5317222030811636E-2</v>
      </c>
      <c r="T19" s="4" t="s">
        <v>3561</v>
      </c>
      <c r="U19" s="4">
        <v>1</v>
      </c>
      <c r="V19" s="9">
        <v>1.5317222030811636E-2</v>
      </c>
      <c r="W19" s="37">
        <f>+V19*$W$30</f>
        <v>7334.8202588964914</v>
      </c>
      <c r="X19" s="2">
        <f>ROUNDUP(W19/$U19,0)</f>
        <v>7335</v>
      </c>
      <c r="Y19" s="37">
        <f>+V19*$Y$30</f>
        <v>7417.5026234188126</v>
      </c>
      <c r="Z19" s="2">
        <f>ROUNDUP(Y19/$U19,0)</f>
        <v>7418</v>
      </c>
      <c r="AA19" s="37">
        <f>+V19*$AA$30</f>
        <v>7500.2003051631646</v>
      </c>
      <c r="AB19" s="2">
        <f>ROUNDUP(AA19/$U19,0)</f>
        <v>7501</v>
      </c>
      <c r="AC19" s="37">
        <f>+V19*$AC$30</f>
        <v>7582.8826696854858</v>
      </c>
      <c r="AD19" s="2">
        <f>ROUNDUP(AC19/$U19,0)</f>
        <v>7583</v>
      </c>
      <c r="AE19" s="37">
        <f>+V19*$AE$30</f>
        <v>7665.5803514298377</v>
      </c>
      <c r="AF19" s="2">
        <f>ROUNDUP(AE19/$U19,0)</f>
        <v>7666</v>
      </c>
      <c r="AG19" s="37">
        <f>+V19*$AG$30</f>
        <v>7748.2627159521589</v>
      </c>
      <c r="AH19" s="2">
        <f>ROUNDUP(AG19/$U19,0)</f>
        <v>7749</v>
      </c>
      <c r="AI19" s="37">
        <f>+V19*$AI$30</f>
        <v>7830.9603976965109</v>
      </c>
      <c r="AJ19" s="2">
        <f>ROUNDUP(AI19/$U19,0)</f>
        <v>7831</v>
      </c>
    </row>
    <row r="20" spans="3:36" x14ac:dyDescent="0.2">
      <c r="O20" s="4" t="s">
        <v>3562</v>
      </c>
      <c r="P20" s="4">
        <v>8443</v>
      </c>
      <c r="Q20" s="4">
        <v>16886</v>
      </c>
      <c r="R20" s="9">
        <f t="shared" ref="R20:R29" si="7">+Q20/$I$14</f>
        <v>4.1556332135649951E-2</v>
      </c>
      <c r="T20" s="4" t="s">
        <v>3562</v>
      </c>
      <c r="U20" s="4">
        <v>2</v>
      </c>
      <c r="V20" s="9">
        <v>4.1556332135649951E-2</v>
      </c>
      <c r="W20" s="37">
        <f t="shared" ref="W20:W29" si="8">+V20*$W$30</f>
        <v>19899.70676280947</v>
      </c>
      <c r="X20" s="2">
        <f t="shared" ref="X20:Z29" si="9">ROUNDUP(W20/$U20,0)</f>
        <v>9950</v>
      </c>
      <c r="Y20" s="37">
        <f t="shared" ref="Y20:Y29" si="10">+V20*$Y$30</f>
        <v>20124.027843677708</v>
      </c>
      <c r="Z20" s="2">
        <f t="shared" si="9"/>
        <v>10063</v>
      </c>
      <c r="AA20" s="37">
        <f t="shared" ref="AA20:AA29" si="11">+V20*$AA$30</f>
        <v>20348.390480878083</v>
      </c>
      <c r="AB20" s="2">
        <f t="shared" ref="AB20" si="12">ROUNDUP(AA20/$U20,0)</f>
        <v>10175</v>
      </c>
      <c r="AC20" s="37">
        <f t="shared" ref="AC20:AC29" si="13">+V20*$AC$30</f>
        <v>20572.711561746321</v>
      </c>
      <c r="AD20" s="2">
        <f t="shared" ref="AD20" si="14">ROUNDUP(AC20/$U20,0)</f>
        <v>10287</v>
      </c>
      <c r="AE20" s="37">
        <f t="shared" ref="AE20:AE29" si="15">+V20*$AE$30</f>
        <v>20797.074198946695</v>
      </c>
      <c r="AF20" s="2">
        <f t="shared" ref="AF20" si="16">ROUNDUP(AE20/$U20,0)</f>
        <v>10399</v>
      </c>
      <c r="AG20" s="37">
        <f t="shared" ref="AG20:AG29" si="17">+V20*$AG$30</f>
        <v>21021.395279814933</v>
      </c>
      <c r="AH20" s="2">
        <f t="shared" ref="AH20:AJ20" si="18">ROUNDUP(AG20/$U20,0)</f>
        <v>10511</v>
      </c>
      <c r="AI20" s="37">
        <f t="shared" ref="AI20:AI29" si="19">+V20*$AI$30</f>
        <v>21245.757917015308</v>
      </c>
      <c r="AJ20" s="2">
        <f t="shared" si="18"/>
        <v>10623</v>
      </c>
    </row>
    <row r="21" spans="3:36" x14ac:dyDescent="0.2">
      <c r="O21" s="4" t="s">
        <v>3563</v>
      </c>
      <c r="P21" s="4">
        <v>13365</v>
      </c>
      <c r="Q21" s="4">
        <v>40095</v>
      </c>
      <c r="R21" s="9">
        <f t="shared" si="7"/>
        <v>9.86735246345425E-2</v>
      </c>
      <c r="T21" s="4" t="s">
        <v>3563</v>
      </c>
      <c r="U21" s="4">
        <v>3</v>
      </c>
      <c r="V21" s="9">
        <v>9.86735246345425E-2</v>
      </c>
      <c r="W21" s="37">
        <f t="shared" si="8"/>
        <v>47250.90268002166</v>
      </c>
      <c r="X21" s="2">
        <f t="shared" si="9"/>
        <v>15751</v>
      </c>
      <c r="Y21" s="37">
        <f t="shared" si="10"/>
        <v>47783.542365998917</v>
      </c>
      <c r="Z21" s="2">
        <f t="shared" si="9"/>
        <v>15928</v>
      </c>
      <c r="AA21" s="37">
        <f t="shared" si="11"/>
        <v>48316.280725500808</v>
      </c>
      <c r="AB21" s="2">
        <f t="shared" ref="AB21" si="20">ROUNDUP(AA21/$U21,0)</f>
        <v>16106</v>
      </c>
      <c r="AC21" s="37">
        <f t="shared" si="13"/>
        <v>48848.920411478073</v>
      </c>
      <c r="AD21" s="2">
        <f t="shared" ref="AD21" si="21">ROUNDUP(AC21/$U21,0)</f>
        <v>16283</v>
      </c>
      <c r="AE21" s="37">
        <f t="shared" si="15"/>
        <v>49381.658770979964</v>
      </c>
      <c r="AF21" s="2">
        <f t="shared" ref="AF21" si="22">ROUNDUP(AE21/$U21,0)</f>
        <v>16461</v>
      </c>
      <c r="AG21" s="37">
        <f t="shared" si="17"/>
        <v>49914.298456957229</v>
      </c>
      <c r="AH21" s="2">
        <f t="shared" ref="AH21:AJ21" si="23">ROUNDUP(AG21/$U21,0)</f>
        <v>16639</v>
      </c>
      <c r="AI21" s="37">
        <f t="shared" si="19"/>
        <v>50447.03681645912</v>
      </c>
      <c r="AJ21" s="2">
        <f t="shared" si="23"/>
        <v>16816</v>
      </c>
    </row>
    <row r="22" spans="3:36" x14ac:dyDescent="0.2">
      <c r="O22" s="4" t="s">
        <v>3564</v>
      </c>
      <c r="P22" s="4">
        <v>15543</v>
      </c>
      <c r="Q22" s="4">
        <v>62172</v>
      </c>
      <c r="R22" s="9">
        <f t="shared" si="7"/>
        <v>0.15300487276664862</v>
      </c>
      <c r="T22" s="4" t="s">
        <v>3564</v>
      </c>
      <c r="U22" s="4">
        <v>4</v>
      </c>
      <c r="V22" s="9">
        <v>0.15300487276664862</v>
      </c>
      <c r="W22" s="37">
        <f t="shared" si="8"/>
        <v>73268.066377910131</v>
      </c>
      <c r="X22" s="2">
        <f t="shared" si="9"/>
        <v>18318</v>
      </c>
      <c r="Y22" s="37">
        <f t="shared" si="10"/>
        <v>74093.986681104492</v>
      </c>
      <c r="Z22" s="2">
        <f t="shared" si="9"/>
        <v>18524</v>
      </c>
      <c r="AA22" s="37">
        <f t="shared" si="11"/>
        <v>74920.059989171627</v>
      </c>
      <c r="AB22" s="2">
        <f t="shared" ref="AB22" si="24">ROUNDUP(AA22/$U22,0)</f>
        <v>18731</v>
      </c>
      <c r="AC22" s="37">
        <f t="shared" si="13"/>
        <v>75745.980292366003</v>
      </c>
      <c r="AD22" s="2">
        <f t="shared" ref="AD22" si="25">ROUNDUP(AC22/$U22,0)</f>
        <v>18937</v>
      </c>
      <c r="AE22" s="37">
        <f t="shared" si="15"/>
        <v>76572.053600433137</v>
      </c>
      <c r="AF22" s="2">
        <f t="shared" ref="AF22" si="26">ROUNDUP(AE22/$U22,0)</f>
        <v>19144</v>
      </c>
      <c r="AG22" s="37">
        <f t="shared" si="17"/>
        <v>77397.973903627499</v>
      </c>
      <c r="AH22" s="2">
        <f t="shared" ref="AH22:AJ22" si="27">ROUNDUP(AG22/$U22,0)</f>
        <v>19350</v>
      </c>
      <c r="AI22" s="37">
        <f t="shared" si="19"/>
        <v>78224.047211694633</v>
      </c>
      <c r="AJ22" s="2">
        <f t="shared" si="27"/>
        <v>19557</v>
      </c>
    </row>
    <row r="23" spans="3:36" x14ac:dyDescent="0.2">
      <c r="O23" s="4" t="s">
        <v>3565</v>
      </c>
      <c r="P23" s="4">
        <v>13882</v>
      </c>
      <c r="Q23" s="4">
        <v>69410</v>
      </c>
      <c r="R23" s="9">
        <f t="shared" si="7"/>
        <v>0.17081754195993504</v>
      </c>
      <c r="T23" s="4" t="s">
        <v>3565</v>
      </c>
      <c r="U23" s="4">
        <v>5</v>
      </c>
      <c r="V23" s="9">
        <v>0.17081754195993504</v>
      </c>
      <c r="W23" s="37">
        <f t="shared" si="8"/>
        <v>81797.858960476457</v>
      </c>
      <c r="X23" s="2">
        <f t="shared" si="9"/>
        <v>16360</v>
      </c>
      <c r="Y23" s="37">
        <f t="shared" si="10"/>
        <v>82719.932051976182</v>
      </c>
      <c r="Z23" s="2">
        <f t="shared" si="9"/>
        <v>16544</v>
      </c>
      <c r="AA23" s="37">
        <f t="shared" si="11"/>
        <v>83642.175961017871</v>
      </c>
      <c r="AB23" s="2">
        <f t="shared" ref="AB23" si="28">ROUNDUP(AA23/$U23,0)</f>
        <v>16729</v>
      </c>
      <c r="AC23" s="37">
        <f t="shared" si="13"/>
        <v>84564.249052517596</v>
      </c>
      <c r="AD23" s="2">
        <f t="shared" ref="AD23" si="29">ROUNDUP(AC23/$U23,0)</f>
        <v>16913</v>
      </c>
      <c r="AE23" s="37">
        <f t="shared" si="15"/>
        <v>85486.492961559285</v>
      </c>
      <c r="AF23" s="2">
        <f t="shared" ref="AF23" si="30">ROUNDUP(AE23/$U23,0)</f>
        <v>17098</v>
      </c>
      <c r="AG23" s="37">
        <f t="shared" si="17"/>
        <v>86408.566053059025</v>
      </c>
      <c r="AH23" s="2">
        <f t="shared" ref="AH23:AJ23" si="31">ROUNDUP(AG23/$U23,0)</f>
        <v>17282</v>
      </c>
      <c r="AI23" s="37">
        <f t="shared" si="19"/>
        <v>87330.809962100713</v>
      </c>
      <c r="AJ23" s="2">
        <f t="shared" si="31"/>
        <v>17467</v>
      </c>
    </row>
    <row r="24" spans="3:36" x14ac:dyDescent="0.2">
      <c r="C24" s="24" t="s">
        <v>3576</v>
      </c>
      <c r="D24" s="23">
        <v>6.2893081761006293E-3</v>
      </c>
      <c r="E24">
        <f>+$M$14*D24*0.9636</f>
        <v>594.22606037735852</v>
      </c>
      <c r="F24">
        <f>+E24*4</f>
        <v>2376.9042415094341</v>
      </c>
      <c r="G24">
        <f>ROUNDUP(F24,0)</f>
        <v>2377</v>
      </c>
      <c r="O24" s="4" t="s">
        <v>3566</v>
      </c>
      <c r="P24" s="4">
        <v>9560</v>
      </c>
      <c r="Q24" s="4">
        <v>57360</v>
      </c>
      <c r="R24" s="9">
        <f t="shared" si="7"/>
        <v>0.14116257321454939</v>
      </c>
      <c r="T24" s="4" t="s">
        <v>3566</v>
      </c>
      <c r="U24" s="4">
        <v>6</v>
      </c>
      <c r="V24" s="9">
        <v>0.14116257321454939</v>
      </c>
      <c r="W24" s="37">
        <f t="shared" si="8"/>
        <v>67597.250972092341</v>
      </c>
      <c r="X24" s="2">
        <f t="shared" si="9"/>
        <v>11267</v>
      </c>
      <c r="Y24" s="37">
        <f t="shared" si="10"/>
        <v>68359.246542304478</v>
      </c>
      <c r="Z24" s="2">
        <f t="shared" si="9"/>
        <v>11394</v>
      </c>
      <c r="AA24" s="37">
        <f t="shared" si="11"/>
        <v>69121.383275089829</v>
      </c>
      <c r="AB24" s="2">
        <f t="shared" ref="AB24" si="32">ROUNDUP(AA24/$U24,0)</f>
        <v>11521</v>
      </c>
      <c r="AC24" s="37">
        <f t="shared" si="13"/>
        <v>69883.378845301966</v>
      </c>
      <c r="AD24" s="2">
        <f t="shared" ref="AD24" si="33">ROUNDUP(AC24/$U24,0)</f>
        <v>11648</v>
      </c>
      <c r="AE24" s="37">
        <f t="shared" si="15"/>
        <v>70645.515578087317</v>
      </c>
      <c r="AF24" s="2">
        <f t="shared" ref="AF24" si="34">ROUNDUP(AE24/$U24,0)</f>
        <v>11775</v>
      </c>
      <c r="AG24" s="37">
        <f t="shared" si="17"/>
        <v>71407.511148299454</v>
      </c>
      <c r="AH24" s="2">
        <f t="shared" ref="AH24:AJ24" si="35">ROUNDUP(AG24/$U24,0)</f>
        <v>11902</v>
      </c>
      <c r="AI24" s="37">
        <f t="shared" si="19"/>
        <v>72169.647881084806</v>
      </c>
      <c r="AJ24" s="2">
        <f t="shared" si="35"/>
        <v>12029</v>
      </c>
    </row>
    <row r="25" spans="3:36" x14ac:dyDescent="0.2">
      <c r="C25" s="24" t="s">
        <v>3577</v>
      </c>
      <c r="D25" s="23">
        <v>9.4339622641509441E-2</v>
      </c>
      <c r="E25">
        <f t="shared" ref="E25:E28" si="36">+$M$14*D25*0.9636</f>
        <v>8913.3909056603788</v>
      </c>
      <c r="F25">
        <f>+E25*2</f>
        <v>17826.781811320758</v>
      </c>
      <c r="G25">
        <f t="shared" ref="G25:G28" si="37">ROUNDUP(F25,0)</f>
        <v>17827</v>
      </c>
      <c r="O25" s="4" t="s">
        <v>3567</v>
      </c>
      <c r="P25" s="4">
        <v>6413</v>
      </c>
      <c r="Q25" s="4">
        <v>44891</v>
      </c>
      <c r="R25" s="9">
        <f t="shared" si="7"/>
        <v>0.11047644829453167</v>
      </c>
      <c r="T25" s="4" t="s">
        <v>3567</v>
      </c>
      <c r="U25" s="4">
        <v>7</v>
      </c>
      <c r="V25" s="9">
        <v>0.11047644829453167</v>
      </c>
      <c r="W25" s="37">
        <f t="shared" si="8"/>
        <v>52902.862506767728</v>
      </c>
      <c r="X25" s="2">
        <f t="shared" si="9"/>
        <v>7558</v>
      </c>
      <c r="Y25" s="37">
        <f t="shared" si="10"/>
        <v>53499.214374661613</v>
      </c>
      <c r="Z25" s="2">
        <f t="shared" si="9"/>
        <v>7643</v>
      </c>
      <c r="AA25" s="37">
        <f t="shared" si="11"/>
        <v>54095.676719003786</v>
      </c>
      <c r="AB25" s="2">
        <f t="shared" ref="AB25" si="38">ROUNDUP(AA25/$U25,0)</f>
        <v>7728</v>
      </c>
      <c r="AC25" s="37">
        <f t="shared" si="13"/>
        <v>54692.028586897672</v>
      </c>
      <c r="AD25" s="2">
        <f t="shared" ref="AD25" si="39">ROUNDUP(AC25/$U25,0)</f>
        <v>7814</v>
      </c>
      <c r="AE25" s="37">
        <f t="shared" si="15"/>
        <v>55288.490931239845</v>
      </c>
      <c r="AF25" s="2">
        <f t="shared" ref="AF25" si="40">ROUNDUP(AE25/$U25,0)</f>
        <v>7899</v>
      </c>
      <c r="AG25" s="37">
        <f t="shared" si="17"/>
        <v>55884.84279913373</v>
      </c>
      <c r="AH25" s="2">
        <f t="shared" ref="AH25:AJ25" si="41">ROUNDUP(AG25/$U25,0)</f>
        <v>7984</v>
      </c>
      <c r="AI25" s="37">
        <f t="shared" si="19"/>
        <v>56481.305143475904</v>
      </c>
      <c r="AJ25" s="2">
        <f t="shared" si="41"/>
        <v>8069</v>
      </c>
    </row>
    <row r="26" spans="3:36" x14ac:dyDescent="0.2">
      <c r="C26" s="24" t="s">
        <v>3578</v>
      </c>
      <c r="D26" s="23">
        <v>0.64779874213836475</v>
      </c>
      <c r="E26">
        <f t="shared" si="36"/>
        <v>61205.284218867921</v>
      </c>
      <c r="F26">
        <f>+E26</f>
        <v>61205.284218867921</v>
      </c>
      <c r="G26">
        <f t="shared" si="37"/>
        <v>61206</v>
      </c>
      <c r="O26" s="4" t="s">
        <v>3568</v>
      </c>
      <c r="P26" s="4">
        <v>4120</v>
      </c>
      <c r="Q26" s="4">
        <v>32960</v>
      </c>
      <c r="R26" s="9">
        <f t="shared" si="7"/>
        <v>8.1114337746714574E-2</v>
      </c>
      <c r="T26" s="4" t="s">
        <v>3568</v>
      </c>
      <c r="U26" s="4">
        <v>8</v>
      </c>
      <c r="V26" s="9">
        <v>8.1114337746714574E-2</v>
      </c>
      <c r="W26" s="37">
        <f t="shared" si="8"/>
        <v>38842.492887729488</v>
      </c>
      <c r="X26" s="2">
        <f t="shared" si="9"/>
        <v>4856</v>
      </c>
      <c r="Y26" s="37">
        <f t="shared" si="10"/>
        <v>39280.348082886252</v>
      </c>
      <c r="Z26" s="2">
        <f t="shared" si="9"/>
        <v>4911</v>
      </c>
      <c r="AA26" s="37">
        <f t="shared" si="11"/>
        <v>39718.284392380767</v>
      </c>
      <c r="AB26" s="2">
        <f t="shared" ref="AB26" si="42">ROUNDUP(AA26/$U26,0)</f>
        <v>4965</v>
      </c>
      <c r="AC26" s="37">
        <f t="shared" si="13"/>
        <v>40156.139587537531</v>
      </c>
      <c r="AD26" s="2">
        <f t="shared" ref="AD26" si="43">ROUNDUP(AC26/$U26,0)</f>
        <v>5020</v>
      </c>
      <c r="AE26" s="37">
        <f t="shared" si="15"/>
        <v>40594.075897032038</v>
      </c>
      <c r="AF26" s="2">
        <f t="shared" ref="AF26" si="44">ROUNDUP(AE26/$U26,0)</f>
        <v>5075</v>
      </c>
      <c r="AG26" s="37">
        <f t="shared" si="17"/>
        <v>41031.93109218881</v>
      </c>
      <c r="AH26" s="2">
        <f t="shared" ref="AH26:AJ26" si="45">ROUNDUP(AG26/$U26,0)</f>
        <v>5129</v>
      </c>
      <c r="AI26" s="37">
        <f t="shared" si="19"/>
        <v>41469.867401683317</v>
      </c>
      <c r="AJ26" s="2">
        <f t="shared" si="45"/>
        <v>5184</v>
      </c>
    </row>
    <row r="27" spans="3:36" x14ac:dyDescent="0.2">
      <c r="C27" s="24" t="s">
        <v>3579</v>
      </c>
      <c r="D27" s="23">
        <v>0.1069182389937107</v>
      </c>
      <c r="E27">
        <f t="shared" si="36"/>
        <v>10101.843026415094</v>
      </c>
      <c r="F27">
        <f>+E27/2</f>
        <v>5050.9215132075469</v>
      </c>
      <c r="G27">
        <f t="shared" si="37"/>
        <v>5051</v>
      </c>
      <c r="O27" s="4" t="s">
        <v>3569</v>
      </c>
      <c r="P27" s="4">
        <v>2637</v>
      </c>
      <c r="Q27" s="4">
        <v>23733</v>
      </c>
      <c r="R27" s="9">
        <f t="shared" si="7"/>
        <v>5.8406752965496876E-2</v>
      </c>
      <c r="T27" s="4" t="s">
        <v>3569</v>
      </c>
      <c r="U27" s="4">
        <v>9</v>
      </c>
      <c r="V27" s="9">
        <v>5.8406752965496876E-2</v>
      </c>
      <c r="W27" s="37">
        <f t="shared" si="8"/>
        <v>27968.716131810801</v>
      </c>
      <c r="X27" s="2">
        <f t="shared" si="9"/>
        <v>3108</v>
      </c>
      <c r="Y27" s="37">
        <f t="shared" si="10"/>
        <v>28283.995784318551</v>
      </c>
      <c r="Z27" s="2">
        <f t="shared" si="9"/>
        <v>3143</v>
      </c>
      <c r="AA27" s="37">
        <f t="shared" si="11"/>
        <v>28599.333843579268</v>
      </c>
      <c r="AB27" s="2">
        <f t="shared" ref="AB27" si="46">ROUNDUP(AA27/$U27,0)</f>
        <v>3178</v>
      </c>
      <c r="AC27" s="37">
        <f t="shared" si="13"/>
        <v>28914.613496087022</v>
      </c>
      <c r="AD27" s="2">
        <f t="shared" ref="AD27" si="47">ROUNDUP(AC27/$U27,0)</f>
        <v>3213</v>
      </c>
      <c r="AE27" s="37">
        <f t="shared" si="15"/>
        <v>29229.951555347739</v>
      </c>
      <c r="AF27" s="2">
        <f t="shared" ref="AF27" si="48">ROUNDUP(AE27/$U27,0)</f>
        <v>3248</v>
      </c>
      <c r="AG27" s="37">
        <f t="shared" si="17"/>
        <v>29545.23120785549</v>
      </c>
      <c r="AH27" s="2">
        <f t="shared" ref="AH27:AJ27" si="49">ROUNDUP(AG27/$U27,0)</f>
        <v>3283</v>
      </c>
      <c r="AI27" s="37">
        <f t="shared" si="19"/>
        <v>29860.569267116211</v>
      </c>
      <c r="AJ27" s="2">
        <f t="shared" si="49"/>
        <v>3318</v>
      </c>
    </row>
    <row r="28" spans="3:36" x14ac:dyDescent="0.2">
      <c r="C28" s="25" t="s">
        <v>3580</v>
      </c>
      <c r="D28" s="23">
        <v>0.14465408805031446</v>
      </c>
      <c r="E28">
        <f t="shared" si="36"/>
        <v>13667.199388679246</v>
      </c>
      <c r="F28">
        <f>+E28/1.5</f>
        <v>9111.4662591194974</v>
      </c>
      <c r="G28">
        <f t="shared" si="37"/>
        <v>9112</v>
      </c>
      <c r="O28" s="4" t="s">
        <v>3570</v>
      </c>
      <c r="P28" s="4">
        <v>2053</v>
      </c>
      <c r="Q28" s="4">
        <v>20530</v>
      </c>
      <c r="R28" s="9">
        <f t="shared" si="7"/>
        <v>5.0524191563715112E-2</v>
      </c>
      <c r="T28" s="4" t="s">
        <v>3570</v>
      </c>
      <c r="U28" s="4">
        <v>10</v>
      </c>
      <c r="V28" s="9">
        <v>5.0524191563715112E-2</v>
      </c>
      <c r="W28" s="37">
        <f t="shared" si="8"/>
        <v>24194.064896392181</v>
      </c>
      <c r="X28" s="2">
        <f t="shared" si="9"/>
        <v>2420</v>
      </c>
      <c r="Y28" s="37">
        <f t="shared" si="10"/>
        <v>24466.794482453115</v>
      </c>
      <c r="Z28" s="2">
        <f t="shared" si="9"/>
        <v>2447</v>
      </c>
      <c r="AA28" s="37">
        <f t="shared" si="11"/>
        <v>24739.574592705616</v>
      </c>
      <c r="AB28" s="2">
        <f t="shared" ref="AB28" si="50">ROUNDUP(AA28/$U28,0)</f>
        <v>2474</v>
      </c>
      <c r="AC28" s="37">
        <f t="shared" si="13"/>
        <v>25012.30417876655</v>
      </c>
      <c r="AD28" s="2">
        <f t="shared" ref="AD28" si="51">ROUNDUP(AC28/$U28,0)</f>
        <v>2502</v>
      </c>
      <c r="AE28" s="37">
        <f t="shared" si="15"/>
        <v>25285.084289019047</v>
      </c>
      <c r="AF28" s="2">
        <f t="shared" ref="AF28" si="52">ROUNDUP(AE28/$U28,0)</f>
        <v>2529</v>
      </c>
      <c r="AG28" s="37">
        <f t="shared" si="17"/>
        <v>25557.813875079981</v>
      </c>
      <c r="AH28" s="2">
        <f t="shared" ref="AH28:AJ28" si="53">ROUNDUP(AG28/$U28,0)</f>
        <v>2556</v>
      </c>
      <c r="AI28" s="37">
        <f t="shared" si="19"/>
        <v>25830.593985332478</v>
      </c>
      <c r="AJ28" s="2">
        <f t="shared" si="53"/>
        <v>2584</v>
      </c>
    </row>
    <row r="29" spans="3:36" x14ac:dyDescent="0.2">
      <c r="O29" s="4" t="s">
        <v>3571</v>
      </c>
      <c r="P29" s="4">
        <v>2167</v>
      </c>
      <c r="Q29" s="30">
        <v>32079</v>
      </c>
      <c r="R29" s="9">
        <f t="shared" si="7"/>
        <v>7.894620268740464E-2</v>
      </c>
      <c r="T29" s="4" t="s">
        <v>3571</v>
      </c>
      <c r="U29" s="34">
        <f>+Q29/P29</f>
        <v>14.803414859252422</v>
      </c>
      <c r="V29" s="9">
        <v>7.894620268740464E-2</v>
      </c>
      <c r="W29" s="37">
        <f t="shared" si="8"/>
        <v>37804.25756509327</v>
      </c>
      <c r="X29" s="2">
        <f t="shared" si="9"/>
        <v>2554</v>
      </c>
      <c r="Y29" s="37">
        <f t="shared" si="10"/>
        <v>38230.409167199883</v>
      </c>
      <c r="Z29" s="2">
        <f t="shared" si="9"/>
        <v>2583</v>
      </c>
      <c r="AA29" s="37">
        <f t="shared" si="11"/>
        <v>38656.639715509184</v>
      </c>
      <c r="AB29" s="2">
        <f t="shared" ref="AB29" si="54">ROUNDUP(AA29/$U29,0)</f>
        <v>2612</v>
      </c>
      <c r="AC29" s="37">
        <f t="shared" si="13"/>
        <v>39082.791317615789</v>
      </c>
      <c r="AD29" s="2">
        <f t="shared" ref="AD29" si="55">ROUNDUP(AC29/$U29,0)</f>
        <v>2641</v>
      </c>
      <c r="AE29" s="37">
        <f t="shared" si="15"/>
        <v>39509.02186592509</v>
      </c>
      <c r="AF29" s="2">
        <f t="shared" ref="AF29" si="56">ROUNDUP(AE29/$U29,0)</f>
        <v>2669</v>
      </c>
      <c r="AG29" s="37">
        <f t="shared" si="17"/>
        <v>39935.173468031702</v>
      </c>
      <c r="AH29" s="2">
        <f t="shared" ref="AH29:AJ29" si="57">ROUNDUP(AG29/$U29,0)</f>
        <v>2698</v>
      </c>
      <c r="AI29" s="37">
        <f t="shared" si="19"/>
        <v>40361.404016340995</v>
      </c>
      <c r="AJ29" s="2">
        <f t="shared" si="57"/>
        <v>2727</v>
      </c>
    </row>
    <row r="30" spans="3:36" x14ac:dyDescent="0.2">
      <c r="O30" s="19" t="s">
        <v>3572</v>
      </c>
      <c r="P30" s="31">
        <f>+SUM(P19:P29)</f>
        <v>84407</v>
      </c>
      <c r="Q30" s="31">
        <f>+SUM(Q19:Q29)</f>
        <v>406340</v>
      </c>
      <c r="R30" s="32">
        <f>+SUM(R19:R29)</f>
        <v>1</v>
      </c>
      <c r="T30" s="298" t="s">
        <v>3572</v>
      </c>
      <c r="U30" s="299"/>
      <c r="V30" s="33">
        <v>1</v>
      </c>
      <c r="W30" s="35">
        <v>478861</v>
      </c>
      <c r="X30" s="36">
        <f>+SUM(X19:X29)</f>
        <v>99477</v>
      </c>
      <c r="Y30" s="35">
        <v>484259</v>
      </c>
      <c r="Z30" s="36">
        <f>+SUM(Z19:Z29)</f>
        <v>100598</v>
      </c>
      <c r="AA30" s="35">
        <v>489658</v>
      </c>
      <c r="AB30" s="36">
        <f>+SUM(AB19:AB29)</f>
        <v>101720</v>
      </c>
      <c r="AC30" s="35">
        <v>495056</v>
      </c>
      <c r="AD30" s="36">
        <f>+SUM(AD19:AD29)</f>
        <v>102841</v>
      </c>
      <c r="AE30" s="35">
        <v>500455</v>
      </c>
      <c r="AF30" s="36">
        <f>+SUM(AF19:AF29)</f>
        <v>103963</v>
      </c>
      <c r="AG30" s="35">
        <v>505853</v>
      </c>
      <c r="AH30" s="36">
        <f>+SUM(AH19:AH29)</f>
        <v>105083</v>
      </c>
      <c r="AI30" s="35">
        <v>511252</v>
      </c>
      <c r="AJ30" s="36">
        <f>+SUM(AJ19:AJ29)</f>
        <v>106205</v>
      </c>
    </row>
  </sheetData>
  <mergeCells count="29">
    <mergeCell ref="T30:U30"/>
    <mergeCell ref="AE16:AF16"/>
    <mergeCell ref="AE17:AE18"/>
    <mergeCell ref="AF17:AF18"/>
    <mergeCell ref="AG16:AH16"/>
    <mergeCell ref="AG17:AG18"/>
    <mergeCell ref="AH17:AH18"/>
    <mergeCell ref="AA16:AB16"/>
    <mergeCell ref="AA17:AA18"/>
    <mergeCell ref="AB17:AB18"/>
    <mergeCell ref="AC16:AD16"/>
    <mergeCell ref="AC17:AC18"/>
    <mergeCell ref="AD17:AD18"/>
    <mergeCell ref="W17:W18"/>
    <mergeCell ref="X17:X18"/>
    <mergeCell ref="W16:X16"/>
    <mergeCell ref="AI16:AJ16"/>
    <mergeCell ref="AI17:AI18"/>
    <mergeCell ref="AJ17:AJ18"/>
    <mergeCell ref="P17:P18"/>
    <mergeCell ref="O17:O18"/>
    <mergeCell ref="V16:V18"/>
    <mergeCell ref="T16:T18"/>
    <mergeCell ref="U16:U18"/>
    <mergeCell ref="Y16:Z16"/>
    <mergeCell ref="Y17:Y18"/>
    <mergeCell ref="Z17:Z18"/>
    <mergeCell ref="R17:R18"/>
    <mergeCell ref="Q17:Q18"/>
  </mergeCells>
  <pageMargins left="0.7" right="0.7" top="0.75" bottom="0.75" header="0.3" footer="0.3"/>
  <ignoredErrors>
    <ignoredError sqref="Y19:Y29 AA19:AA29 AC19:AC29 AE19:AE29 AG19:AG29 AI19:AI29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P45"/>
  <sheetViews>
    <sheetView showGridLines="0" topLeftCell="X1" workbookViewId="0">
      <selection activeCell="AP8" sqref="AP8"/>
    </sheetView>
  </sheetViews>
  <sheetFormatPr baseColWidth="10" defaultRowHeight="16" x14ac:dyDescent="0.2"/>
  <cols>
    <col min="2" max="2" width="18.33203125" bestFit="1" customWidth="1"/>
    <col min="16" max="16" width="14.5" customWidth="1"/>
    <col min="17" max="17" width="8.33203125" customWidth="1"/>
    <col min="18" max="18" width="7.5" customWidth="1"/>
    <col min="19" max="19" width="8.33203125" customWidth="1"/>
    <col min="20" max="21" width="9.1640625" customWidth="1"/>
    <col min="22" max="33" width="10" customWidth="1"/>
    <col min="35" max="35" width="25.1640625" bestFit="1" customWidth="1"/>
  </cols>
  <sheetData>
    <row r="2" spans="2:42" x14ac:dyDescent="0.2">
      <c r="C2" s="42">
        <v>2016</v>
      </c>
      <c r="D2" s="41">
        <v>2017</v>
      </c>
      <c r="E2" s="41">
        <v>2018</v>
      </c>
      <c r="F2" s="41">
        <v>2019</v>
      </c>
      <c r="G2" s="41">
        <v>2020</v>
      </c>
      <c r="H2" s="41">
        <v>2021</v>
      </c>
      <c r="I2" s="42">
        <v>2022</v>
      </c>
      <c r="K2" s="4" t="s">
        <v>3623</v>
      </c>
      <c r="L2" s="4" t="s">
        <v>3624</v>
      </c>
      <c r="M2" s="4" t="s">
        <v>3625</v>
      </c>
      <c r="N2" s="4" t="s">
        <v>3626</v>
      </c>
      <c r="O2" s="24"/>
    </row>
    <row r="3" spans="2:42" x14ac:dyDescent="0.2">
      <c r="B3" s="42" t="s">
        <v>3619</v>
      </c>
      <c r="C3" s="48">
        <v>99477</v>
      </c>
      <c r="D3" s="48">
        <v>100598</v>
      </c>
      <c r="E3" s="48">
        <v>101720</v>
      </c>
      <c r="F3" s="48">
        <v>102841</v>
      </c>
      <c r="G3" s="48">
        <v>103963</v>
      </c>
      <c r="H3" s="48">
        <v>105083</v>
      </c>
      <c r="I3" s="48">
        <v>106205</v>
      </c>
      <c r="K3" s="39">
        <v>0.1393939393939394</v>
      </c>
      <c r="L3" s="39">
        <v>0.32727272727272727</v>
      </c>
      <c r="M3" s="39">
        <v>0.25454545454545452</v>
      </c>
      <c r="N3" s="39">
        <v>0.27878787878787875</v>
      </c>
      <c r="O3" s="53"/>
    </row>
    <row r="4" spans="2:42" ht="16" customHeight="1" x14ac:dyDescent="0.2">
      <c r="B4" s="47">
        <v>0.96360000000000001</v>
      </c>
      <c r="C4" s="36">
        <f>ROUNDUP(C3*0.9636,0)</f>
        <v>95857</v>
      </c>
      <c r="D4" s="36">
        <f t="shared" ref="D4:I4" si="0">ROUNDUP(D3*0.9636,0)</f>
        <v>96937</v>
      </c>
      <c r="E4" s="36">
        <f t="shared" si="0"/>
        <v>98018</v>
      </c>
      <c r="F4" s="36">
        <f t="shared" si="0"/>
        <v>99098</v>
      </c>
      <c r="G4" s="36">
        <f t="shared" si="0"/>
        <v>100179</v>
      </c>
      <c r="H4" s="36">
        <f t="shared" si="0"/>
        <v>101258</v>
      </c>
      <c r="I4" s="36">
        <f t="shared" si="0"/>
        <v>102340</v>
      </c>
      <c r="P4" s="304" t="s">
        <v>3631</v>
      </c>
      <c r="Q4" s="301" t="s">
        <v>3620</v>
      </c>
      <c r="R4" s="307" t="s">
        <v>3547</v>
      </c>
      <c r="S4" s="290" t="s">
        <v>3634</v>
      </c>
      <c r="T4" s="295">
        <v>2016</v>
      </c>
      <c r="U4" s="295"/>
      <c r="V4" s="295">
        <v>2017</v>
      </c>
      <c r="W4" s="295"/>
      <c r="X4" s="295">
        <v>2018</v>
      </c>
      <c r="Y4" s="295"/>
      <c r="Z4" s="295">
        <v>2019</v>
      </c>
      <c r="AA4" s="295"/>
      <c r="AB4" s="295">
        <v>2020</v>
      </c>
      <c r="AC4" s="295"/>
      <c r="AD4" s="295">
        <v>2021</v>
      </c>
      <c r="AE4" s="295"/>
      <c r="AF4" s="295">
        <v>2022</v>
      </c>
      <c r="AG4" s="295"/>
    </row>
    <row r="5" spans="2:42" ht="16" customHeight="1" x14ac:dyDescent="0.2">
      <c r="P5" s="305"/>
      <c r="Q5" s="302"/>
      <c r="R5" s="308"/>
      <c r="S5" s="290"/>
      <c r="T5" s="296" t="s">
        <v>3619</v>
      </c>
      <c r="U5" s="296" t="s">
        <v>3632</v>
      </c>
      <c r="V5" s="296" t="s">
        <v>3619</v>
      </c>
      <c r="W5" s="296" t="s">
        <v>3632</v>
      </c>
      <c r="X5" s="296" t="s">
        <v>3619</v>
      </c>
      <c r="Y5" s="296" t="s">
        <v>3632</v>
      </c>
      <c r="Z5" s="296" t="s">
        <v>3619</v>
      </c>
      <c r="AA5" s="296" t="s">
        <v>3632</v>
      </c>
      <c r="AB5" s="296" t="s">
        <v>3619</v>
      </c>
      <c r="AC5" s="296" t="s">
        <v>3632</v>
      </c>
      <c r="AD5" s="296" t="s">
        <v>3619</v>
      </c>
      <c r="AE5" s="296" t="s">
        <v>3632</v>
      </c>
      <c r="AF5" s="296" t="s">
        <v>3619</v>
      </c>
      <c r="AG5" s="296" t="s">
        <v>3632</v>
      </c>
      <c r="AJ5" s="38">
        <v>2016</v>
      </c>
      <c r="AK5" s="38">
        <v>2017</v>
      </c>
      <c r="AL5" s="38">
        <v>2018</v>
      </c>
      <c r="AM5" s="38">
        <v>2019</v>
      </c>
      <c r="AN5" s="38">
        <v>2020</v>
      </c>
      <c r="AO5" s="38">
        <v>2021</v>
      </c>
      <c r="AP5" s="129">
        <v>2022</v>
      </c>
    </row>
    <row r="6" spans="2:42" x14ac:dyDescent="0.2">
      <c r="B6" s="289" t="s">
        <v>3622</v>
      </c>
      <c r="C6" s="289">
        <v>2016</v>
      </c>
      <c r="D6" s="289">
        <v>2017</v>
      </c>
      <c r="E6" s="289">
        <v>2018</v>
      </c>
      <c r="F6" s="289">
        <v>2019</v>
      </c>
      <c r="G6" s="289">
        <v>2020</v>
      </c>
      <c r="H6" s="289">
        <v>2021</v>
      </c>
      <c r="I6" s="289">
        <v>2022</v>
      </c>
      <c r="P6" s="306"/>
      <c r="Q6" s="303"/>
      <c r="R6" s="309"/>
      <c r="S6" s="290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I6" s="55" t="s">
        <v>3649</v>
      </c>
      <c r="AJ6" s="48">
        <f>+U16*12</f>
        <v>1243776</v>
      </c>
      <c r="AK6" s="48">
        <f>+W16*12</f>
        <v>1257780</v>
      </c>
      <c r="AL6" s="48">
        <f>+Y16*12</f>
        <v>1271796</v>
      </c>
      <c r="AM6" s="48">
        <f>+AA16*12</f>
        <v>1285836</v>
      </c>
      <c r="AN6" s="48">
        <f>+AC16*12</f>
        <v>1299864</v>
      </c>
      <c r="AO6" s="48">
        <f>+AE16*12</f>
        <v>1313856</v>
      </c>
      <c r="AP6" s="48">
        <f>+AG16*12</f>
        <v>1327896</v>
      </c>
    </row>
    <row r="7" spans="2:42" x14ac:dyDescent="0.2">
      <c r="B7" s="289"/>
      <c r="C7" s="289"/>
      <c r="D7" s="289"/>
      <c r="E7" s="289"/>
      <c r="F7" s="289"/>
      <c r="G7" s="289"/>
      <c r="H7" s="289"/>
      <c r="I7" s="289"/>
      <c r="P7" s="31" t="s">
        <v>3576</v>
      </c>
      <c r="Q7" s="4">
        <v>1</v>
      </c>
      <c r="R7" s="49">
        <f>+Q7/159</f>
        <v>6.2893081761006293E-3</v>
      </c>
      <c r="S7" s="4">
        <f>28/7</f>
        <v>4</v>
      </c>
      <c r="T7" s="51">
        <f>+$C$4*R7</f>
        <v>602.87421383647802</v>
      </c>
      <c r="U7" s="48">
        <f>ROUNDUP(T7*$S7,0)</f>
        <v>2412</v>
      </c>
      <c r="V7" s="51">
        <f>+$D$4*R7</f>
        <v>609.66666666666674</v>
      </c>
      <c r="W7" s="48">
        <f>ROUNDUP(V7*$S7,0)</f>
        <v>2439</v>
      </c>
      <c r="X7" s="51">
        <f>+$E$4*R7</f>
        <v>616.46540880503153</v>
      </c>
      <c r="Y7" s="48">
        <f>ROUNDUP(X7*$S7,0)</f>
        <v>2466</v>
      </c>
      <c r="Z7" s="51">
        <f>+$F$4*R7</f>
        <v>623.25786163522014</v>
      </c>
      <c r="AA7" s="48">
        <f>ROUNDUP(Z7*$S7,0)</f>
        <v>2494</v>
      </c>
      <c r="AB7" s="51">
        <f>+$G$4*R7</f>
        <v>630.05660377358492</v>
      </c>
      <c r="AC7" s="48">
        <f>ROUNDUP(AB7*$S7,0)</f>
        <v>2521</v>
      </c>
      <c r="AD7" s="51">
        <f>+$H$4*R7</f>
        <v>636.84276729559747</v>
      </c>
      <c r="AE7" s="48">
        <f>ROUNDUP(AD7*$S7,0)</f>
        <v>2548</v>
      </c>
      <c r="AF7" s="51">
        <f>+$I$4*R7</f>
        <v>643.64779874213843</v>
      </c>
      <c r="AG7" s="48">
        <f>ROUNDUP(AF7*$S7,0)</f>
        <v>2575</v>
      </c>
      <c r="AI7" s="55" t="s">
        <v>3650</v>
      </c>
      <c r="AJ7" s="48">
        <f>+$T$44*12</f>
        <v>150648</v>
      </c>
      <c r="AK7" s="48">
        <f t="shared" ref="AK7:AP7" si="1">+$T$44*12</f>
        <v>150648</v>
      </c>
      <c r="AL7" s="48">
        <f t="shared" si="1"/>
        <v>150648</v>
      </c>
      <c r="AM7" s="48">
        <f t="shared" si="1"/>
        <v>150648</v>
      </c>
      <c r="AN7" s="48">
        <f t="shared" si="1"/>
        <v>150648</v>
      </c>
      <c r="AO7" s="48">
        <f t="shared" si="1"/>
        <v>150648</v>
      </c>
      <c r="AP7" s="48">
        <f t="shared" si="1"/>
        <v>150648</v>
      </c>
    </row>
    <row r="8" spans="2:42" x14ac:dyDescent="0.2">
      <c r="B8" s="4" t="s">
        <v>3623</v>
      </c>
      <c r="C8" s="4">
        <f t="shared" ref="C8:I8" si="2">+C3*$K$3</f>
        <v>13866.49090909091</v>
      </c>
      <c r="D8" s="4">
        <f t="shared" si="2"/>
        <v>14022.751515151516</v>
      </c>
      <c r="E8" s="4">
        <f t="shared" si="2"/>
        <v>14179.151515151516</v>
      </c>
      <c r="F8" s="4">
        <f t="shared" si="2"/>
        <v>14335.412121212123</v>
      </c>
      <c r="G8" s="4">
        <f t="shared" si="2"/>
        <v>14491.812121212122</v>
      </c>
      <c r="H8" s="4">
        <f t="shared" si="2"/>
        <v>14647.933333333334</v>
      </c>
      <c r="I8" s="4">
        <f t="shared" si="2"/>
        <v>14804.333333333334</v>
      </c>
      <c r="P8" s="31" t="s">
        <v>3577</v>
      </c>
      <c r="Q8" s="4">
        <v>15</v>
      </c>
      <c r="R8" s="49">
        <f t="shared" ref="R8:R15" si="3">+Q8/159</f>
        <v>9.4339622641509441E-2</v>
      </c>
      <c r="S8" s="4">
        <f>30/15</f>
        <v>2</v>
      </c>
      <c r="T8" s="51">
        <f t="shared" ref="T8:T15" si="4">+$C$4*R8</f>
        <v>9043.1132075471705</v>
      </c>
      <c r="U8" s="48">
        <f t="shared" ref="U8:U15" si="5">ROUNDUP(T8*$S8,0)</f>
        <v>18087</v>
      </c>
      <c r="V8" s="51">
        <f t="shared" ref="V8:V15" si="6">+$D$4*R8</f>
        <v>9145</v>
      </c>
      <c r="W8" s="48">
        <f t="shared" ref="W8:Y15" si="7">ROUNDUP(V8*$S8,0)</f>
        <v>18290</v>
      </c>
      <c r="X8" s="51">
        <f t="shared" ref="X8:X15" si="8">+$E$4*R8</f>
        <v>9246.9811320754725</v>
      </c>
      <c r="Y8" s="48">
        <f t="shared" si="7"/>
        <v>18494</v>
      </c>
      <c r="Z8" s="51">
        <f t="shared" ref="Z8:Z15" si="9">+$F$4*R8</f>
        <v>9348.867924528302</v>
      </c>
      <c r="AA8" s="48">
        <f t="shared" ref="AA8:AC8" si="10">ROUNDUP(Z8*$S8,0)</f>
        <v>18698</v>
      </c>
      <c r="AB8" s="51">
        <f t="shared" ref="AB8:AB15" si="11">+$G$4*R8</f>
        <v>9450.8490566037744</v>
      </c>
      <c r="AC8" s="48">
        <f t="shared" si="10"/>
        <v>18902</v>
      </c>
      <c r="AD8" s="51">
        <f t="shared" ref="AD8:AD15" si="12">+$H$4*R8</f>
        <v>9552.6415094339627</v>
      </c>
      <c r="AE8" s="48">
        <f t="shared" ref="AE8" si="13">ROUNDUP(AD8*$S8,0)</f>
        <v>19106</v>
      </c>
      <c r="AF8" s="51">
        <f t="shared" ref="AF8:AF15" si="14">+$I$4*R8</f>
        <v>9654.7169811320764</v>
      </c>
      <c r="AG8" s="48">
        <f t="shared" ref="AG8:AG10" si="15">ROUNDUP(AF8*$S8,0)</f>
        <v>19310</v>
      </c>
      <c r="AI8" s="55" t="s">
        <v>3651</v>
      </c>
      <c r="AJ8" s="36">
        <f>+AJ7+AJ6</f>
        <v>1394424</v>
      </c>
      <c r="AK8" s="36">
        <f t="shared" ref="AK8:AO8" si="16">+AK7+AK6</f>
        <v>1408428</v>
      </c>
      <c r="AL8" s="36">
        <f t="shared" si="16"/>
        <v>1422444</v>
      </c>
      <c r="AM8" s="36">
        <f t="shared" si="16"/>
        <v>1436484</v>
      </c>
      <c r="AN8" s="36">
        <f t="shared" si="16"/>
        <v>1450512</v>
      </c>
      <c r="AO8" s="36">
        <f t="shared" si="16"/>
        <v>1464504</v>
      </c>
      <c r="AP8" s="36">
        <f t="shared" ref="AP8" si="17">+AP7+AP6</f>
        <v>1478544</v>
      </c>
    </row>
    <row r="9" spans="2:42" x14ac:dyDescent="0.2">
      <c r="B9" s="4" t="s">
        <v>3624</v>
      </c>
      <c r="C9" s="4">
        <f t="shared" ref="C9:I9" si="18">+C3*$L$3</f>
        <v>32556.109090909089</v>
      </c>
      <c r="D9" s="4">
        <f t="shared" si="18"/>
        <v>32922.981818181819</v>
      </c>
      <c r="E9" s="4">
        <f t="shared" si="18"/>
        <v>33290.181818181816</v>
      </c>
      <c r="F9" s="4">
        <f t="shared" si="18"/>
        <v>33657.054545454543</v>
      </c>
      <c r="G9" s="4">
        <f t="shared" si="18"/>
        <v>34024.254545454547</v>
      </c>
      <c r="H9" s="4">
        <f t="shared" si="18"/>
        <v>34390.800000000003</v>
      </c>
      <c r="I9" s="4">
        <f t="shared" si="18"/>
        <v>34758</v>
      </c>
      <c r="P9" s="31" t="s">
        <v>3578</v>
      </c>
      <c r="Q9" s="4">
        <v>103</v>
      </c>
      <c r="R9" s="49">
        <f t="shared" si="3"/>
        <v>0.64779874213836475</v>
      </c>
      <c r="S9" s="4">
        <f>30/30</f>
        <v>1</v>
      </c>
      <c r="T9" s="51">
        <f t="shared" si="4"/>
        <v>62096.044025157229</v>
      </c>
      <c r="U9" s="48">
        <f t="shared" si="5"/>
        <v>62097</v>
      </c>
      <c r="V9" s="51">
        <f t="shared" si="6"/>
        <v>62795.666666666664</v>
      </c>
      <c r="W9" s="48">
        <f t="shared" si="7"/>
        <v>62796</v>
      </c>
      <c r="X9" s="51">
        <f t="shared" si="8"/>
        <v>63495.937106918238</v>
      </c>
      <c r="Y9" s="48">
        <f t="shared" si="7"/>
        <v>63496</v>
      </c>
      <c r="Z9" s="51">
        <f t="shared" si="9"/>
        <v>64195.559748427673</v>
      </c>
      <c r="AA9" s="48">
        <f t="shared" ref="AA9:AC9" si="19">ROUNDUP(Z9*$S9,0)</f>
        <v>64196</v>
      </c>
      <c r="AB9" s="51">
        <f t="shared" si="11"/>
        <v>64895.83018867924</v>
      </c>
      <c r="AC9" s="48">
        <f t="shared" si="19"/>
        <v>64896</v>
      </c>
      <c r="AD9" s="51">
        <f t="shared" si="12"/>
        <v>65594.805031446536</v>
      </c>
      <c r="AE9" s="48">
        <f t="shared" ref="AE9" si="20">ROUNDUP(AD9*$S9,0)</f>
        <v>65595</v>
      </c>
      <c r="AF9" s="51">
        <f t="shared" si="14"/>
        <v>66295.723270440241</v>
      </c>
      <c r="AG9" s="48">
        <f t="shared" si="15"/>
        <v>66296</v>
      </c>
    </row>
    <row r="10" spans="2:42" x14ac:dyDescent="0.2">
      <c r="B10" s="4" t="s">
        <v>3625</v>
      </c>
      <c r="C10" s="4">
        <f t="shared" ref="C10:I10" si="21">+C3*$M$3</f>
        <v>25321.418181818179</v>
      </c>
      <c r="D10" s="4">
        <f t="shared" si="21"/>
        <v>25606.763636363634</v>
      </c>
      <c r="E10" s="4">
        <f t="shared" si="21"/>
        <v>25892.363636363632</v>
      </c>
      <c r="F10" s="4">
        <f t="shared" si="21"/>
        <v>26177.709090909088</v>
      </c>
      <c r="G10" s="4">
        <f t="shared" si="21"/>
        <v>26463.30909090909</v>
      </c>
      <c r="H10" s="4">
        <f t="shared" si="21"/>
        <v>26748.399999999998</v>
      </c>
      <c r="I10" s="4">
        <f t="shared" si="21"/>
        <v>27033.999999999996</v>
      </c>
      <c r="P10" s="45" t="s">
        <v>3579</v>
      </c>
      <c r="Q10" s="26">
        <v>17</v>
      </c>
      <c r="R10" s="50">
        <f t="shared" si="3"/>
        <v>0.1069182389937107</v>
      </c>
      <c r="S10" s="4">
        <f>30/60</f>
        <v>0.5</v>
      </c>
      <c r="T10" s="51">
        <f t="shared" si="4"/>
        <v>10248.861635220126</v>
      </c>
      <c r="U10" s="48">
        <f t="shared" si="5"/>
        <v>5125</v>
      </c>
      <c r="V10" s="51">
        <f t="shared" si="6"/>
        <v>10364.333333333334</v>
      </c>
      <c r="W10" s="48">
        <f t="shared" si="7"/>
        <v>5183</v>
      </c>
      <c r="X10" s="51">
        <f t="shared" si="8"/>
        <v>10479.911949685535</v>
      </c>
      <c r="Y10" s="48">
        <f t="shared" si="7"/>
        <v>5240</v>
      </c>
      <c r="Z10" s="51">
        <f t="shared" si="9"/>
        <v>10595.383647798742</v>
      </c>
      <c r="AA10" s="48">
        <f t="shared" ref="AA10:AC10" si="22">ROUNDUP(Z10*$S10,0)</f>
        <v>5298</v>
      </c>
      <c r="AB10" s="51">
        <f t="shared" si="11"/>
        <v>10710.962264150943</v>
      </c>
      <c r="AC10" s="48">
        <f t="shared" si="22"/>
        <v>5356</v>
      </c>
      <c r="AD10" s="51">
        <f t="shared" si="12"/>
        <v>10826.327044025158</v>
      </c>
      <c r="AE10" s="48">
        <f t="shared" ref="AE10" si="23">ROUNDUP(AD10*$S10,0)</f>
        <v>5414</v>
      </c>
      <c r="AF10" s="51">
        <f t="shared" si="14"/>
        <v>10942.012578616353</v>
      </c>
      <c r="AG10" s="48">
        <f t="shared" si="15"/>
        <v>5472</v>
      </c>
    </row>
    <row r="11" spans="2:42" x14ac:dyDescent="0.2">
      <c r="B11" s="4" t="s">
        <v>3626</v>
      </c>
      <c r="C11" s="4">
        <f t="shared" ref="C11:I11" si="24">+C3*$N$3</f>
        <v>27732.981818181815</v>
      </c>
      <c r="D11" s="4">
        <f t="shared" si="24"/>
        <v>28045.503030303025</v>
      </c>
      <c r="E11" s="4">
        <f t="shared" si="24"/>
        <v>28358.303030303028</v>
      </c>
      <c r="F11" s="4">
        <f t="shared" si="24"/>
        <v>28670.824242424238</v>
      </c>
      <c r="G11" s="4">
        <f t="shared" si="24"/>
        <v>28983.624242424237</v>
      </c>
      <c r="H11" s="4">
        <f t="shared" si="24"/>
        <v>29295.866666666661</v>
      </c>
      <c r="I11" s="4">
        <f t="shared" si="24"/>
        <v>29608.666666666664</v>
      </c>
      <c r="P11" s="44" t="s">
        <v>3580</v>
      </c>
      <c r="Q11" s="31">
        <v>23</v>
      </c>
      <c r="R11" s="46">
        <f t="shared" si="3"/>
        <v>0.14465408805031446</v>
      </c>
      <c r="S11" s="40" t="s">
        <v>3633</v>
      </c>
      <c r="T11" s="52">
        <f t="shared" si="4"/>
        <v>13866.106918238993</v>
      </c>
      <c r="U11" s="35">
        <f>+SUM(U12:U15)</f>
        <v>15927</v>
      </c>
      <c r="V11" s="52">
        <f t="shared" si="6"/>
        <v>14022.333333333332</v>
      </c>
      <c r="W11" s="35">
        <f>+SUM(W12:W15)</f>
        <v>16107</v>
      </c>
      <c r="X11" s="52">
        <f t="shared" si="8"/>
        <v>14178.704402515723</v>
      </c>
      <c r="Y11" s="35">
        <f>+SUM(Y12:Y15)</f>
        <v>16287</v>
      </c>
      <c r="Z11" s="52">
        <f t="shared" si="9"/>
        <v>14334.930817610062</v>
      </c>
      <c r="AA11" s="35">
        <f>+SUM(AA12:AA15)</f>
        <v>16467</v>
      </c>
      <c r="AB11" s="52">
        <f t="shared" si="11"/>
        <v>14491.301886792453</v>
      </c>
      <c r="AC11" s="35">
        <f>+SUM(AC12:AC15)</f>
        <v>16647</v>
      </c>
      <c r="AD11" s="52">
        <f t="shared" si="12"/>
        <v>14647.383647798742</v>
      </c>
      <c r="AE11" s="35">
        <f>+SUM(AE12:AE15)</f>
        <v>16825</v>
      </c>
      <c r="AF11" s="52">
        <f t="shared" si="14"/>
        <v>14803.899371069181</v>
      </c>
      <c r="AG11" s="35">
        <f>+SUM(AG12:AG15)</f>
        <v>17005</v>
      </c>
    </row>
    <row r="12" spans="2:42" x14ac:dyDescent="0.2">
      <c r="B12" s="4" t="s">
        <v>3572</v>
      </c>
      <c r="C12" s="4">
        <f>SUM(C8:C11)</f>
        <v>99476.999999999985</v>
      </c>
      <c r="D12" s="4">
        <f t="shared" ref="D12:H12" si="25">SUM(D8:D11)</f>
        <v>100598</v>
      </c>
      <c r="E12" s="4">
        <f t="shared" si="25"/>
        <v>101719.99999999999</v>
      </c>
      <c r="F12" s="4">
        <f t="shared" si="25"/>
        <v>102840.99999999999</v>
      </c>
      <c r="G12" s="4">
        <f t="shared" si="25"/>
        <v>103963</v>
      </c>
      <c r="H12" s="4">
        <f t="shared" si="25"/>
        <v>105083</v>
      </c>
      <c r="I12" s="4">
        <f t="shared" ref="I12" si="26">SUM(I8:I11)</f>
        <v>106205</v>
      </c>
      <c r="P12" s="5" t="s">
        <v>3627</v>
      </c>
      <c r="Q12" s="4">
        <v>15</v>
      </c>
      <c r="R12" s="9">
        <f t="shared" si="3"/>
        <v>9.4339622641509441E-2</v>
      </c>
      <c r="S12" s="4">
        <f>30/20</f>
        <v>1.5</v>
      </c>
      <c r="T12" s="51">
        <f t="shared" si="4"/>
        <v>9043.1132075471705</v>
      </c>
      <c r="U12" s="48">
        <f t="shared" si="5"/>
        <v>13565</v>
      </c>
      <c r="V12" s="51">
        <f t="shared" si="6"/>
        <v>9145</v>
      </c>
      <c r="W12" s="48">
        <f t="shared" si="7"/>
        <v>13718</v>
      </c>
      <c r="X12" s="51">
        <f t="shared" si="8"/>
        <v>9246.9811320754725</v>
      </c>
      <c r="Y12" s="48">
        <f t="shared" si="7"/>
        <v>13871</v>
      </c>
      <c r="Z12" s="51">
        <f t="shared" si="9"/>
        <v>9348.867924528302</v>
      </c>
      <c r="AA12" s="48">
        <f t="shared" ref="AA12:AC12" si="27">ROUNDUP(Z12*$S12,0)</f>
        <v>14024</v>
      </c>
      <c r="AB12" s="51">
        <f t="shared" si="11"/>
        <v>9450.8490566037744</v>
      </c>
      <c r="AC12" s="48">
        <f t="shared" si="27"/>
        <v>14177</v>
      </c>
      <c r="AD12" s="51">
        <f t="shared" si="12"/>
        <v>9552.6415094339627</v>
      </c>
      <c r="AE12" s="48">
        <f t="shared" ref="AE12" si="28">ROUNDUP(AD12*$S12,0)</f>
        <v>14329</v>
      </c>
      <c r="AF12" s="51">
        <f t="shared" si="14"/>
        <v>9654.7169811320764</v>
      </c>
      <c r="AG12" s="48">
        <f t="shared" ref="AG12:AG15" si="29">ROUNDUP(AF12*$S12,0)</f>
        <v>14483</v>
      </c>
    </row>
    <row r="13" spans="2:42" x14ac:dyDescent="0.2">
      <c r="P13" s="5" t="s">
        <v>3628</v>
      </c>
      <c r="Q13" s="4">
        <v>4</v>
      </c>
      <c r="R13" s="9">
        <f t="shared" si="3"/>
        <v>2.5157232704402517E-2</v>
      </c>
      <c r="S13" s="34">
        <f>30/45</f>
        <v>0.66666666666666663</v>
      </c>
      <c r="T13" s="51">
        <f t="shared" si="4"/>
        <v>2411.4968553459121</v>
      </c>
      <c r="U13" s="48">
        <f t="shared" si="5"/>
        <v>1608</v>
      </c>
      <c r="V13" s="51">
        <f t="shared" si="6"/>
        <v>2438.666666666667</v>
      </c>
      <c r="W13" s="48">
        <f t="shared" si="7"/>
        <v>1626</v>
      </c>
      <c r="X13" s="51">
        <f t="shared" si="8"/>
        <v>2465.8616352201261</v>
      </c>
      <c r="Y13" s="48">
        <f t="shared" si="7"/>
        <v>1644</v>
      </c>
      <c r="Z13" s="51">
        <f t="shared" si="9"/>
        <v>2493.0314465408806</v>
      </c>
      <c r="AA13" s="48">
        <f t="shared" ref="AA13:AC13" si="30">ROUNDUP(Z13*$S13,0)</f>
        <v>1663</v>
      </c>
      <c r="AB13" s="51">
        <f t="shared" si="11"/>
        <v>2520.2264150943397</v>
      </c>
      <c r="AC13" s="48">
        <f t="shared" si="30"/>
        <v>1681</v>
      </c>
      <c r="AD13" s="51">
        <f t="shared" si="12"/>
        <v>2547.3710691823899</v>
      </c>
      <c r="AE13" s="48">
        <f t="shared" ref="AE13" si="31">ROUNDUP(AD13*$S13,0)</f>
        <v>1699</v>
      </c>
      <c r="AF13" s="51">
        <f t="shared" si="14"/>
        <v>2574.5911949685537</v>
      </c>
      <c r="AG13" s="48">
        <f t="shared" si="29"/>
        <v>1717</v>
      </c>
    </row>
    <row r="14" spans="2:42" x14ac:dyDescent="0.2">
      <c r="B14" s="24"/>
      <c r="E14" s="6"/>
      <c r="P14" s="5" t="s">
        <v>3629</v>
      </c>
      <c r="Q14" s="4">
        <v>3</v>
      </c>
      <c r="R14" s="9">
        <f t="shared" si="3"/>
        <v>1.8867924528301886E-2</v>
      </c>
      <c r="S14" s="34">
        <f>30/90</f>
        <v>0.33333333333333331</v>
      </c>
      <c r="T14" s="51">
        <f t="shared" si="4"/>
        <v>1808.6226415094338</v>
      </c>
      <c r="U14" s="48">
        <f t="shared" si="5"/>
        <v>603</v>
      </c>
      <c r="V14" s="51">
        <f t="shared" si="6"/>
        <v>1829</v>
      </c>
      <c r="W14" s="48">
        <f t="shared" si="7"/>
        <v>610</v>
      </c>
      <c r="X14" s="51">
        <f t="shared" si="8"/>
        <v>1849.3962264150944</v>
      </c>
      <c r="Y14" s="48">
        <f t="shared" si="7"/>
        <v>617</v>
      </c>
      <c r="Z14" s="51">
        <f t="shared" si="9"/>
        <v>1869.7735849056603</v>
      </c>
      <c r="AA14" s="48">
        <f t="shared" ref="AA14:AC14" si="32">ROUNDUP(Z14*$S14,0)</f>
        <v>624</v>
      </c>
      <c r="AB14" s="51">
        <f t="shared" si="11"/>
        <v>1890.1698113207547</v>
      </c>
      <c r="AC14" s="48">
        <f t="shared" si="32"/>
        <v>631</v>
      </c>
      <c r="AD14" s="51">
        <f t="shared" si="12"/>
        <v>1910.5283018867924</v>
      </c>
      <c r="AE14" s="48">
        <f t="shared" ref="AE14" si="33">ROUNDUP(AD14*$S14,0)</f>
        <v>637</v>
      </c>
      <c r="AF14" s="51">
        <f t="shared" si="14"/>
        <v>1930.943396226415</v>
      </c>
      <c r="AG14" s="48">
        <f t="shared" si="29"/>
        <v>644</v>
      </c>
    </row>
    <row r="15" spans="2:42" x14ac:dyDescent="0.2">
      <c r="B15" s="24"/>
      <c r="E15" s="6"/>
      <c r="P15" s="5" t="s">
        <v>3630</v>
      </c>
      <c r="Q15" s="4">
        <v>1</v>
      </c>
      <c r="R15" s="9">
        <f t="shared" si="3"/>
        <v>6.2893081761006293E-3</v>
      </c>
      <c r="S15" s="4">
        <f>30/120</f>
        <v>0.25</v>
      </c>
      <c r="T15" s="51">
        <f t="shared" si="4"/>
        <v>602.87421383647802</v>
      </c>
      <c r="U15" s="48">
        <f t="shared" si="5"/>
        <v>151</v>
      </c>
      <c r="V15" s="51">
        <f t="shared" si="6"/>
        <v>609.66666666666674</v>
      </c>
      <c r="W15" s="48">
        <f t="shared" si="7"/>
        <v>153</v>
      </c>
      <c r="X15" s="51">
        <f t="shared" si="8"/>
        <v>616.46540880503153</v>
      </c>
      <c r="Y15" s="48">
        <f t="shared" si="7"/>
        <v>155</v>
      </c>
      <c r="Z15" s="51">
        <f t="shared" si="9"/>
        <v>623.25786163522014</v>
      </c>
      <c r="AA15" s="48">
        <f t="shared" ref="AA15:AC15" si="34">ROUNDUP(Z15*$S15,0)</f>
        <v>156</v>
      </c>
      <c r="AB15" s="51">
        <f t="shared" si="11"/>
        <v>630.05660377358492</v>
      </c>
      <c r="AC15" s="48">
        <f t="shared" si="34"/>
        <v>158</v>
      </c>
      <c r="AD15" s="51">
        <f t="shared" si="12"/>
        <v>636.84276729559747</v>
      </c>
      <c r="AE15" s="48">
        <f t="shared" ref="AE15" si="35">ROUNDUP(AD15*$S15,0)</f>
        <v>160</v>
      </c>
      <c r="AF15" s="51">
        <f t="shared" si="14"/>
        <v>643.64779874213843</v>
      </c>
      <c r="AG15" s="48">
        <f t="shared" si="29"/>
        <v>161</v>
      </c>
    </row>
    <row r="16" spans="2:42" ht="16" customHeight="1" x14ac:dyDescent="0.2">
      <c r="B16" s="24"/>
      <c r="E16" s="6"/>
      <c r="T16" s="296" t="s">
        <v>4157</v>
      </c>
      <c r="U16" s="300">
        <f>+U7+U8+U9+U10+U11</f>
        <v>103648</v>
      </c>
      <c r="V16" s="296" t="s">
        <v>4157</v>
      </c>
      <c r="W16" s="300">
        <f t="shared" ref="W16" si="36">+W7+W8+W9+W10+W11</f>
        <v>104815</v>
      </c>
      <c r="X16" s="296" t="s">
        <v>4157</v>
      </c>
      <c r="Y16" s="300">
        <f t="shared" ref="Y16" si="37">+Y7+Y8+Y9+Y10+Y11</f>
        <v>105983</v>
      </c>
      <c r="Z16" s="296" t="s">
        <v>4157</v>
      </c>
      <c r="AA16" s="300">
        <f t="shared" ref="AA16" si="38">+AA7+AA8+AA9+AA10+AA11</f>
        <v>107153</v>
      </c>
      <c r="AB16" s="296" t="s">
        <v>4157</v>
      </c>
      <c r="AC16" s="300">
        <f t="shared" ref="AC16" si="39">+AC7+AC8+AC9+AC10+AC11</f>
        <v>108322</v>
      </c>
      <c r="AD16" s="296" t="s">
        <v>4157</v>
      </c>
      <c r="AE16" s="300">
        <f t="shared" ref="AE16:AG16" si="40">+AE7+AE8+AE9+AE10+AE11</f>
        <v>109488</v>
      </c>
      <c r="AF16" s="296" t="s">
        <v>4157</v>
      </c>
      <c r="AG16" s="300">
        <f t="shared" si="40"/>
        <v>110658</v>
      </c>
    </row>
    <row r="17" spans="2:33" x14ac:dyDescent="0.2">
      <c r="B17" s="24"/>
      <c r="E17" s="6"/>
      <c r="T17" s="296"/>
      <c r="U17" s="300"/>
      <c r="V17" s="296"/>
      <c r="W17" s="300"/>
      <c r="X17" s="296"/>
      <c r="Y17" s="300"/>
      <c r="Z17" s="296"/>
      <c r="AA17" s="300"/>
      <c r="AB17" s="296"/>
      <c r="AC17" s="300"/>
      <c r="AD17" s="296"/>
      <c r="AE17" s="300"/>
      <c r="AF17" s="296"/>
      <c r="AG17" s="300"/>
    </row>
    <row r="18" spans="2:33" x14ac:dyDescent="0.2">
      <c r="B18" s="25"/>
      <c r="E18" s="6"/>
    </row>
    <row r="19" spans="2:33" x14ac:dyDescent="0.2">
      <c r="B19" s="43"/>
      <c r="E19" s="6"/>
    </row>
    <row r="20" spans="2:33" x14ac:dyDescent="0.2">
      <c r="B20" s="43"/>
      <c r="E20" s="6"/>
      <c r="M20">
        <f>52/60</f>
        <v>0.8666666666666667</v>
      </c>
      <c r="P20" s="304" t="s">
        <v>3631</v>
      </c>
      <c r="Q20" s="301" t="s">
        <v>3638</v>
      </c>
      <c r="R20" s="307" t="s">
        <v>3547</v>
      </c>
      <c r="S20" s="290" t="s">
        <v>3634</v>
      </c>
      <c r="T20" s="295" t="s">
        <v>4158</v>
      </c>
      <c r="U20" s="295"/>
      <c r="V20" s="295">
        <v>2017</v>
      </c>
      <c r="W20" s="295"/>
      <c r="X20" s="295">
        <v>2018</v>
      </c>
      <c r="Y20" s="295"/>
      <c r="Z20" s="295">
        <v>2019</v>
      </c>
      <c r="AA20" s="295"/>
      <c r="AB20" s="295">
        <v>2020</v>
      </c>
      <c r="AC20" s="295"/>
      <c r="AD20" s="295">
        <v>2021</v>
      </c>
      <c r="AE20" s="295"/>
      <c r="AF20" s="140"/>
      <c r="AG20" s="140"/>
    </row>
    <row r="21" spans="2:33" x14ac:dyDescent="0.2">
      <c r="B21" s="43"/>
      <c r="E21" s="6"/>
      <c r="P21" s="305"/>
      <c r="Q21" s="302"/>
      <c r="R21" s="308"/>
      <c r="S21" s="290"/>
      <c r="T21" s="296" t="s">
        <v>3645</v>
      </c>
      <c r="U21" s="296" t="s">
        <v>3632</v>
      </c>
      <c r="V21" s="296" t="s">
        <v>3619</v>
      </c>
      <c r="W21" s="296" t="s">
        <v>3632</v>
      </c>
      <c r="X21" s="296" t="s">
        <v>3619</v>
      </c>
      <c r="Y21" s="296" t="s">
        <v>3632</v>
      </c>
      <c r="Z21" s="296" t="s">
        <v>3619</v>
      </c>
      <c r="AA21" s="296" t="s">
        <v>3632</v>
      </c>
      <c r="AB21" s="296" t="s">
        <v>3619</v>
      </c>
      <c r="AC21" s="296" t="s">
        <v>3632</v>
      </c>
      <c r="AD21" s="296" t="s">
        <v>3619</v>
      </c>
      <c r="AE21" s="296" t="s">
        <v>3632</v>
      </c>
      <c r="AF21" s="141"/>
      <c r="AG21" s="141"/>
    </row>
    <row r="22" spans="2:33" x14ac:dyDescent="0.2">
      <c r="B22" s="43"/>
      <c r="E22" s="6"/>
      <c r="M22">
        <f>1030*M20</f>
        <v>892.66666666666674</v>
      </c>
      <c r="P22" s="306"/>
      <c r="Q22" s="303"/>
      <c r="R22" s="309"/>
      <c r="S22" s="290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141"/>
      <c r="AG22" s="141"/>
    </row>
    <row r="23" spans="2:33" x14ac:dyDescent="0.2">
      <c r="P23" s="31" t="s">
        <v>3640</v>
      </c>
      <c r="Q23" s="4">
        <v>6</v>
      </c>
      <c r="R23" s="9">
        <v>0.11538461538461539</v>
      </c>
      <c r="S23" s="4">
        <v>30</v>
      </c>
      <c r="T23" s="48">
        <f>1030*R23*$M$20</f>
        <v>103.00000000000001</v>
      </c>
      <c r="U23" s="48">
        <f>ROUNDUP(T23*$S23,0)</f>
        <v>3090</v>
      </c>
    </row>
    <row r="24" spans="2:33" x14ac:dyDescent="0.2">
      <c r="P24" s="31" t="s">
        <v>3641</v>
      </c>
      <c r="Q24" s="4">
        <v>6</v>
      </c>
      <c r="R24" s="9">
        <v>0.11538461538461539</v>
      </c>
      <c r="S24" s="4">
        <v>15</v>
      </c>
      <c r="T24" s="48">
        <f t="shared" ref="T24:T31" si="41">1030*R24*$M$20</f>
        <v>103.00000000000001</v>
      </c>
      <c r="U24" s="48">
        <f t="shared" ref="U24:U31" si="42">ROUNDUP(T24*$S24,0)</f>
        <v>1545</v>
      </c>
    </row>
    <row r="25" spans="2:33" x14ac:dyDescent="0.2">
      <c r="P25" s="31" t="s">
        <v>3576</v>
      </c>
      <c r="Q25" s="4">
        <v>17</v>
      </c>
      <c r="R25" s="9">
        <v>0.32692307692307693</v>
      </c>
      <c r="S25" s="4">
        <v>4</v>
      </c>
      <c r="T25" s="51">
        <f t="shared" si="41"/>
        <v>291.83333333333331</v>
      </c>
      <c r="U25" s="48">
        <f t="shared" si="42"/>
        <v>1168</v>
      </c>
    </row>
    <row r="26" spans="2:33" x14ac:dyDescent="0.2">
      <c r="P26" s="31" t="s">
        <v>3578</v>
      </c>
      <c r="Q26" s="4">
        <v>4</v>
      </c>
      <c r="R26" s="9">
        <v>7.6923076923076927E-2</v>
      </c>
      <c r="S26" s="4">
        <v>1</v>
      </c>
      <c r="T26" s="51">
        <f t="shared" si="41"/>
        <v>68.666666666666671</v>
      </c>
      <c r="U26" s="48">
        <f t="shared" si="42"/>
        <v>69</v>
      </c>
    </row>
    <row r="27" spans="2:33" x14ac:dyDescent="0.2">
      <c r="P27" s="31" t="s">
        <v>3580</v>
      </c>
      <c r="Q27" s="31">
        <v>19</v>
      </c>
      <c r="R27" s="46">
        <f>+Q27/52</f>
        <v>0.36538461538461536</v>
      </c>
      <c r="S27" s="40" t="s">
        <v>3633</v>
      </c>
      <c r="T27" s="51">
        <f t="shared" si="41"/>
        <v>326.16666666666663</v>
      </c>
      <c r="U27" s="35">
        <f>+SUM(U28:U31)</f>
        <v>1717</v>
      </c>
    </row>
    <row r="28" spans="2:33" x14ac:dyDescent="0.2">
      <c r="P28" s="5" t="s">
        <v>3642</v>
      </c>
      <c r="Q28" s="4">
        <v>6</v>
      </c>
      <c r="R28" s="9">
        <v>0.11538461538461539</v>
      </c>
      <c r="S28" s="4">
        <v>10</v>
      </c>
      <c r="T28" s="48">
        <f t="shared" si="41"/>
        <v>103.00000000000001</v>
      </c>
      <c r="U28" s="48">
        <f t="shared" si="42"/>
        <v>1030</v>
      </c>
    </row>
    <row r="29" spans="2:33" x14ac:dyDescent="0.2">
      <c r="P29" s="5" t="s">
        <v>3643</v>
      </c>
      <c r="Q29" s="4">
        <v>4</v>
      </c>
      <c r="R29" s="9">
        <v>7.6923076923076927E-2</v>
      </c>
      <c r="S29" s="4">
        <f>30/5</f>
        <v>6</v>
      </c>
      <c r="T29" s="51">
        <f t="shared" si="41"/>
        <v>68.666666666666671</v>
      </c>
      <c r="U29" s="48">
        <f t="shared" si="42"/>
        <v>412</v>
      </c>
    </row>
    <row r="30" spans="2:33" x14ac:dyDescent="0.2">
      <c r="P30" s="5" t="s">
        <v>3644</v>
      </c>
      <c r="Q30" s="4">
        <v>5</v>
      </c>
      <c r="R30" s="9">
        <v>9.6153846153846159E-2</v>
      </c>
      <c r="S30" s="4">
        <f>30/15</f>
        <v>2</v>
      </c>
      <c r="T30" s="51">
        <f t="shared" si="41"/>
        <v>85.833333333333343</v>
      </c>
      <c r="U30" s="48">
        <f t="shared" si="42"/>
        <v>172</v>
      </c>
    </row>
    <row r="31" spans="2:33" x14ac:dyDescent="0.2">
      <c r="P31" s="5" t="s">
        <v>3627</v>
      </c>
      <c r="Q31" s="4">
        <v>4</v>
      </c>
      <c r="R31" s="9">
        <v>7.6923076923076927E-2</v>
      </c>
      <c r="S31" s="4">
        <f>30/20</f>
        <v>1.5</v>
      </c>
      <c r="T31" s="51">
        <f t="shared" si="41"/>
        <v>68.666666666666671</v>
      </c>
      <c r="U31" s="48">
        <f t="shared" si="42"/>
        <v>103</v>
      </c>
    </row>
    <row r="32" spans="2:33" x14ac:dyDescent="0.2">
      <c r="T32" s="296" t="s">
        <v>4157</v>
      </c>
      <c r="U32" s="300">
        <f>+U23+U24+U25+U26+U27</f>
        <v>7589</v>
      </c>
    </row>
    <row r="33" spans="16:21" x14ac:dyDescent="0.2">
      <c r="T33" s="296"/>
      <c r="U33" s="300"/>
    </row>
    <row r="36" spans="16:21" x14ac:dyDescent="0.2">
      <c r="P36" s="290" t="s">
        <v>3646</v>
      </c>
      <c r="Q36" s="301" t="s">
        <v>3648</v>
      </c>
      <c r="R36" s="293" t="s">
        <v>3547</v>
      </c>
      <c r="S36" s="295" t="s">
        <v>4158</v>
      </c>
      <c r="T36" s="295"/>
    </row>
    <row r="37" spans="16:21" ht="16" customHeight="1" x14ac:dyDescent="0.2">
      <c r="P37" s="290"/>
      <c r="Q37" s="302"/>
      <c r="R37" s="293"/>
      <c r="S37" s="296" t="s">
        <v>3645</v>
      </c>
      <c r="T37" s="296" t="s">
        <v>3632</v>
      </c>
    </row>
    <row r="38" spans="16:21" x14ac:dyDescent="0.2">
      <c r="P38" s="290"/>
      <c r="Q38" s="303"/>
      <c r="R38" s="293"/>
      <c r="S38" s="296"/>
      <c r="T38" s="296"/>
    </row>
    <row r="39" spans="16:21" x14ac:dyDescent="0.2">
      <c r="P39" s="4">
        <v>1</v>
      </c>
      <c r="Q39" s="4">
        <v>30</v>
      </c>
      <c r="R39" s="9">
        <f>+Q39/52</f>
        <v>0.57692307692307687</v>
      </c>
      <c r="S39" s="51">
        <f>+$U$32*R39</f>
        <v>4378.2692307692305</v>
      </c>
      <c r="T39" s="4">
        <f>ROUNDUP(S39*P39,0)</f>
        <v>4379</v>
      </c>
    </row>
    <row r="40" spans="16:21" x14ac:dyDescent="0.2">
      <c r="P40" s="4">
        <v>2</v>
      </c>
      <c r="Q40" s="4">
        <v>15</v>
      </c>
      <c r="R40" s="9">
        <f t="shared" ref="R40:R43" si="43">+Q40/52</f>
        <v>0.28846153846153844</v>
      </c>
      <c r="S40" s="51">
        <f t="shared" ref="S40:S43" si="44">+$U$32*R40</f>
        <v>2189.1346153846152</v>
      </c>
      <c r="T40" s="4">
        <f t="shared" ref="T40:T42" si="45">ROUNDUP(S40*P40,0)</f>
        <v>4379</v>
      </c>
    </row>
    <row r="41" spans="16:21" x14ac:dyDescent="0.2">
      <c r="P41" s="4">
        <v>3</v>
      </c>
      <c r="Q41" s="4">
        <v>3</v>
      </c>
      <c r="R41" s="9">
        <f t="shared" si="43"/>
        <v>5.7692307692307696E-2</v>
      </c>
      <c r="S41" s="51">
        <f t="shared" si="44"/>
        <v>437.82692307692309</v>
      </c>
      <c r="T41" s="4">
        <f t="shared" si="45"/>
        <v>1314</v>
      </c>
    </row>
    <row r="42" spans="16:21" x14ac:dyDescent="0.2">
      <c r="P42" s="4">
        <v>4</v>
      </c>
      <c r="Q42" s="4">
        <v>3</v>
      </c>
      <c r="R42" s="9">
        <f t="shared" si="43"/>
        <v>5.7692307692307696E-2</v>
      </c>
      <c r="S42" s="51">
        <f t="shared" si="44"/>
        <v>437.82692307692309</v>
      </c>
      <c r="T42" s="4">
        <f t="shared" si="45"/>
        <v>1752</v>
      </c>
    </row>
    <row r="43" spans="16:21" x14ac:dyDescent="0.2">
      <c r="P43" s="5" t="s">
        <v>3647</v>
      </c>
      <c r="Q43" s="4">
        <v>1</v>
      </c>
      <c r="R43" s="9">
        <f t="shared" si="43"/>
        <v>1.9230769230769232E-2</v>
      </c>
      <c r="S43" s="51">
        <f t="shared" si="44"/>
        <v>145.94230769230771</v>
      </c>
      <c r="T43" s="4">
        <f>ROUNDUP(S43*5,0)</f>
        <v>730</v>
      </c>
    </row>
    <row r="44" spans="16:21" x14ac:dyDescent="0.2">
      <c r="S44" s="296" t="s">
        <v>4157</v>
      </c>
      <c r="T44" s="300">
        <f>+T39+T40+T42+T41+T43</f>
        <v>12554</v>
      </c>
    </row>
    <row r="45" spans="16:21" x14ac:dyDescent="0.2">
      <c r="S45" s="296"/>
      <c r="T45" s="300"/>
    </row>
  </sheetData>
  <mergeCells count="79">
    <mergeCell ref="G6:G7"/>
    <mergeCell ref="H6:H7"/>
    <mergeCell ref="Q4:Q6"/>
    <mergeCell ref="P4:P6"/>
    <mergeCell ref="B6:B7"/>
    <mergeCell ref="C6:C7"/>
    <mergeCell ref="D6:D7"/>
    <mergeCell ref="E6:E7"/>
    <mergeCell ref="F6:F7"/>
    <mergeCell ref="I6:I7"/>
    <mergeCell ref="V4:W4"/>
    <mergeCell ref="V5:V6"/>
    <mergeCell ref="W5:W6"/>
    <mergeCell ref="R4:R6"/>
    <mergeCell ref="S4:S6"/>
    <mergeCell ref="U5:U6"/>
    <mergeCell ref="T5:T6"/>
    <mergeCell ref="T4:U4"/>
    <mergeCell ref="X4:Y4"/>
    <mergeCell ref="X5:X6"/>
    <mergeCell ref="Y5:Y6"/>
    <mergeCell ref="Z4:AA4"/>
    <mergeCell ref="Z5:Z6"/>
    <mergeCell ref="AA5:AA6"/>
    <mergeCell ref="AB4:AC4"/>
    <mergeCell ref="AB5:AB6"/>
    <mergeCell ref="AC5:AC6"/>
    <mergeCell ref="AD4:AE4"/>
    <mergeCell ref="AD5:AD6"/>
    <mergeCell ref="AE5:AE6"/>
    <mergeCell ref="AB21:AB22"/>
    <mergeCell ref="AC21:AC22"/>
    <mergeCell ref="AD21:AD22"/>
    <mergeCell ref="V20:W20"/>
    <mergeCell ref="P20:P22"/>
    <mergeCell ref="Q20:Q22"/>
    <mergeCell ref="R20:R22"/>
    <mergeCell ref="S20:S22"/>
    <mergeCell ref="T20:U20"/>
    <mergeCell ref="T21:T22"/>
    <mergeCell ref="U21:U22"/>
    <mergeCell ref="P36:P38"/>
    <mergeCell ref="Q36:Q38"/>
    <mergeCell ref="R36:R38"/>
    <mergeCell ref="S36:T36"/>
    <mergeCell ref="S37:S38"/>
    <mergeCell ref="T37:T38"/>
    <mergeCell ref="AF4:AG4"/>
    <mergeCell ref="AF5:AF6"/>
    <mergeCell ref="AG5:AG6"/>
    <mergeCell ref="T16:T17"/>
    <mergeCell ref="U16:U17"/>
    <mergeCell ref="V16:V17"/>
    <mergeCell ref="W16:W17"/>
    <mergeCell ref="X16:X17"/>
    <mergeCell ref="Y16:Y17"/>
    <mergeCell ref="Z16:Z17"/>
    <mergeCell ref="AA16:AA17"/>
    <mergeCell ref="AB16:AB17"/>
    <mergeCell ref="AC16:AC17"/>
    <mergeCell ref="AD16:AD17"/>
    <mergeCell ref="AE16:AE17"/>
    <mergeCell ref="AF16:AF17"/>
    <mergeCell ref="AG16:AG17"/>
    <mergeCell ref="S44:S45"/>
    <mergeCell ref="T44:T45"/>
    <mergeCell ref="T32:T33"/>
    <mergeCell ref="U32:U33"/>
    <mergeCell ref="V21:V22"/>
    <mergeCell ref="W21:W22"/>
    <mergeCell ref="X21:X22"/>
    <mergeCell ref="AE21:AE22"/>
    <mergeCell ref="X20:Y20"/>
    <mergeCell ref="Z20:AA20"/>
    <mergeCell ref="AB20:AC20"/>
    <mergeCell ref="AD20:AE20"/>
    <mergeCell ref="Y21:Y22"/>
    <mergeCell ref="Z21:Z22"/>
    <mergeCell ref="AA21:AA22"/>
  </mergeCells>
  <pageMargins left="0.7" right="0.7" top="0.75" bottom="0.75" header="0.3" footer="0.3"/>
  <ignoredErrors>
    <ignoredError sqref="U11 V7 V8:V15 W11 X7:X15 Y11 Z7:Z15 AA11 AB7:AB15 AC11 AD7:AD15 AK6 U27 AE11 AE7:AE10 AE12:AE15 AF7:AF15 AG11" 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4"/>
  <sheetViews>
    <sheetView showGridLines="0" workbookViewId="0">
      <selection activeCell="F3" sqref="F3"/>
    </sheetView>
  </sheetViews>
  <sheetFormatPr baseColWidth="10" defaultRowHeight="16" x14ac:dyDescent="0.2"/>
  <cols>
    <col min="2" max="2" width="25.1640625" bestFit="1" customWidth="1"/>
    <col min="3" max="3" width="10.83203125" customWidth="1"/>
  </cols>
  <sheetData>
    <row r="2" spans="2:8" x14ac:dyDescent="0.2">
      <c r="C2" s="71">
        <v>2017</v>
      </c>
      <c r="D2" s="71">
        <v>2018</v>
      </c>
      <c r="E2" s="71">
        <v>2019</v>
      </c>
      <c r="F2" s="71">
        <v>2020</v>
      </c>
      <c r="G2" s="71">
        <v>2021</v>
      </c>
      <c r="H2" s="174">
        <v>2022</v>
      </c>
    </row>
    <row r="3" spans="2:8" x14ac:dyDescent="0.2">
      <c r="B3" s="55" t="s">
        <v>3730</v>
      </c>
      <c r="C3" s="36">
        <v>238430</v>
      </c>
      <c r="D3" s="36">
        <v>252244</v>
      </c>
      <c r="E3" s="36">
        <v>266857</v>
      </c>
      <c r="F3" s="36">
        <v>282293</v>
      </c>
      <c r="G3" s="36">
        <v>298582</v>
      </c>
      <c r="H3" s="36">
        <v>300788.10697950004</v>
      </c>
    </row>
    <row r="4" spans="2:8" x14ac:dyDescent="0.2">
      <c r="B4" s="55" t="s">
        <v>3731</v>
      </c>
      <c r="C4" s="36">
        <f>ROUNDUP((C3/12)/30,0)</f>
        <v>663</v>
      </c>
      <c r="D4" s="36">
        <f t="shared" ref="D4:H4" si="0">ROUNDUP((D3/12)/30,0)</f>
        <v>701</v>
      </c>
      <c r="E4" s="36">
        <f t="shared" si="0"/>
        <v>742</v>
      </c>
      <c r="F4" s="36">
        <f t="shared" si="0"/>
        <v>785</v>
      </c>
      <c r="G4" s="36">
        <f t="shared" si="0"/>
        <v>830</v>
      </c>
      <c r="H4" s="36">
        <f t="shared" si="0"/>
        <v>836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6"/>
  <sheetViews>
    <sheetView workbookViewId="0">
      <selection activeCell="H8" sqref="H8"/>
    </sheetView>
  </sheetViews>
  <sheetFormatPr baseColWidth="10" defaultRowHeight="16" x14ac:dyDescent="0.2"/>
  <cols>
    <col min="2" max="2" width="11.5" bestFit="1" customWidth="1"/>
  </cols>
  <sheetData>
    <row r="2" spans="2:7" x14ac:dyDescent="0.2">
      <c r="C2" s="38">
        <v>2016</v>
      </c>
      <c r="E2" t="s">
        <v>3520</v>
      </c>
      <c r="F2" t="s">
        <v>3636</v>
      </c>
      <c r="G2" t="s">
        <v>3637</v>
      </c>
    </row>
    <row r="3" spans="2:7" x14ac:dyDescent="0.2">
      <c r="B3" s="55" t="s">
        <v>3635</v>
      </c>
      <c r="C3" s="36">
        <f>ROUNDUP(50000*12/G3,0)</f>
        <v>944555</v>
      </c>
      <c r="E3" t="s">
        <v>3527</v>
      </c>
      <c r="F3">
        <v>101</v>
      </c>
      <c r="G3" s="6">
        <v>0.63522012578616349</v>
      </c>
    </row>
    <row r="4" spans="2:7" x14ac:dyDescent="0.2">
      <c r="E4" t="s">
        <v>3526</v>
      </c>
      <c r="F4">
        <v>50</v>
      </c>
      <c r="G4" s="6">
        <v>0.31446540880503143</v>
      </c>
    </row>
    <row r="5" spans="2:7" x14ac:dyDescent="0.2">
      <c r="C5" s="54">
        <f>+'Demanda por hogar'!AJ6-'Proyección oferta Llamagas'!C3</f>
        <v>299221</v>
      </c>
      <c r="E5" t="s">
        <v>3532</v>
      </c>
      <c r="F5">
        <v>2</v>
      </c>
      <c r="G5" s="6">
        <v>1.2578616352201259E-2</v>
      </c>
    </row>
    <row r="6" spans="2:7" x14ac:dyDescent="0.2">
      <c r="C6">
        <f>+C5/12</f>
        <v>24935.083333333332</v>
      </c>
      <c r="E6" t="s">
        <v>3536</v>
      </c>
      <c r="F6">
        <v>6</v>
      </c>
      <c r="G6" s="6">
        <v>3.7735849056603772E-2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65"/>
  <sheetViews>
    <sheetView topLeftCell="A37" workbookViewId="0">
      <selection activeCell="G52" sqref="G52"/>
    </sheetView>
  </sheetViews>
  <sheetFormatPr baseColWidth="10" defaultRowHeight="16" x14ac:dyDescent="0.2"/>
  <cols>
    <col min="7" max="7" width="11.33203125" bestFit="1" customWidth="1"/>
    <col min="13" max="13" width="26.83203125" bestFit="1" customWidth="1"/>
  </cols>
  <sheetData>
    <row r="2" spans="2:19" x14ac:dyDescent="0.2">
      <c r="C2">
        <v>2011</v>
      </c>
      <c r="D2">
        <v>2012</v>
      </c>
      <c r="E2">
        <v>2013</v>
      </c>
      <c r="F2">
        <v>2014</v>
      </c>
      <c r="G2">
        <v>2015</v>
      </c>
      <c r="H2">
        <v>2016</v>
      </c>
    </row>
    <row r="3" spans="2:19" x14ac:dyDescent="0.2">
      <c r="B3" t="s">
        <v>4075</v>
      </c>
      <c r="D3">
        <f>11575+975+4600+8820</f>
        <v>25970</v>
      </c>
      <c r="E3">
        <v>22278</v>
      </c>
      <c r="F3">
        <f>9800+1200+5225+9240</f>
        <v>25465</v>
      </c>
      <c r="G3">
        <v>25780</v>
      </c>
      <c r="H3">
        <v>24969</v>
      </c>
    </row>
    <row r="4" spans="2:19" x14ac:dyDescent="0.2">
      <c r="B4" t="s">
        <v>4076</v>
      </c>
      <c r="D4">
        <f>11230+1100+4395+8400</f>
        <v>25125</v>
      </c>
      <c r="E4">
        <f>8848+1100+4125+7560</f>
        <v>21633</v>
      </c>
      <c r="F4">
        <f>9200+1100+5225+7980</f>
        <v>23505</v>
      </c>
      <c r="G4">
        <v>24495</v>
      </c>
      <c r="H4">
        <v>24079</v>
      </c>
      <c r="N4" s="55">
        <v>2011</v>
      </c>
      <c r="O4" s="55">
        <v>2012</v>
      </c>
      <c r="P4" s="55">
        <v>2013</v>
      </c>
      <c r="Q4" s="55">
        <v>2014</v>
      </c>
      <c r="R4" s="55">
        <v>2015</v>
      </c>
      <c r="S4" s="55">
        <v>2016</v>
      </c>
    </row>
    <row r="5" spans="2:19" x14ac:dyDescent="0.2">
      <c r="B5" t="s">
        <v>4077</v>
      </c>
      <c r="D5">
        <f>12099+1200+5225+8820</f>
        <v>27344</v>
      </c>
      <c r="E5">
        <f>9433+1250+4400+7980</f>
        <v>23063</v>
      </c>
      <c r="F5">
        <f>10700+1775+6875+9105</f>
        <v>28455</v>
      </c>
      <c r="G5">
        <v>27595</v>
      </c>
      <c r="H5">
        <v>25581</v>
      </c>
      <c r="M5" s="55" t="s">
        <v>4353</v>
      </c>
      <c r="N5" s="2">
        <v>26373.571428571428</v>
      </c>
      <c r="O5" s="2">
        <v>25918.416666666668</v>
      </c>
      <c r="P5" s="2">
        <v>26088.833333333332</v>
      </c>
      <c r="Q5" s="2">
        <v>27470.833333333332</v>
      </c>
      <c r="R5" s="2">
        <v>24972.25</v>
      </c>
      <c r="S5" s="2">
        <v>25610.5</v>
      </c>
    </row>
    <row r="6" spans="2:19" x14ac:dyDescent="0.2">
      <c r="B6" t="s">
        <v>4078</v>
      </c>
      <c r="D6">
        <f>11400+1200+4675+8820</f>
        <v>26095</v>
      </c>
      <c r="E6">
        <f>11520+1200+5700+9095</f>
        <v>27515</v>
      </c>
      <c r="F6">
        <f>10400+2525+6740+9660</f>
        <v>29325</v>
      </c>
      <c r="G6">
        <v>28400</v>
      </c>
      <c r="H6">
        <v>26822</v>
      </c>
      <c r="M6" s="55" t="s">
        <v>3635</v>
      </c>
      <c r="N6" s="35">
        <f>ROUNDUP(N5*12,0)</f>
        <v>316483</v>
      </c>
      <c r="O6" s="35">
        <f t="shared" ref="O6:S6" si="0">+O5*12</f>
        <v>311021</v>
      </c>
      <c r="P6" s="35">
        <f t="shared" si="0"/>
        <v>313066</v>
      </c>
      <c r="Q6" s="35">
        <f t="shared" si="0"/>
        <v>329650</v>
      </c>
      <c r="R6" s="35">
        <f t="shared" si="0"/>
        <v>299667</v>
      </c>
      <c r="S6" s="35">
        <f t="shared" si="0"/>
        <v>307326</v>
      </c>
    </row>
    <row r="7" spans="2:19" x14ac:dyDescent="0.2">
      <c r="B7" t="s">
        <v>4079</v>
      </c>
      <c r="D7">
        <f>11700+1200+4675+9660</f>
        <v>27235</v>
      </c>
      <c r="E7">
        <f>10345+3300+5050+8400</f>
        <v>27095</v>
      </c>
      <c r="F7">
        <f>10300+2845+6325+10755</f>
        <v>30225</v>
      </c>
      <c r="G7">
        <v>30342</v>
      </c>
      <c r="H7">
        <v>24439</v>
      </c>
    </row>
    <row r="8" spans="2:19" x14ac:dyDescent="0.2">
      <c r="B8" t="s">
        <v>4080</v>
      </c>
      <c r="C8">
        <f>12150+6300+7560</f>
        <v>26010</v>
      </c>
      <c r="D8">
        <f>10897+1000+4675+8820</f>
        <v>25392</v>
      </c>
      <c r="E8">
        <f>10900+2050+5225+8820</f>
        <v>26995</v>
      </c>
      <c r="F8">
        <f>10200+1700+5575+10610</f>
        <v>28085</v>
      </c>
      <c r="G8">
        <v>28199</v>
      </c>
      <c r="H8">
        <v>25668</v>
      </c>
    </row>
    <row r="9" spans="2:19" x14ac:dyDescent="0.2">
      <c r="B9" t="s">
        <v>4081</v>
      </c>
      <c r="C9">
        <f>11800+1700+4450+8400</f>
        <v>26350</v>
      </c>
      <c r="D9">
        <f>11300+1600+5225+9240</f>
        <v>27365</v>
      </c>
      <c r="E9">
        <f>11400+2050+5700+8820</f>
        <v>27970</v>
      </c>
      <c r="F9">
        <f>10800+1675+6050+11310</f>
        <v>29835</v>
      </c>
      <c r="G9">
        <v>29065</v>
      </c>
      <c r="H9">
        <v>28798</v>
      </c>
    </row>
    <row r="10" spans="2:19" x14ac:dyDescent="0.2">
      <c r="B10" t="s">
        <v>4082</v>
      </c>
      <c r="C10">
        <f>12002+1820+5100+8400</f>
        <v>27322</v>
      </c>
      <c r="D10">
        <f>10700+1600+4950+9240</f>
        <v>26490</v>
      </c>
      <c r="E10">
        <f>11050+2325+6325+9660</f>
        <v>29360</v>
      </c>
      <c r="F10">
        <f>10100+1600+6050+11730</f>
        <v>29480</v>
      </c>
      <c r="G10">
        <v>29083</v>
      </c>
      <c r="H10">
        <v>26893</v>
      </c>
    </row>
    <row r="11" spans="2:19" x14ac:dyDescent="0.2">
      <c r="B11" t="s">
        <v>4083</v>
      </c>
      <c r="C11">
        <f>11585+2050+4700+7980</f>
        <v>26315</v>
      </c>
      <c r="D11">
        <f>10800+1500+4600+8480</f>
        <v>25380</v>
      </c>
      <c r="E11">
        <f>9550+1600+5775+8820</f>
        <v>25745</v>
      </c>
      <c r="F11">
        <f>8400+1775+5875+1600+8820+275</f>
        <v>26745</v>
      </c>
      <c r="G11">
        <v>27544</v>
      </c>
      <c r="H11">
        <v>21671</v>
      </c>
    </row>
    <row r="12" spans="2:19" x14ac:dyDescent="0.2">
      <c r="B12" t="s">
        <v>4084</v>
      </c>
      <c r="C12">
        <f>12299+4400+8455</f>
        <v>25154</v>
      </c>
      <c r="D12">
        <f>10794+1399+4950+8820</f>
        <v>25963</v>
      </c>
      <c r="E12">
        <f>10300+1700+6600+8950</f>
        <v>27550</v>
      </c>
      <c r="F12">
        <f>8900+1100+6600+1800+8820</f>
        <v>27220</v>
      </c>
      <c r="G12">
        <v>27447</v>
      </c>
      <c r="H12">
        <v>27185</v>
      </c>
    </row>
    <row r="13" spans="2:19" x14ac:dyDescent="0.2">
      <c r="B13" t="s">
        <v>4085</v>
      </c>
      <c r="C13">
        <f>11800+1300+4650+8820</f>
        <v>26570</v>
      </c>
      <c r="D13">
        <f>9397+275*18+1400+420*21</f>
        <v>24567</v>
      </c>
      <c r="E13">
        <f>10200+1950+6600+8400</f>
        <v>27150</v>
      </c>
      <c r="F13">
        <f>8400+800+5775+1800+7980+400</f>
        <v>25155</v>
      </c>
      <c r="G13">
        <v>27306</v>
      </c>
    </row>
    <row r="14" spans="2:19" x14ac:dyDescent="0.2">
      <c r="B14" t="s">
        <v>4086</v>
      </c>
      <c r="C14">
        <f>12099+1300+4675+8820</f>
        <v>26894</v>
      </c>
      <c r="D14">
        <f>10518+1200+4397+7980</f>
        <v>24095</v>
      </c>
      <c r="E14">
        <f>9997+1700+5775+9240</f>
        <v>26712</v>
      </c>
      <c r="F14">
        <f>9100+1100+6050+1975+7550+380</f>
        <v>26155</v>
      </c>
      <c r="G14">
        <v>26411</v>
      </c>
    </row>
    <row r="15" spans="2:19" x14ac:dyDescent="0.2">
      <c r="B15" t="s">
        <v>3572</v>
      </c>
      <c r="C15">
        <f>SUM(C3:C14)</f>
        <v>184615</v>
      </c>
      <c r="D15">
        <f>SUM(D3:D14)</f>
        <v>311021</v>
      </c>
      <c r="E15">
        <f>SUM(E3:E14)</f>
        <v>313066</v>
      </c>
      <c r="F15">
        <f>SUM(F3:F14)</f>
        <v>329650</v>
      </c>
      <c r="G15">
        <v>299667</v>
      </c>
    </row>
    <row r="16" spans="2:19" x14ac:dyDescent="0.2">
      <c r="D16" s="182"/>
      <c r="E16" s="182">
        <f>+(E15-D15)/D15</f>
        <v>6.5751187218869465E-3</v>
      </c>
      <c r="F16" s="182">
        <f t="shared" ref="F16:G16" si="1">+(F15-E15)/E15</f>
        <v>5.2972855564002476E-2</v>
      </c>
      <c r="G16" s="182">
        <f t="shared" si="1"/>
        <v>-9.0954042165933571E-2</v>
      </c>
    </row>
    <row r="18" spans="1:19" x14ac:dyDescent="0.2">
      <c r="B18" t="s">
        <v>4354</v>
      </c>
      <c r="C18">
        <f>AVERAGE(C8:C14)</f>
        <v>26373.571428571428</v>
      </c>
      <c r="D18">
        <f>AVERAGE(D3:D14)</f>
        <v>25918.416666666668</v>
      </c>
      <c r="E18">
        <f t="shared" ref="E18:G18" si="2">AVERAGE(E3:E14)</f>
        <v>26088.833333333332</v>
      </c>
      <c r="F18">
        <f t="shared" si="2"/>
        <v>27470.833333333332</v>
      </c>
      <c r="G18">
        <f t="shared" si="2"/>
        <v>27638.916666666668</v>
      </c>
    </row>
    <row r="19" spans="1:19" x14ac:dyDescent="0.2">
      <c r="C19">
        <f>+C18</f>
        <v>26373.571428571428</v>
      </c>
      <c r="D19">
        <f t="shared" ref="D19:F19" si="3">+D18</f>
        <v>25918.416666666668</v>
      </c>
      <c r="E19">
        <f t="shared" si="3"/>
        <v>26088.833333333332</v>
      </c>
      <c r="F19">
        <f t="shared" si="3"/>
        <v>27470.833333333332</v>
      </c>
      <c r="G19">
        <f>+G15/12</f>
        <v>24972.25</v>
      </c>
      <c r="H19" s="183">
        <f>AVERAGE(H3:H12)</f>
        <v>25610.5</v>
      </c>
    </row>
    <row r="20" spans="1:19" x14ac:dyDescent="0.2">
      <c r="D20" s="182">
        <f>+(D19-C19)/C19</f>
        <v>-1.7257987343029101E-2</v>
      </c>
      <c r="E20" s="182">
        <f>+(E19-D19)/D19</f>
        <v>6.5751187218868528E-3</v>
      </c>
      <c r="F20" s="182">
        <f>+(F19-E19)/E19</f>
        <v>5.2972855564002483E-2</v>
      </c>
      <c r="G20" s="182">
        <f>+(G19-F19)/F19</f>
        <v>-9.095404216593353E-2</v>
      </c>
      <c r="H20" s="182">
        <f>+(H19-G19)/G19</f>
        <v>2.5558369790467418E-2</v>
      </c>
    </row>
    <row r="23" spans="1:19" x14ac:dyDescent="0.2">
      <c r="B23">
        <v>1</v>
      </c>
      <c r="C23">
        <v>2</v>
      </c>
      <c r="D23">
        <v>3</v>
      </c>
      <c r="E23">
        <v>4</v>
      </c>
      <c r="F23">
        <v>5</v>
      </c>
      <c r="G23">
        <v>6</v>
      </c>
      <c r="H23">
        <v>7</v>
      </c>
      <c r="I23">
        <v>8</v>
      </c>
      <c r="J23">
        <v>9</v>
      </c>
    </row>
    <row r="24" spans="1:19" x14ac:dyDescent="0.2">
      <c r="A24" t="s">
        <v>4355</v>
      </c>
      <c r="B24">
        <v>820</v>
      </c>
      <c r="C24">
        <v>775</v>
      </c>
      <c r="D24">
        <v>680</v>
      </c>
      <c r="E24">
        <v>655</v>
      </c>
      <c r="F24">
        <v>750</v>
      </c>
      <c r="G24">
        <v>802</v>
      </c>
      <c r="H24">
        <v>798</v>
      </c>
      <c r="I24">
        <v>689</v>
      </c>
      <c r="J24">
        <v>775</v>
      </c>
    </row>
    <row r="25" spans="1:19" x14ac:dyDescent="0.2">
      <c r="A25" t="s">
        <v>4356</v>
      </c>
      <c r="B25">
        <f>+B24</f>
        <v>820</v>
      </c>
      <c r="C25">
        <f>+B25+$B$26*(B24-B25)</f>
        <v>820</v>
      </c>
      <c r="D25">
        <f t="shared" ref="D25:J25" si="4">+C25+$B$26*(C24-C25)</f>
        <v>815.5</v>
      </c>
      <c r="E25">
        <f t="shared" si="4"/>
        <v>801.95</v>
      </c>
      <c r="F25">
        <f t="shared" si="4"/>
        <v>787.255</v>
      </c>
      <c r="G25">
        <f t="shared" si="4"/>
        <v>783.52949999999998</v>
      </c>
      <c r="H25">
        <f t="shared" si="4"/>
        <v>785.37654999999995</v>
      </c>
      <c r="I25">
        <f t="shared" si="4"/>
        <v>786.63889499999993</v>
      </c>
      <c r="J25">
        <f t="shared" si="4"/>
        <v>776.87500549999993</v>
      </c>
    </row>
    <row r="26" spans="1:19" x14ac:dyDescent="0.2">
      <c r="A26" t="s">
        <v>4357</v>
      </c>
      <c r="B26" s="184">
        <v>0.1</v>
      </c>
    </row>
    <row r="29" spans="1:19" x14ac:dyDescent="0.2">
      <c r="N29">
        <v>2011</v>
      </c>
      <c r="O29">
        <v>2012</v>
      </c>
      <c r="P29">
        <v>2013</v>
      </c>
      <c r="Q29">
        <v>2014</v>
      </c>
      <c r="R29">
        <v>2015</v>
      </c>
      <c r="S29">
        <v>2016</v>
      </c>
    </row>
    <row r="30" spans="1:19" x14ac:dyDescent="0.2">
      <c r="M30" t="s">
        <v>4358</v>
      </c>
      <c r="N30">
        <v>316483</v>
      </c>
      <c r="O30">
        <v>311021</v>
      </c>
      <c r="P30">
        <v>313066</v>
      </c>
      <c r="Q30">
        <v>329650</v>
      </c>
      <c r="R30">
        <v>299667</v>
      </c>
      <c r="S30">
        <v>307326</v>
      </c>
    </row>
    <row r="31" spans="1:19" x14ac:dyDescent="0.2">
      <c r="M31" t="s">
        <v>4359</v>
      </c>
      <c r="N31">
        <f>+N30</f>
        <v>316483</v>
      </c>
      <c r="O31">
        <f>+N31+$B$26*(N30-N31)</f>
        <v>316483</v>
      </c>
      <c r="P31">
        <f t="shared" ref="P31:S31" si="5">+O31+$B$26*(O30-O31)</f>
        <v>315936.8</v>
      </c>
      <c r="Q31">
        <f t="shared" si="5"/>
        <v>315649.71999999997</v>
      </c>
      <c r="R31">
        <f t="shared" si="5"/>
        <v>317049.74799999996</v>
      </c>
      <c r="S31">
        <f t="shared" si="5"/>
        <v>315311.47319999995</v>
      </c>
    </row>
    <row r="51" spans="2:7" x14ac:dyDescent="0.2">
      <c r="C51">
        <v>2012</v>
      </c>
      <c r="D51">
        <v>2013</v>
      </c>
      <c r="E51">
        <v>2014</v>
      </c>
      <c r="F51">
        <v>2015</v>
      </c>
      <c r="G51" s="185" t="s">
        <v>4067</v>
      </c>
    </row>
    <row r="52" spans="2:7" x14ac:dyDescent="0.2">
      <c r="B52" t="s">
        <v>4075</v>
      </c>
      <c r="C52" s="186">
        <f>+D3/D$15</f>
        <v>8.3499184942495849E-2</v>
      </c>
      <c r="D52" s="186">
        <f t="shared" ref="D52:F52" si="6">+E3/E$15</f>
        <v>7.1160713715318819E-2</v>
      </c>
      <c r="E52" s="186">
        <f t="shared" si="6"/>
        <v>7.72485969968148E-2</v>
      </c>
      <c r="F52" s="186">
        <f t="shared" si="6"/>
        <v>8.6028825329449027E-2</v>
      </c>
      <c r="G52" s="187">
        <f>AVERAGE(C52:F52)</f>
        <v>7.9484330246019613E-2</v>
      </c>
    </row>
    <row r="53" spans="2:7" x14ac:dyDescent="0.2">
      <c r="B53" t="s">
        <v>4076</v>
      </c>
      <c r="C53" s="186">
        <f t="shared" ref="C53:F64" si="7">+D4/D$15</f>
        <v>8.0782326595310289E-2</v>
      </c>
      <c r="D53" s="186">
        <f t="shared" si="7"/>
        <v>6.9100445273520605E-2</v>
      </c>
      <c r="E53" s="186">
        <f t="shared" si="7"/>
        <v>7.1302897011982405E-2</v>
      </c>
      <c r="F53" s="186">
        <f t="shared" si="7"/>
        <v>8.1740732212756156E-2</v>
      </c>
      <c r="G53" s="187">
        <f t="shared" ref="G53:G63" si="8">AVERAGE(C53:F53)</f>
        <v>7.5731600273392374E-2</v>
      </c>
    </row>
    <row r="54" spans="2:7" x14ac:dyDescent="0.2">
      <c r="B54" t="s">
        <v>4077</v>
      </c>
      <c r="C54" s="186">
        <f t="shared" si="7"/>
        <v>8.7916893071528932E-2</v>
      </c>
      <c r="D54" s="186">
        <f t="shared" si="7"/>
        <v>7.3668172206499585E-2</v>
      </c>
      <c r="E54" s="186">
        <f t="shared" si="7"/>
        <v>8.6318822994084637E-2</v>
      </c>
      <c r="F54" s="186">
        <f t="shared" si="7"/>
        <v>9.208554829193738E-2</v>
      </c>
      <c r="G54" s="187">
        <f t="shared" si="8"/>
        <v>8.4997359141012641E-2</v>
      </c>
    </row>
    <row r="55" spans="2:7" x14ac:dyDescent="0.2">
      <c r="B55" t="s">
        <v>4078</v>
      </c>
      <c r="C55" s="186">
        <f t="shared" si="7"/>
        <v>8.3901087064860574E-2</v>
      </c>
      <c r="D55" s="186">
        <f t="shared" si="7"/>
        <v>8.7888815776864943E-2</v>
      </c>
      <c r="E55" s="186">
        <f t="shared" si="7"/>
        <v>8.8957985742454115E-2</v>
      </c>
      <c r="F55" s="186">
        <f t="shared" si="7"/>
        <v>9.4771863435079609E-2</v>
      </c>
      <c r="G55" s="187">
        <f t="shared" si="8"/>
        <v>8.8879938004814807E-2</v>
      </c>
    </row>
    <row r="56" spans="2:7" x14ac:dyDescent="0.2">
      <c r="B56" t="s">
        <v>4079</v>
      </c>
      <c r="C56" s="186">
        <f t="shared" si="7"/>
        <v>8.7566434420826886E-2</v>
      </c>
      <c r="D56" s="186">
        <f t="shared" si="7"/>
        <v>8.6547245628717268E-2</v>
      </c>
      <c r="E56" s="186">
        <f t="shared" si="7"/>
        <v>9.1688154102836344E-2</v>
      </c>
      <c r="F56" s="186">
        <f t="shared" si="7"/>
        <v>0.1012523901530699</v>
      </c>
      <c r="G56" s="187">
        <f>AVERAGE(C56:F56)-0.01</f>
        <v>8.1763556076362598E-2</v>
      </c>
    </row>
    <row r="57" spans="2:7" x14ac:dyDescent="0.2">
      <c r="B57" t="s">
        <v>4080</v>
      </c>
      <c r="C57" s="186">
        <f t="shared" si="7"/>
        <v>8.164078952868134E-2</v>
      </c>
      <c r="D57" s="186">
        <f t="shared" si="7"/>
        <v>8.6227824164872582E-2</v>
      </c>
      <c r="E57" s="186">
        <f t="shared" si="7"/>
        <v>8.5196420445927498E-2</v>
      </c>
      <c r="F57" s="186">
        <f t="shared" si="7"/>
        <v>9.4101118908655274E-2</v>
      </c>
      <c r="G57" s="187">
        <f>AVERAGE(C57:F57)-I65</f>
        <v>7.0095238702856888E-2</v>
      </c>
    </row>
    <row r="58" spans="2:7" x14ac:dyDescent="0.2">
      <c r="B58" t="s">
        <v>4081</v>
      </c>
      <c r="C58" s="186">
        <f t="shared" si="7"/>
        <v>8.7984412628086206E-2</v>
      </c>
      <c r="D58" s="186">
        <f t="shared" si="7"/>
        <v>8.9342183437358252E-2</v>
      </c>
      <c r="E58" s="186">
        <f t="shared" si="7"/>
        <v>9.0505081146670704E-2</v>
      </c>
      <c r="F58" s="186">
        <f t="shared" si="7"/>
        <v>9.6990993335936221E-2</v>
      </c>
      <c r="G58" s="187">
        <f t="shared" si="8"/>
        <v>9.1205667637012849E-2</v>
      </c>
    </row>
    <row r="59" spans="2:7" x14ac:dyDescent="0.2">
      <c r="B59" t="s">
        <v>4082</v>
      </c>
      <c r="C59" s="186">
        <f t="shared" si="7"/>
        <v>8.5171097771533116E-2</v>
      </c>
      <c r="D59" s="186">
        <f t="shared" si="7"/>
        <v>9.3782141784799378E-2</v>
      </c>
      <c r="E59" s="186">
        <f t="shared" si="7"/>
        <v>8.9428181404519941E-2</v>
      </c>
      <c r="F59" s="186">
        <f t="shared" si="7"/>
        <v>9.7051060009944373E-2</v>
      </c>
      <c r="G59" s="187">
        <f t="shared" si="8"/>
        <v>9.1358120242699209E-2</v>
      </c>
    </row>
    <row r="60" spans="2:7" x14ac:dyDescent="0.2">
      <c r="B60" t="s">
        <v>4083</v>
      </c>
      <c r="C60" s="186">
        <f t="shared" si="7"/>
        <v>8.1602206924934334E-2</v>
      </c>
      <c r="D60" s="186">
        <f t="shared" si="7"/>
        <v>8.2235055866814025E-2</v>
      </c>
      <c r="E60" s="186">
        <f t="shared" si="7"/>
        <v>8.1131503109358405E-2</v>
      </c>
      <c r="F60" s="186">
        <f t="shared" si="7"/>
        <v>9.1915359382247624E-2</v>
      </c>
      <c r="G60" s="187">
        <f t="shared" si="8"/>
        <v>8.4221031320838607E-2</v>
      </c>
    </row>
    <row r="61" spans="2:7" x14ac:dyDescent="0.2">
      <c r="B61" t="s">
        <v>4084</v>
      </c>
      <c r="C61" s="186">
        <f t="shared" si="7"/>
        <v>8.3476678423643424E-2</v>
      </c>
      <c r="D61" s="186">
        <f t="shared" si="7"/>
        <v>8.8000613289210577E-2</v>
      </c>
      <c r="E61" s="186">
        <f t="shared" si="7"/>
        <v>8.2572425299560145E-2</v>
      </c>
      <c r="F61" s="186">
        <f t="shared" si="7"/>
        <v>9.1591666750092601E-2</v>
      </c>
      <c r="G61" s="187">
        <f t="shared" si="8"/>
        <v>8.6410345940626687E-2</v>
      </c>
    </row>
    <row r="62" spans="2:7" x14ac:dyDescent="0.2">
      <c r="B62" t="s">
        <v>4085</v>
      </c>
      <c r="C62" s="186">
        <f t="shared" si="7"/>
        <v>7.8988235521074146E-2</v>
      </c>
      <c r="D62" s="186">
        <f t="shared" si="7"/>
        <v>8.6722927433831851E-2</v>
      </c>
      <c r="E62" s="186">
        <f t="shared" si="7"/>
        <v>7.6308205672683149E-2</v>
      </c>
      <c r="F62" s="186">
        <f t="shared" si="7"/>
        <v>9.1121144470362098E-2</v>
      </c>
      <c r="G62" s="187">
        <f t="shared" si="8"/>
        <v>8.3285128274487807E-2</v>
      </c>
    </row>
    <row r="63" spans="2:7" x14ac:dyDescent="0.2">
      <c r="B63" t="s">
        <v>4086</v>
      </c>
      <c r="C63" s="186">
        <f t="shared" si="7"/>
        <v>7.7470653107024931E-2</v>
      </c>
      <c r="D63" s="186">
        <f t="shared" si="7"/>
        <v>8.5323861422192129E-2</v>
      </c>
      <c r="E63" s="186">
        <f t="shared" si="7"/>
        <v>7.9341726073107841E-2</v>
      </c>
      <c r="F63" s="186">
        <f t="shared" si="7"/>
        <v>8.8134495957179135E-2</v>
      </c>
      <c r="G63" s="187">
        <f t="shared" si="8"/>
        <v>8.2567684139876016E-2</v>
      </c>
    </row>
    <row r="64" spans="2:7" x14ac:dyDescent="0.2">
      <c r="B64" t="s">
        <v>3572</v>
      </c>
      <c r="C64" s="186">
        <f t="shared" si="7"/>
        <v>1</v>
      </c>
      <c r="D64" s="186">
        <f t="shared" si="7"/>
        <v>1</v>
      </c>
      <c r="E64" s="186">
        <f t="shared" si="7"/>
        <v>1</v>
      </c>
      <c r="F64" s="186">
        <f t="shared" si="7"/>
        <v>1</v>
      </c>
      <c r="G64" s="187">
        <f>SUM(G52:G63)</f>
        <v>1</v>
      </c>
    </row>
    <row r="65" spans="7:9" x14ac:dyDescent="0.2">
      <c r="G65" s="187"/>
      <c r="I65">
        <v>1.6696299559177286E-2</v>
      </c>
    </row>
  </sheetData>
  <pageMargins left="0.7" right="0.7" top="0.75" bottom="0.75" header="0.3" footer="0.3"/>
  <pageSetup paperSize="9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51"/>
  <sheetViews>
    <sheetView showGridLines="0" workbookViewId="0">
      <selection activeCell="C1" sqref="C1"/>
    </sheetView>
  </sheetViews>
  <sheetFormatPr baseColWidth="10" defaultRowHeight="16" x14ac:dyDescent="0.2"/>
  <cols>
    <col min="2" max="2" width="23" bestFit="1" customWidth="1"/>
    <col min="3" max="3" width="12.1640625" bestFit="1" customWidth="1"/>
  </cols>
  <sheetData>
    <row r="1" spans="2:14" x14ac:dyDescent="0.2">
      <c r="C1" t="s">
        <v>4360</v>
      </c>
      <c r="D1" t="s">
        <v>4361</v>
      </c>
      <c r="E1" t="s">
        <v>4362</v>
      </c>
      <c r="F1" t="s">
        <v>4363</v>
      </c>
      <c r="G1" t="s">
        <v>4364</v>
      </c>
      <c r="H1" t="s">
        <v>4365</v>
      </c>
    </row>
    <row r="2" spans="2:14" x14ac:dyDescent="0.2">
      <c r="C2">
        <v>2011</v>
      </c>
      <c r="D2">
        <v>2012</v>
      </c>
      <c r="E2">
        <v>2013</v>
      </c>
      <c r="F2">
        <v>2014</v>
      </c>
      <c r="G2">
        <v>2015</v>
      </c>
      <c r="H2">
        <v>2016</v>
      </c>
    </row>
    <row r="3" spans="2:14" x14ac:dyDescent="0.2">
      <c r="B3" t="s">
        <v>3635</v>
      </c>
      <c r="C3">
        <v>316483</v>
      </c>
      <c r="D3">
        <v>311021</v>
      </c>
      <c r="E3">
        <v>313066</v>
      </c>
      <c r="F3">
        <v>329650</v>
      </c>
      <c r="G3">
        <v>299667</v>
      </c>
      <c r="H3">
        <v>307326</v>
      </c>
    </row>
    <row r="4" spans="2:14" x14ac:dyDescent="0.2">
      <c r="C4">
        <f>ABS(+D3+-C3)</f>
        <v>5462</v>
      </c>
      <c r="D4">
        <f t="shared" ref="D4:G4" si="0">ABS(+E3+-D3)</f>
        <v>2045</v>
      </c>
      <c r="E4">
        <f t="shared" si="0"/>
        <v>16584</v>
      </c>
      <c r="F4">
        <f t="shared" si="0"/>
        <v>29983</v>
      </c>
      <c r="G4">
        <f t="shared" si="0"/>
        <v>7659</v>
      </c>
    </row>
    <row r="6" spans="2:14" x14ac:dyDescent="0.2">
      <c r="B6" s="43" t="s">
        <v>4366</v>
      </c>
      <c r="C6">
        <v>3000</v>
      </c>
    </row>
    <row r="7" spans="2:14" x14ac:dyDescent="0.2">
      <c r="B7" s="43" t="s">
        <v>4367</v>
      </c>
      <c r="C7">
        <v>300000</v>
      </c>
    </row>
    <row r="8" spans="2:14" x14ac:dyDescent="0.2">
      <c r="B8" s="43" t="s">
        <v>4368</v>
      </c>
      <c r="C8">
        <v>0.1</v>
      </c>
    </row>
    <row r="9" spans="2:14" x14ac:dyDescent="0.2">
      <c r="B9" s="43" t="s">
        <v>4369</v>
      </c>
      <c r="C9">
        <v>0.1</v>
      </c>
    </row>
    <row r="10" spans="2:14" x14ac:dyDescent="0.2">
      <c r="B10" s="43"/>
    </row>
    <row r="11" spans="2:14" x14ac:dyDescent="0.2">
      <c r="B11" s="188" t="s">
        <v>1778</v>
      </c>
      <c r="C11" s="175" t="s">
        <v>3633</v>
      </c>
      <c r="D11" s="55">
        <v>2011</v>
      </c>
      <c r="E11" s="55">
        <v>2012</v>
      </c>
      <c r="F11" s="55">
        <v>2013</v>
      </c>
      <c r="G11" s="55">
        <v>2014</v>
      </c>
      <c r="H11" s="55">
        <v>2015</v>
      </c>
      <c r="I11" s="55">
        <v>2016</v>
      </c>
      <c r="J11">
        <v>2017</v>
      </c>
      <c r="K11">
        <v>2018</v>
      </c>
      <c r="L11">
        <v>2019</v>
      </c>
      <c r="M11">
        <v>2020</v>
      </c>
      <c r="N11">
        <v>2021</v>
      </c>
    </row>
    <row r="12" spans="2:14" x14ac:dyDescent="0.2">
      <c r="B12" s="188" t="s">
        <v>4370</v>
      </c>
      <c r="C12" s="4">
        <v>0</v>
      </c>
      <c r="D12" s="4">
        <v>1</v>
      </c>
      <c r="E12" s="4">
        <v>2</v>
      </c>
      <c r="F12" s="4">
        <v>3</v>
      </c>
      <c r="G12" s="4">
        <v>4</v>
      </c>
      <c r="H12" s="4">
        <v>5</v>
      </c>
      <c r="I12" s="4">
        <v>6</v>
      </c>
      <c r="J12">
        <v>7</v>
      </c>
      <c r="K12">
        <v>8</v>
      </c>
      <c r="L12">
        <v>9</v>
      </c>
      <c r="M12">
        <v>10</v>
      </c>
      <c r="N12">
        <v>11</v>
      </c>
    </row>
    <row r="13" spans="2:14" x14ac:dyDescent="0.2">
      <c r="B13" s="188" t="s">
        <v>4371</v>
      </c>
      <c r="C13" s="4">
        <f>C7</f>
        <v>300000</v>
      </c>
      <c r="D13" s="4">
        <f t="shared" ref="D13:I13" si="1">$C$8*C3+(1-$C$8)*(C13+C14)</f>
        <v>304348.3</v>
      </c>
      <c r="E13" s="4">
        <f t="shared" si="1"/>
        <v>307836.91700000002</v>
      </c>
      <c r="F13" s="4">
        <f t="shared" si="1"/>
        <v>311213.01313000004</v>
      </c>
      <c r="G13" s="4">
        <f t="shared" si="1"/>
        <v>315928.42951570003</v>
      </c>
      <c r="H13" s="4">
        <f t="shared" si="1"/>
        <v>317311.21996767307</v>
      </c>
      <c r="I13" s="4">
        <f t="shared" si="1"/>
        <v>319145.18917477201</v>
      </c>
    </row>
    <row r="14" spans="2:14" x14ac:dyDescent="0.2">
      <c r="B14" s="188" t="s">
        <v>4372</v>
      </c>
      <c r="C14" s="4">
        <f>C6</f>
        <v>3000</v>
      </c>
      <c r="D14" s="4">
        <f>$C$9*(D13-C13)+(1-$C$9)*C14</f>
        <v>3134.829999999999</v>
      </c>
      <c r="E14" s="4">
        <f t="shared" ref="E14:I14" si="2">$C$9*(E13-D13)+(1-$C$9)*D14</f>
        <v>3170.208700000002</v>
      </c>
      <c r="F14" s="4">
        <f t="shared" si="2"/>
        <v>3190.7974430000036</v>
      </c>
      <c r="G14" s="4">
        <f t="shared" si="2"/>
        <v>3343.259337270003</v>
      </c>
      <c r="H14" s="4">
        <f t="shared" si="2"/>
        <v>3147.2124487403066</v>
      </c>
      <c r="I14" s="4">
        <f t="shared" si="2"/>
        <v>3015.88812457617</v>
      </c>
    </row>
    <row r="15" spans="2:14" x14ac:dyDescent="0.2">
      <c r="B15" s="188" t="s">
        <v>4373</v>
      </c>
      <c r="C15" s="31">
        <f>+C14+C13</f>
        <v>303000</v>
      </c>
      <c r="D15" s="31">
        <f t="shared" ref="D15:I15" si="3">+D14+D13</f>
        <v>307483.13</v>
      </c>
      <c r="E15" s="31">
        <f t="shared" si="3"/>
        <v>311007.12570000003</v>
      </c>
      <c r="F15" s="31">
        <f t="shared" si="3"/>
        <v>314403.81057300005</v>
      </c>
      <c r="G15" s="31">
        <f t="shared" si="3"/>
        <v>319271.68885297002</v>
      </c>
      <c r="H15" s="31">
        <f t="shared" si="3"/>
        <v>320458.43241641339</v>
      </c>
      <c r="I15" s="31">
        <f t="shared" si="3"/>
        <v>322161.0772993482</v>
      </c>
    </row>
    <row r="16" spans="2:14" x14ac:dyDescent="0.2">
      <c r="D16">
        <v>316483</v>
      </c>
      <c r="E16">
        <v>311021</v>
      </c>
      <c r="F16">
        <v>313066</v>
      </c>
      <c r="G16">
        <v>329650</v>
      </c>
      <c r="H16">
        <v>299667</v>
      </c>
      <c r="I16">
        <v>307326</v>
      </c>
    </row>
    <row r="20" spans="2:8" x14ac:dyDescent="0.2">
      <c r="C20" s="4">
        <v>2011</v>
      </c>
      <c r="D20" s="4">
        <v>2012</v>
      </c>
      <c r="E20" s="4">
        <v>2013</v>
      </c>
      <c r="F20" s="4">
        <v>2014</v>
      </c>
      <c r="G20" s="4">
        <v>2015</v>
      </c>
      <c r="H20" s="4">
        <v>2016</v>
      </c>
    </row>
    <row r="21" spans="2:8" x14ac:dyDescent="0.2">
      <c r="B21" s="4" t="s">
        <v>3635</v>
      </c>
      <c r="C21" s="4">
        <v>316483</v>
      </c>
      <c r="D21" s="4">
        <v>311021</v>
      </c>
      <c r="E21" s="4">
        <v>313066</v>
      </c>
      <c r="F21" s="4">
        <v>329650</v>
      </c>
      <c r="G21" s="4">
        <v>299667</v>
      </c>
      <c r="H21" s="4">
        <v>307326</v>
      </c>
    </row>
    <row r="22" spans="2:8" x14ac:dyDescent="0.2">
      <c r="B22" s="4" t="s">
        <v>4359</v>
      </c>
      <c r="C22" s="4">
        <f>ROUNDUP(C15,0)</f>
        <v>303000</v>
      </c>
      <c r="D22" s="4">
        <f t="shared" ref="D22:H22" si="4">ROUNDUP(D15,0)</f>
        <v>307484</v>
      </c>
      <c r="E22" s="4">
        <f t="shared" si="4"/>
        <v>311008</v>
      </c>
      <c r="F22" s="4">
        <f t="shared" si="4"/>
        <v>314404</v>
      </c>
      <c r="G22" s="4">
        <f t="shared" si="4"/>
        <v>319272</v>
      </c>
      <c r="H22" s="4">
        <f t="shared" si="4"/>
        <v>320459</v>
      </c>
    </row>
    <row r="29" spans="2:8" x14ac:dyDescent="0.2">
      <c r="C29" s="55">
        <v>2017</v>
      </c>
      <c r="D29" s="55">
        <v>2018</v>
      </c>
      <c r="E29" s="55">
        <v>2019</v>
      </c>
      <c r="F29" s="55">
        <v>2020</v>
      </c>
      <c r="G29" s="55">
        <v>2021</v>
      </c>
      <c r="H29" s="55">
        <v>2022</v>
      </c>
    </row>
    <row r="30" spans="2:8" x14ac:dyDescent="0.2">
      <c r="B30" s="55" t="s">
        <v>4374</v>
      </c>
      <c r="C30" s="4">
        <f>'Regresión 3'!$B$22+'Regresión 3'!$B$23*'Proyección oferta Solgas TPP'!C29</f>
        <v>325210</v>
      </c>
      <c r="D30" s="4">
        <f>'Regresión 3'!$B$22+'Regresión 3'!$B$23*'Proyección oferta Solgas TPP'!D29</f>
        <v>328811.57142857183</v>
      </c>
      <c r="E30" s="4">
        <f>'Regresión 3'!$B$22+'Regresión 3'!$B$23*'Proyección oferta Solgas TPP'!E29</f>
        <v>332413.14285714272</v>
      </c>
      <c r="F30" s="4">
        <f>'Regresión 3'!$B$22+'Regresión 3'!$B$23*'Proyección oferta Solgas TPP'!F29</f>
        <v>336014.71428571455</v>
      </c>
      <c r="G30" s="4">
        <f>'Regresión 3'!$B$22+'Regresión 3'!$B$23*'Proyección oferta Solgas TPP'!G29</f>
        <v>339616.28571428638</v>
      </c>
      <c r="H30" s="4">
        <f>'Regresión 3'!$B$22+'Regresión 3'!$B$23*'Proyección oferta Solgas TPP'!H29</f>
        <v>343217.85714285728</v>
      </c>
    </row>
    <row r="31" spans="2:8" x14ac:dyDescent="0.2">
      <c r="B31" s="55" t="s">
        <v>4375</v>
      </c>
      <c r="C31" s="189">
        <f>+(C30-H22)/H22</f>
        <v>1.4825609516349985E-2</v>
      </c>
      <c r="D31" s="189">
        <f>+(D30-C30)/C30</f>
        <v>1.1074602344859715E-2</v>
      </c>
      <c r="E31" s="189">
        <f>+(E30-D30)/D30</f>
        <v>1.0953298915008746E-2</v>
      </c>
      <c r="F31" s="189">
        <f>+(F30-E30)/E30</f>
        <v>1.0834624039277631E-2</v>
      </c>
      <c r="G31" s="189">
        <f>+(G30-F30)/F30</f>
        <v>1.0718493195239653E-2</v>
      </c>
      <c r="H31" s="189">
        <f>+(H30-G30)/G30</f>
        <v>1.0604825445858741E-2</v>
      </c>
    </row>
    <row r="34" spans="2:11" x14ac:dyDescent="0.2">
      <c r="B34">
        <f>78713*12</f>
        <v>944556</v>
      </c>
    </row>
    <row r="36" spans="2:11" x14ac:dyDescent="0.2">
      <c r="C36" s="55">
        <v>2017</v>
      </c>
      <c r="D36" s="55">
        <v>2018</v>
      </c>
      <c r="E36" s="55">
        <v>2019</v>
      </c>
      <c r="F36" s="55">
        <v>2020</v>
      </c>
      <c r="G36" s="55">
        <v>2021</v>
      </c>
      <c r="H36" s="55">
        <v>2022</v>
      </c>
    </row>
    <row r="37" spans="2:11" x14ac:dyDescent="0.2">
      <c r="B37" s="55" t="s">
        <v>4374</v>
      </c>
      <c r="C37" s="36">
        <f>ROUNDUP($B$34*(1+C31),0)</f>
        <v>958560</v>
      </c>
      <c r="D37" s="36">
        <f>ROUNDUP(C37*(1+D31),0)</f>
        <v>969176</v>
      </c>
      <c r="E37" s="36">
        <f t="shared" ref="E37:H37" si="5">ROUNDUP(D37*(1+E31),0)</f>
        <v>979792</v>
      </c>
      <c r="F37" s="36">
        <f t="shared" si="5"/>
        <v>990408</v>
      </c>
      <c r="G37" s="36">
        <f t="shared" si="5"/>
        <v>1001024</v>
      </c>
      <c r="H37" s="36">
        <f t="shared" si="5"/>
        <v>1011640</v>
      </c>
    </row>
    <row r="42" spans="2:11" x14ac:dyDescent="0.2">
      <c r="C42" s="55">
        <v>2017</v>
      </c>
      <c r="D42" s="55">
        <v>2018</v>
      </c>
      <c r="E42" s="55">
        <v>2019</v>
      </c>
      <c r="F42" s="55">
        <v>2020</v>
      </c>
      <c r="G42" s="55">
        <v>2021</v>
      </c>
      <c r="H42" s="55">
        <v>2022</v>
      </c>
    </row>
    <row r="43" spans="2:11" x14ac:dyDescent="0.2">
      <c r="B43" s="55" t="s">
        <v>4376</v>
      </c>
      <c r="C43" s="48">
        <v>1408428</v>
      </c>
      <c r="D43" s="48">
        <v>1422444</v>
      </c>
      <c r="E43" s="48">
        <v>1436484</v>
      </c>
      <c r="F43" s="48">
        <v>1450512</v>
      </c>
      <c r="G43" s="48">
        <v>1464504</v>
      </c>
      <c r="H43" s="48">
        <v>1478544</v>
      </c>
    </row>
    <row r="44" spans="2:11" x14ac:dyDescent="0.2">
      <c r="B44" s="55" t="s">
        <v>4374</v>
      </c>
      <c r="C44" s="48">
        <v>958560</v>
      </c>
      <c r="D44" s="48">
        <v>969176</v>
      </c>
      <c r="E44" s="48">
        <v>979792</v>
      </c>
      <c r="F44" s="48">
        <v>990408</v>
      </c>
      <c r="G44" s="48">
        <v>1001024</v>
      </c>
      <c r="H44" s="48">
        <v>1011640</v>
      </c>
    </row>
    <row r="45" spans="2:11" x14ac:dyDescent="0.2">
      <c r="B45" s="55" t="s">
        <v>4377</v>
      </c>
      <c r="C45" s="36">
        <f>+C43-C44</f>
        <v>449868</v>
      </c>
      <c r="D45" s="36">
        <f t="shared" ref="D45:H45" si="6">+D43-D44</f>
        <v>453268</v>
      </c>
      <c r="E45" s="36">
        <f t="shared" si="6"/>
        <v>456692</v>
      </c>
      <c r="F45" s="36">
        <f t="shared" si="6"/>
        <v>460104</v>
      </c>
      <c r="G45" s="36">
        <f t="shared" si="6"/>
        <v>463480</v>
      </c>
      <c r="H45" s="36">
        <f t="shared" si="6"/>
        <v>466904</v>
      </c>
    </row>
    <row r="46" spans="2:11" x14ac:dyDescent="0.2">
      <c r="K46" s="190"/>
    </row>
    <row r="48" spans="2:11" x14ac:dyDescent="0.2">
      <c r="C48" s="55">
        <v>2017</v>
      </c>
      <c r="D48" s="55">
        <v>2018</v>
      </c>
      <c r="E48" s="55">
        <v>2019</v>
      </c>
      <c r="F48" s="55">
        <v>2020</v>
      </c>
      <c r="G48" s="55">
        <v>2021</v>
      </c>
      <c r="H48" s="55">
        <v>2022</v>
      </c>
    </row>
    <row r="49" spans="2:8" x14ac:dyDescent="0.2">
      <c r="B49" s="55" t="s">
        <v>4378</v>
      </c>
      <c r="C49" s="36">
        <f>+C45*0.53</f>
        <v>238430.04</v>
      </c>
      <c r="D49" s="36">
        <f>+D45*0.53*1.05</f>
        <v>252243.64200000002</v>
      </c>
      <c r="E49" s="36">
        <f>+E45*0.53*1.05^2</f>
        <v>266856.55290000001</v>
      </c>
      <c r="F49" s="36">
        <f>+F45*0.53*1.05^3</f>
        <v>282292.78329000005</v>
      </c>
      <c r="G49" s="36">
        <f>+G45*0.53*1.05^4</f>
        <v>298582.30347750004</v>
      </c>
      <c r="H49" s="36">
        <f>+H45*0.53*1.05^4</f>
        <v>300788.10697950004</v>
      </c>
    </row>
    <row r="51" spans="2:8" x14ac:dyDescent="0.2">
      <c r="C51" s="36">
        <f>+C49/12</f>
        <v>19869.170000000002</v>
      </c>
      <c r="D51" s="36">
        <f t="shared" ref="D51:H51" si="7">+D49/12</f>
        <v>21020.303500000002</v>
      </c>
      <c r="E51" s="36">
        <f t="shared" si="7"/>
        <v>22238.046075000002</v>
      </c>
      <c r="F51" s="36">
        <f t="shared" si="7"/>
        <v>23524.398607500003</v>
      </c>
      <c r="G51" s="36">
        <f t="shared" si="7"/>
        <v>24881.858623125005</v>
      </c>
      <c r="H51" s="36">
        <f t="shared" si="7"/>
        <v>25065.675581625004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3"/>
  <sheetViews>
    <sheetView workbookViewId="0">
      <selection activeCell="B22" sqref="B22"/>
    </sheetView>
  </sheetViews>
  <sheetFormatPr baseColWidth="10" defaultRowHeight="16" x14ac:dyDescent="0.2"/>
  <cols>
    <col min="1" max="1" width="29.5" bestFit="1" customWidth="1"/>
  </cols>
  <sheetData>
    <row r="1" spans="1:9" x14ac:dyDescent="0.2">
      <c r="A1" t="s">
        <v>3582</v>
      </c>
    </row>
    <row r="2" spans="1:9" ht="17" thickBot="1" x14ac:dyDescent="0.25"/>
    <row r="3" spans="1:9" x14ac:dyDescent="0.2">
      <c r="A3" s="65" t="s">
        <v>3583</v>
      </c>
      <c r="B3" s="65"/>
    </row>
    <row r="4" spans="1:9" x14ac:dyDescent="0.2">
      <c r="A4" s="27" t="s">
        <v>3584</v>
      </c>
      <c r="B4" s="27">
        <v>0.9925862082209449</v>
      </c>
    </row>
    <row r="5" spans="1:9" x14ac:dyDescent="0.2">
      <c r="A5" s="27" t="s">
        <v>3585</v>
      </c>
      <c r="B5" s="27">
        <v>0.98522738075043303</v>
      </c>
    </row>
    <row r="6" spans="1:9" x14ac:dyDescent="0.2">
      <c r="A6" s="27" t="s">
        <v>3586</v>
      </c>
      <c r="B6" s="27">
        <v>-1.5</v>
      </c>
    </row>
    <row r="7" spans="1:9" x14ac:dyDescent="0.2">
      <c r="A7" s="27" t="s">
        <v>3587</v>
      </c>
      <c r="B7" s="27">
        <v>922.44732718381817</v>
      </c>
    </row>
    <row r="8" spans="1:9" ht="17" thickBot="1" x14ac:dyDescent="0.25">
      <c r="A8" s="28" t="s">
        <v>3588</v>
      </c>
      <c r="B8" s="28">
        <v>1</v>
      </c>
    </row>
    <row r="10" spans="1:9" ht="17" thickBot="1" x14ac:dyDescent="0.25">
      <c r="A10" t="s">
        <v>3589</v>
      </c>
    </row>
    <row r="11" spans="1:9" x14ac:dyDescent="0.2">
      <c r="A11" s="29"/>
      <c r="B11" s="29" t="s">
        <v>3593</v>
      </c>
      <c r="C11" s="29" t="s">
        <v>3594</v>
      </c>
      <c r="D11" s="29" t="s">
        <v>3595</v>
      </c>
      <c r="E11" s="29" t="s">
        <v>3596</v>
      </c>
      <c r="F11" s="29" t="s">
        <v>3597</v>
      </c>
    </row>
    <row r="12" spans="1:9" x14ac:dyDescent="0.2">
      <c r="A12" s="27" t="s">
        <v>3590</v>
      </c>
      <c r="B12" s="27">
        <v>6</v>
      </c>
      <c r="C12" s="27">
        <v>226998043.21428573</v>
      </c>
      <c r="D12" s="27">
        <v>37833007.202380955</v>
      </c>
      <c r="E12" s="27">
        <v>266.77121073957329</v>
      </c>
      <c r="F12" s="27" t="e">
        <v>#NUM!</v>
      </c>
    </row>
    <row r="13" spans="1:9" x14ac:dyDescent="0.2">
      <c r="A13" s="27" t="s">
        <v>3591</v>
      </c>
      <c r="B13" s="27">
        <v>4</v>
      </c>
      <c r="C13" s="27">
        <v>3403636.2857142808</v>
      </c>
      <c r="D13" s="27">
        <v>850909.0714285702</v>
      </c>
      <c r="E13" s="27"/>
      <c r="F13" s="27"/>
    </row>
    <row r="14" spans="1:9" ht="17" thickBot="1" x14ac:dyDescent="0.25">
      <c r="A14" s="28" t="s">
        <v>3545</v>
      </c>
      <c r="B14" s="28">
        <v>10</v>
      </c>
      <c r="C14" s="28">
        <v>230401679.5</v>
      </c>
      <c r="D14" s="28"/>
      <c r="E14" s="28"/>
      <c r="F14" s="28"/>
    </row>
    <row r="15" spans="1:9" ht="17" thickBot="1" x14ac:dyDescent="0.25"/>
    <row r="16" spans="1:9" x14ac:dyDescent="0.2">
      <c r="A16" s="29"/>
      <c r="B16" s="29" t="s">
        <v>3598</v>
      </c>
      <c r="C16" s="29" t="s">
        <v>3587</v>
      </c>
      <c r="D16" s="29" t="s">
        <v>3599</v>
      </c>
      <c r="E16" s="29" t="s">
        <v>3600</v>
      </c>
      <c r="F16" s="29" t="s">
        <v>3601</v>
      </c>
      <c r="G16" s="29" t="s">
        <v>3602</v>
      </c>
      <c r="H16" s="29" t="s">
        <v>3603</v>
      </c>
      <c r="I16" s="29" t="s">
        <v>3604</v>
      </c>
    </row>
    <row r="17" spans="1:9" x14ac:dyDescent="0.2">
      <c r="A17" s="27" t="s">
        <v>3592</v>
      </c>
      <c r="B17" s="27"/>
      <c r="C17" s="27"/>
      <c r="D17" s="27"/>
      <c r="E17" s="27"/>
      <c r="F17" s="27"/>
      <c r="G17" s="27"/>
      <c r="H17" s="27">
        <v>3.6159851534081528E+165</v>
      </c>
      <c r="I17" s="27">
        <v>3.6159851534081528E+165</v>
      </c>
    </row>
    <row r="18" spans="1:9" x14ac:dyDescent="0.2">
      <c r="A18" s="27" t="s">
        <v>3605</v>
      </c>
      <c r="B18" s="27"/>
      <c r="C18" s="27"/>
      <c r="D18" s="27"/>
      <c r="E18" s="27"/>
      <c r="F18" s="27"/>
      <c r="G18" s="27"/>
      <c r="H18" s="27">
        <v>0</v>
      </c>
      <c r="I18" s="27">
        <v>0</v>
      </c>
    </row>
    <row r="19" spans="1:9" x14ac:dyDescent="0.2">
      <c r="A19" s="27" t="s">
        <v>3606</v>
      </c>
      <c r="B19" s="27"/>
      <c r="C19" s="27"/>
      <c r="D19" s="27"/>
      <c r="E19" s="27"/>
      <c r="F19" s="27"/>
      <c r="G19" s="27"/>
      <c r="H19" s="27">
        <v>0</v>
      </c>
      <c r="I19" s="27">
        <v>0</v>
      </c>
    </row>
    <row r="20" spans="1:9" x14ac:dyDescent="0.2">
      <c r="A20" s="27" t="s">
        <v>3607</v>
      </c>
      <c r="B20" s="27"/>
      <c r="C20" s="27"/>
      <c r="D20" s="27"/>
      <c r="E20" s="27"/>
      <c r="F20" s="27"/>
      <c r="G20" s="27"/>
      <c r="H20" s="27">
        <v>0</v>
      </c>
      <c r="I20" s="27">
        <v>0</v>
      </c>
    </row>
    <row r="21" spans="1:9" x14ac:dyDescent="0.2">
      <c r="A21" s="27" t="s">
        <v>3608</v>
      </c>
      <c r="B21" s="27"/>
      <c r="C21" s="27"/>
      <c r="D21" s="27"/>
      <c r="E21" s="27"/>
      <c r="F21" s="27"/>
      <c r="G21" s="27"/>
      <c r="H21" s="27">
        <v>-3.8497452446508749E-25</v>
      </c>
      <c r="I21" s="27">
        <v>-3.8497452446508749E-25</v>
      </c>
    </row>
    <row r="22" spans="1:9" x14ac:dyDescent="0.2">
      <c r="A22" s="27" t="s">
        <v>3609</v>
      </c>
      <c r="B22" s="27">
        <v>-6939159.5714285718</v>
      </c>
      <c r="C22" s="27">
        <v>443991.17980736098</v>
      </c>
      <c r="D22" s="27">
        <v>-15.629048249200212</v>
      </c>
      <c r="E22" s="27">
        <v>9.7872380653268631E-5</v>
      </c>
      <c r="F22" s="27">
        <v>-8171876.7093557129</v>
      </c>
      <c r="G22" s="27">
        <v>-5706442.4335014308</v>
      </c>
      <c r="H22" s="27">
        <v>-8171876.7093557129</v>
      </c>
      <c r="I22" s="27">
        <v>-5706442.4335014308</v>
      </c>
    </row>
    <row r="23" spans="1:9" ht="17" thickBot="1" x14ac:dyDescent="0.25">
      <c r="A23" s="28" t="s">
        <v>3610</v>
      </c>
      <c r="B23" s="28">
        <v>3601.5714285714289</v>
      </c>
      <c r="C23" s="28">
        <v>220.5070872108287</v>
      </c>
      <c r="D23" s="28">
        <v>16.333132300314393</v>
      </c>
      <c r="E23" s="28">
        <v>8.2242715845368513E-5</v>
      </c>
      <c r="F23" s="28">
        <v>2989.3456056235004</v>
      </c>
      <c r="G23" s="28">
        <v>4213.7972515193569</v>
      </c>
      <c r="H23" s="28">
        <v>2989.3456056235004</v>
      </c>
      <c r="I23" s="28">
        <v>4213.7972515193569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6"/>
  <sheetViews>
    <sheetView showGridLines="0" topLeftCell="A6" workbookViewId="0">
      <selection activeCell="B21" sqref="B21:E25"/>
    </sheetView>
  </sheetViews>
  <sheetFormatPr baseColWidth="10" defaultRowHeight="16" x14ac:dyDescent="0.2"/>
  <cols>
    <col min="1" max="1" width="5.83203125" customWidth="1"/>
    <col min="5" max="5" width="15.83203125" customWidth="1"/>
    <col min="6" max="6" width="7.83203125" customWidth="1"/>
    <col min="7" max="7" width="9.1640625" customWidth="1"/>
  </cols>
  <sheetData>
    <row r="2" spans="1:8" ht="30" customHeight="1" x14ac:dyDescent="0.2">
      <c r="B2" s="290" t="s">
        <v>3655</v>
      </c>
      <c r="C2" s="290"/>
      <c r="D2" s="290"/>
      <c r="E2" s="290"/>
      <c r="F2" s="56" t="s">
        <v>3654</v>
      </c>
      <c r="G2" s="56" t="s">
        <v>3653</v>
      </c>
      <c r="H2" s="57" t="s">
        <v>3652</v>
      </c>
    </row>
    <row r="3" spans="1:8" ht="30" customHeight="1" x14ac:dyDescent="0.2">
      <c r="A3" s="311" t="s">
        <v>3656</v>
      </c>
      <c r="B3" s="312" t="s">
        <v>4472</v>
      </c>
      <c r="C3" s="312"/>
      <c r="D3" s="312"/>
      <c r="E3" s="312"/>
      <c r="F3" s="60">
        <v>0.1</v>
      </c>
      <c r="G3" s="40">
        <v>3</v>
      </c>
      <c r="H3" s="40">
        <f>F3*G3</f>
        <v>0.30000000000000004</v>
      </c>
    </row>
    <row r="4" spans="1:8" ht="30" customHeight="1" x14ac:dyDescent="0.2">
      <c r="A4" s="311"/>
      <c r="B4" s="312" t="s">
        <v>3657</v>
      </c>
      <c r="C4" s="312"/>
      <c r="D4" s="312"/>
      <c r="E4" s="312"/>
      <c r="F4" s="40">
        <v>0.13</v>
      </c>
      <c r="G4" s="40">
        <v>4</v>
      </c>
      <c r="H4" s="40">
        <f t="shared" ref="H4:H12" si="0">F4*G4</f>
        <v>0.52</v>
      </c>
    </row>
    <row r="5" spans="1:8" ht="30" customHeight="1" x14ac:dyDescent="0.2">
      <c r="A5" s="311"/>
      <c r="B5" s="312" t="s">
        <v>3661</v>
      </c>
      <c r="C5" s="312"/>
      <c r="D5" s="312"/>
      <c r="E5" s="312"/>
      <c r="F5" s="40">
        <v>0.16</v>
      </c>
      <c r="G5" s="40">
        <v>3</v>
      </c>
      <c r="H5" s="40">
        <f t="shared" si="0"/>
        <v>0.48</v>
      </c>
    </row>
    <row r="6" spans="1:8" ht="30" customHeight="1" x14ac:dyDescent="0.2">
      <c r="A6" s="311"/>
      <c r="B6" s="312" t="s">
        <v>3671</v>
      </c>
      <c r="C6" s="312"/>
      <c r="D6" s="312"/>
      <c r="E6" s="312"/>
      <c r="F6" s="40">
        <v>0.14000000000000001</v>
      </c>
      <c r="G6" s="40">
        <v>4</v>
      </c>
      <c r="H6" s="40">
        <f t="shared" si="0"/>
        <v>0.56000000000000005</v>
      </c>
    </row>
    <row r="7" spans="1:8" ht="30" customHeight="1" x14ac:dyDescent="0.2">
      <c r="A7" s="311"/>
      <c r="B7" s="312" t="s">
        <v>3662</v>
      </c>
      <c r="C7" s="312"/>
      <c r="D7" s="312"/>
      <c r="E7" s="312"/>
      <c r="F7" s="40">
        <v>0.11</v>
      </c>
      <c r="G7" s="40">
        <v>4</v>
      </c>
      <c r="H7" s="40">
        <f t="shared" si="0"/>
        <v>0.44</v>
      </c>
    </row>
    <row r="8" spans="1:8" ht="30" customHeight="1" x14ac:dyDescent="0.2">
      <c r="A8" s="311" t="s">
        <v>3658</v>
      </c>
      <c r="B8" s="312" t="s">
        <v>4471</v>
      </c>
      <c r="C8" s="312"/>
      <c r="D8" s="312"/>
      <c r="E8" s="312"/>
      <c r="F8" s="40">
        <v>0.09</v>
      </c>
      <c r="G8" s="40">
        <v>2</v>
      </c>
      <c r="H8" s="40">
        <f t="shared" si="0"/>
        <v>0.18</v>
      </c>
    </row>
    <row r="9" spans="1:8" ht="30" customHeight="1" x14ac:dyDescent="0.2">
      <c r="A9" s="311"/>
      <c r="B9" s="312" t="s">
        <v>3659</v>
      </c>
      <c r="C9" s="312"/>
      <c r="D9" s="312"/>
      <c r="E9" s="312"/>
      <c r="F9" s="40">
        <v>0.12</v>
      </c>
      <c r="G9" s="40">
        <v>2</v>
      </c>
      <c r="H9" s="40">
        <f t="shared" si="0"/>
        <v>0.24</v>
      </c>
    </row>
    <row r="10" spans="1:8" ht="30" customHeight="1" x14ac:dyDescent="0.2">
      <c r="A10" s="311"/>
      <c r="B10" s="312" t="s">
        <v>3660</v>
      </c>
      <c r="C10" s="312"/>
      <c r="D10" s="312"/>
      <c r="E10" s="312"/>
      <c r="F10" s="40">
        <v>0.01</v>
      </c>
      <c r="G10" s="40">
        <v>1</v>
      </c>
      <c r="H10" s="40">
        <f t="shared" si="0"/>
        <v>0.01</v>
      </c>
    </row>
    <row r="11" spans="1:8" ht="30" customHeight="1" x14ac:dyDescent="0.2">
      <c r="A11" s="311"/>
      <c r="B11" s="312" t="s">
        <v>3663</v>
      </c>
      <c r="C11" s="312"/>
      <c r="D11" s="312"/>
      <c r="E11" s="312"/>
      <c r="F11" s="40">
        <v>0.08</v>
      </c>
      <c r="G11" s="40">
        <v>2</v>
      </c>
      <c r="H11" s="40">
        <f t="shared" si="0"/>
        <v>0.16</v>
      </c>
    </row>
    <row r="12" spans="1:8" ht="30" customHeight="1" x14ac:dyDescent="0.2">
      <c r="A12" s="311"/>
      <c r="B12" s="312" t="s">
        <v>3670</v>
      </c>
      <c r="C12" s="312"/>
      <c r="D12" s="312"/>
      <c r="E12" s="312"/>
      <c r="F12" s="40">
        <v>0.06</v>
      </c>
      <c r="G12" s="40">
        <v>1</v>
      </c>
      <c r="H12" s="40">
        <f t="shared" si="0"/>
        <v>0.06</v>
      </c>
    </row>
    <row r="13" spans="1:8" ht="20" customHeight="1" x14ac:dyDescent="0.2">
      <c r="A13" s="58"/>
      <c r="B13" s="310" t="s">
        <v>3572</v>
      </c>
      <c r="C13" s="310"/>
      <c r="D13" s="310"/>
      <c r="E13" s="310"/>
      <c r="F13" s="59">
        <f>+SUM(F3:F12)</f>
        <v>1</v>
      </c>
      <c r="G13" s="59"/>
      <c r="H13" s="59">
        <f>+SUM(H3:H12)</f>
        <v>2.9500000000000006</v>
      </c>
    </row>
    <row r="15" spans="1:8" ht="30" customHeight="1" x14ac:dyDescent="0.2">
      <c r="B15" s="290" t="s">
        <v>3666</v>
      </c>
      <c r="C15" s="290"/>
      <c r="D15" s="290"/>
      <c r="E15" s="290"/>
      <c r="F15" s="56" t="s">
        <v>3654</v>
      </c>
      <c r="G15" s="56" t="s">
        <v>3653</v>
      </c>
      <c r="H15" s="57" t="s">
        <v>3652</v>
      </c>
    </row>
    <row r="16" spans="1:8" ht="30" customHeight="1" x14ac:dyDescent="0.2">
      <c r="A16" s="311" t="s">
        <v>3665</v>
      </c>
      <c r="B16" s="312" t="s">
        <v>4470</v>
      </c>
      <c r="C16" s="312"/>
      <c r="D16" s="312"/>
      <c r="E16" s="312"/>
      <c r="F16" s="60">
        <v>0.19</v>
      </c>
      <c r="G16" s="40">
        <v>4</v>
      </c>
      <c r="H16" s="40">
        <f>F16*G16</f>
        <v>0.76</v>
      </c>
    </row>
    <row r="17" spans="1:8" ht="30" customHeight="1" x14ac:dyDescent="0.2">
      <c r="A17" s="311"/>
      <c r="B17" s="312" t="s">
        <v>3668</v>
      </c>
      <c r="C17" s="312"/>
      <c r="D17" s="312"/>
      <c r="E17" s="312"/>
      <c r="F17" s="40">
        <v>0.15</v>
      </c>
      <c r="G17" s="40">
        <v>3</v>
      </c>
      <c r="H17" s="40">
        <f t="shared" ref="H17:H25" si="1">F17*G17</f>
        <v>0.44999999999999996</v>
      </c>
    </row>
    <row r="18" spans="1:8" ht="30" customHeight="1" x14ac:dyDescent="0.2">
      <c r="A18" s="311"/>
      <c r="B18" s="312" t="s">
        <v>4478</v>
      </c>
      <c r="C18" s="312"/>
      <c r="D18" s="312"/>
      <c r="E18" s="312"/>
      <c r="F18" s="40">
        <v>0.12</v>
      </c>
      <c r="G18" s="40">
        <v>3</v>
      </c>
      <c r="H18" s="40">
        <f t="shared" si="1"/>
        <v>0.36</v>
      </c>
    </row>
    <row r="19" spans="1:8" ht="30" customHeight="1" x14ac:dyDescent="0.2">
      <c r="A19" s="311"/>
      <c r="B19" s="312" t="s">
        <v>4476</v>
      </c>
      <c r="C19" s="312"/>
      <c r="D19" s="312"/>
      <c r="E19" s="312"/>
      <c r="F19" s="40">
        <v>0.03</v>
      </c>
      <c r="G19" s="40">
        <v>2</v>
      </c>
      <c r="H19" s="40">
        <f t="shared" si="1"/>
        <v>0.06</v>
      </c>
    </row>
    <row r="20" spans="1:8" ht="30" customHeight="1" x14ac:dyDescent="0.2">
      <c r="A20" s="311"/>
      <c r="B20" s="312" t="s">
        <v>4477</v>
      </c>
      <c r="C20" s="312"/>
      <c r="D20" s="312"/>
      <c r="E20" s="312"/>
      <c r="F20" s="60">
        <v>0.13</v>
      </c>
      <c r="G20" s="40">
        <v>3</v>
      </c>
      <c r="H20" s="40">
        <f t="shared" si="1"/>
        <v>0.39</v>
      </c>
    </row>
    <row r="21" spans="1:8" ht="30" customHeight="1" x14ac:dyDescent="0.2">
      <c r="A21" s="311" t="s">
        <v>3664</v>
      </c>
      <c r="B21" s="312" t="s">
        <v>3667</v>
      </c>
      <c r="C21" s="312"/>
      <c r="D21" s="312"/>
      <c r="E21" s="312"/>
      <c r="F21" s="60">
        <v>0.1</v>
      </c>
      <c r="G21" s="40">
        <v>3</v>
      </c>
      <c r="H21" s="40">
        <f t="shared" si="1"/>
        <v>0.30000000000000004</v>
      </c>
    </row>
    <row r="22" spans="1:8" ht="30" customHeight="1" x14ac:dyDescent="0.2">
      <c r="A22" s="311"/>
      <c r="B22" s="312" t="s">
        <v>4473</v>
      </c>
      <c r="C22" s="312"/>
      <c r="D22" s="312"/>
      <c r="E22" s="312"/>
      <c r="F22" s="40">
        <v>0.06</v>
      </c>
      <c r="G22" s="40">
        <v>2</v>
      </c>
      <c r="H22" s="40">
        <f t="shared" si="1"/>
        <v>0.12</v>
      </c>
    </row>
    <row r="23" spans="1:8" ht="30" customHeight="1" x14ac:dyDescent="0.2">
      <c r="A23" s="311"/>
      <c r="B23" s="312" t="s">
        <v>3669</v>
      </c>
      <c r="C23" s="312"/>
      <c r="D23" s="312"/>
      <c r="E23" s="312"/>
      <c r="F23" s="40">
        <v>0.04</v>
      </c>
      <c r="G23" s="40">
        <v>2</v>
      </c>
      <c r="H23" s="40">
        <f t="shared" si="1"/>
        <v>0.08</v>
      </c>
    </row>
    <row r="24" spans="1:8" ht="30" customHeight="1" x14ac:dyDescent="0.2">
      <c r="A24" s="311"/>
      <c r="B24" s="312" t="s">
        <v>4474</v>
      </c>
      <c r="C24" s="312"/>
      <c r="D24" s="312"/>
      <c r="E24" s="312"/>
      <c r="F24" s="40">
        <v>7.0000000000000007E-2</v>
      </c>
      <c r="G24" s="40">
        <v>2</v>
      </c>
      <c r="H24" s="40">
        <f t="shared" si="1"/>
        <v>0.14000000000000001</v>
      </c>
    </row>
    <row r="25" spans="1:8" ht="30" customHeight="1" x14ac:dyDescent="0.2">
      <c r="A25" s="311"/>
      <c r="B25" s="312" t="s">
        <v>4475</v>
      </c>
      <c r="C25" s="312"/>
      <c r="D25" s="312"/>
      <c r="E25" s="312"/>
      <c r="F25" s="40">
        <v>0.11</v>
      </c>
      <c r="G25" s="40">
        <v>4</v>
      </c>
      <c r="H25" s="40">
        <f t="shared" si="1"/>
        <v>0.44</v>
      </c>
    </row>
    <row r="26" spans="1:8" ht="20" customHeight="1" x14ac:dyDescent="0.2">
      <c r="B26" s="310" t="s">
        <v>3572</v>
      </c>
      <c r="C26" s="310"/>
      <c r="D26" s="310"/>
      <c r="E26" s="310"/>
      <c r="F26" s="59">
        <f>+SUM(F16:F25)</f>
        <v>1.0000000000000002</v>
      </c>
      <c r="G26" s="59"/>
      <c r="H26" s="61">
        <f>+SUM(H16:H25)</f>
        <v>3.1000000000000005</v>
      </c>
    </row>
  </sheetData>
  <mergeCells count="28">
    <mergeCell ref="B2:E2"/>
    <mergeCell ref="B3:E3"/>
    <mergeCell ref="B4:E4"/>
    <mergeCell ref="B5:E5"/>
    <mergeCell ref="B6:E6"/>
    <mergeCell ref="A3:A7"/>
    <mergeCell ref="A8:A12"/>
    <mergeCell ref="B8:E8"/>
    <mergeCell ref="B9:E9"/>
    <mergeCell ref="B10:E10"/>
    <mergeCell ref="B11:E11"/>
    <mergeCell ref="B12:E12"/>
    <mergeCell ref="B7:E7"/>
    <mergeCell ref="B13:E13"/>
    <mergeCell ref="B26:E26"/>
    <mergeCell ref="A21:A25"/>
    <mergeCell ref="B21:E21"/>
    <mergeCell ref="B22:E22"/>
    <mergeCell ref="B23:E23"/>
    <mergeCell ref="B24:E24"/>
    <mergeCell ref="B25:E25"/>
    <mergeCell ref="B15:E15"/>
    <mergeCell ref="A16:A20"/>
    <mergeCell ref="B16:E16"/>
    <mergeCell ref="B17:E17"/>
    <mergeCell ref="B18:E18"/>
    <mergeCell ref="B19:E19"/>
    <mergeCell ref="B20:E20"/>
  </mergeCells>
  <phoneticPr fontId="15" type="noConversion"/>
  <pageMargins left="0.7" right="0.7" top="0.75" bottom="0.75" header="0.3" footer="0.3"/>
  <pageSetup paperSize="9"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L65"/>
  <sheetViews>
    <sheetView showGridLines="0" topLeftCell="A2" zoomScale="95" zoomScaleNormal="95" zoomScalePageLayoutView="95" workbookViewId="0">
      <selection activeCell="BR17" sqref="BR17"/>
    </sheetView>
  </sheetViews>
  <sheetFormatPr baseColWidth="10" defaultRowHeight="16" x14ac:dyDescent="0.2"/>
  <cols>
    <col min="2" max="63" width="1.6640625" customWidth="1"/>
    <col min="64" max="64" width="8.33203125" customWidth="1"/>
  </cols>
  <sheetData>
    <row r="2" spans="1:64" ht="10" customHeight="1" x14ac:dyDescent="0.2">
      <c r="A2" s="216"/>
      <c r="B2" s="313">
        <v>4</v>
      </c>
      <c r="C2" s="313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313">
        <v>3</v>
      </c>
      <c r="W2" s="313"/>
      <c r="X2" s="216"/>
      <c r="Y2" s="216"/>
      <c r="Z2" s="216"/>
      <c r="AA2" s="216"/>
      <c r="AB2" s="216"/>
      <c r="AC2" s="216"/>
      <c r="AD2" s="216"/>
      <c r="AE2" s="216"/>
      <c r="AF2" s="216"/>
      <c r="AG2" s="216"/>
      <c r="AH2" s="216"/>
      <c r="AI2" s="216"/>
      <c r="AJ2" s="216"/>
      <c r="AK2" s="216"/>
      <c r="AL2" s="216"/>
      <c r="AM2" s="216"/>
      <c r="AN2" s="216"/>
      <c r="AO2" s="216"/>
      <c r="AP2" s="313">
        <v>2</v>
      </c>
      <c r="AQ2" s="313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313">
        <v>1</v>
      </c>
      <c r="BK2" s="313"/>
    </row>
    <row r="3" spans="1:64" ht="10" customHeight="1" x14ac:dyDescent="0.2">
      <c r="A3" s="216"/>
      <c r="B3" s="313"/>
      <c r="C3" s="313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313"/>
      <c r="W3" s="313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313"/>
      <c r="AQ3" s="313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313"/>
      <c r="BK3" s="313"/>
    </row>
    <row r="4" spans="1:64" ht="10" customHeight="1" thickBot="1" x14ac:dyDescent="0.25">
      <c r="A4" s="216"/>
      <c r="B4" s="313"/>
      <c r="C4" s="313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316"/>
      <c r="W4" s="3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316"/>
      <c r="AQ4" s="3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313"/>
      <c r="BK4" s="313"/>
    </row>
    <row r="5" spans="1:64" ht="10" customHeight="1" x14ac:dyDescent="0.2">
      <c r="A5" s="216"/>
      <c r="B5" s="216"/>
      <c r="C5" s="216"/>
      <c r="D5" s="217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218"/>
      <c r="T5" s="218"/>
      <c r="U5" s="218"/>
      <c r="V5" s="218"/>
      <c r="W5" s="219"/>
      <c r="X5" s="220"/>
      <c r="Y5" s="218"/>
      <c r="Z5" s="218"/>
      <c r="AA5" s="218"/>
      <c r="AB5" s="218"/>
      <c r="AC5" s="218"/>
      <c r="AD5" s="218"/>
      <c r="AE5" s="218"/>
      <c r="AF5" s="218"/>
      <c r="AG5" s="218"/>
      <c r="AH5" s="218"/>
      <c r="AI5" s="218"/>
      <c r="AJ5" s="218"/>
      <c r="AK5" s="218"/>
      <c r="AL5" s="218"/>
      <c r="AM5" s="218"/>
      <c r="AN5" s="218"/>
      <c r="AO5" s="218"/>
      <c r="AP5" s="218"/>
      <c r="AQ5" s="219"/>
      <c r="AR5" s="221"/>
      <c r="AS5" s="222"/>
      <c r="AT5" s="222"/>
      <c r="AU5" s="222"/>
      <c r="AV5" s="222"/>
      <c r="AW5" s="222"/>
      <c r="AX5" s="222"/>
      <c r="AY5" s="222"/>
      <c r="AZ5" s="222"/>
      <c r="BA5" s="222"/>
      <c r="BB5" s="222"/>
      <c r="BC5" s="222"/>
      <c r="BD5" s="222"/>
      <c r="BE5" s="222"/>
      <c r="BF5" s="222"/>
      <c r="BG5" s="222"/>
      <c r="BH5" s="222"/>
      <c r="BI5" s="222"/>
      <c r="BJ5" s="222"/>
      <c r="BK5" s="223"/>
      <c r="BL5" s="314" t="s">
        <v>3672</v>
      </c>
    </row>
    <row r="6" spans="1:64" ht="10" customHeight="1" x14ac:dyDescent="0.2">
      <c r="A6" s="216"/>
      <c r="B6" s="216"/>
      <c r="C6" s="216"/>
      <c r="D6" s="224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6"/>
      <c r="X6" s="227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6"/>
      <c r="AR6" s="228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BE6" s="229"/>
      <c r="BF6" s="229"/>
      <c r="BG6" s="229"/>
      <c r="BH6" s="229"/>
      <c r="BI6" s="229"/>
      <c r="BJ6" s="229"/>
      <c r="BK6" s="230"/>
      <c r="BL6" s="314"/>
    </row>
    <row r="7" spans="1:64" ht="10" customHeight="1" x14ac:dyDescent="0.2">
      <c r="A7" s="216"/>
      <c r="B7" s="216"/>
      <c r="C7" s="216"/>
      <c r="D7" s="224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6"/>
      <c r="X7" s="227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6"/>
      <c r="AR7" s="228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30"/>
      <c r="BL7" s="314"/>
    </row>
    <row r="8" spans="1:64" ht="10" customHeight="1" x14ac:dyDescent="0.2">
      <c r="A8" s="216"/>
      <c r="B8" s="216"/>
      <c r="C8" s="216"/>
      <c r="D8" s="224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6"/>
      <c r="X8" s="227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6"/>
      <c r="AR8" s="228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30"/>
      <c r="BL8" s="314"/>
    </row>
    <row r="9" spans="1:64" ht="10" customHeight="1" x14ac:dyDescent="0.2">
      <c r="A9" s="216"/>
      <c r="B9" s="216"/>
      <c r="C9" s="216"/>
      <c r="D9" s="224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6"/>
      <c r="X9" s="227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6"/>
      <c r="AR9" s="228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30"/>
      <c r="BL9" s="314"/>
    </row>
    <row r="10" spans="1:64" ht="10" customHeight="1" x14ac:dyDescent="0.2">
      <c r="A10" s="216"/>
      <c r="B10" s="216"/>
      <c r="C10" s="216"/>
      <c r="D10" s="224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6"/>
      <c r="X10" s="227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6"/>
      <c r="AR10" s="228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30"/>
      <c r="BL10" s="314"/>
    </row>
    <row r="11" spans="1:64" ht="10" customHeight="1" x14ac:dyDescent="0.2">
      <c r="A11" s="216"/>
      <c r="B11" s="216"/>
      <c r="C11" s="216"/>
      <c r="D11" s="224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6"/>
      <c r="X11" s="227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6"/>
      <c r="AR11" s="228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30"/>
      <c r="BL11" s="314"/>
    </row>
    <row r="12" spans="1:64" ht="10" customHeight="1" x14ac:dyDescent="0.2">
      <c r="A12" s="216"/>
      <c r="B12" s="216"/>
      <c r="C12" s="216"/>
      <c r="D12" s="224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6"/>
      <c r="X12" s="227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6"/>
      <c r="AR12" s="228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30"/>
      <c r="BL12" s="314"/>
    </row>
    <row r="13" spans="1:64" ht="10" customHeight="1" x14ac:dyDescent="0.2">
      <c r="A13" s="216"/>
      <c r="B13" s="216"/>
      <c r="C13" s="216"/>
      <c r="D13" s="224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6"/>
      <c r="X13" s="227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6"/>
      <c r="AR13" s="228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30"/>
      <c r="BL13" s="314"/>
    </row>
    <row r="14" spans="1:64" ht="10" customHeight="1" x14ac:dyDescent="0.2">
      <c r="A14" s="216"/>
      <c r="B14" s="216"/>
      <c r="C14" s="216"/>
      <c r="D14" s="224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6"/>
      <c r="X14" s="227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6"/>
      <c r="AR14" s="228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30"/>
      <c r="BL14" s="314"/>
    </row>
    <row r="15" spans="1:64" ht="10" customHeight="1" x14ac:dyDescent="0.2">
      <c r="A15" s="216"/>
      <c r="B15" s="216"/>
      <c r="C15" s="216"/>
      <c r="D15" s="224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6"/>
      <c r="X15" s="227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6"/>
      <c r="AR15" s="228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30"/>
      <c r="BL15" s="314"/>
    </row>
    <row r="16" spans="1:64" ht="10" customHeight="1" x14ac:dyDescent="0.2">
      <c r="A16" s="216"/>
      <c r="B16" s="216"/>
      <c r="C16" s="216"/>
      <c r="D16" s="224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6"/>
      <c r="X16" s="227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6"/>
      <c r="AR16" s="228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30"/>
      <c r="BL16" s="314"/>
    </row>
    <row r="17" spans="1:64" ht="10" customHeight="1" x14ac:dyDescent="0.2">
      <c r="A17" s="216"/>
      <c r="B17" s="216"/>
      <c r="C17" s="216"/>
      <c r="D17" s="224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6"/>
      <c r="X17" s="227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6"/>
      <c r="AR17" s="228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30"/>
      <c r="BL17" s="314"/>
    </row>
    <row r="18" spans="1:64" ht="10" customHeight="1" x14ac:dyDescent="0.2">
      <c r="A18" s="216"/>
      <c r="B18" s="216"/>
      <c r="C18" s="216"/>
      <c r="D18" s="224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6"/>
      <c r="X18" s="227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6"/>
      <c r="AR18" s="228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30"/>
      <c r="BL18" s="314"/>
    </row>
    <row r="19" spans="1:64" ht="10" customHeight="1" x14ac:dyDescent="0.2">
      <c r="A19" s="216"/>
      <c r="B19" s="216"/>
      <c r="C19" s="216"/>
      <c r="D19" s="224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6"/>
      <c r="X19" s="227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6"/>
      <c r="AR19" s="228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30"/>
      <c r="BL19" s="314"/>
    </row>
    <row r="20" spans="1:64" ht="10" customHeight="1" x14ac:dyDescent="0.2">
      <c r="A20" s="216"/>
      <c r="B20" s="216"/>
      <c r="C20" s="216"/>
      <c r="D20" s="224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6"/>
      <c r="X20" s="227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6"/>
      <c r="AR20" s="228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30"/>
      <c r="BL20" s="314"/>
    </row>
    <row r="21" spans="1:64" ht="10" customHeight="1" x14ac:dyDescent="0.2">
      <c r="A21" s="216"/>
      <c r="B21" s="216"/>
      <c r="C21" s="216"/>
      <c r="D21" s="224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6"/>
      <c r="X21" s="227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6"/>
      <c r="AR21" s="228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30"/>
      <c r="BL21" s="314"/>
    </row>
    <row r="22" spans="1:64" ht="10" customHeight="1" thickBot="1" x14ac:dyDescent="0.25">
      <c r="A22" s="216"/>
      <c r="B22" s="313">
        <v>3</v>
      </c>
      <c r="C22" s="313"/>
      <c r="D22" s="231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3"/>
      <c r="X22" s="234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3"/>
      <c r="AR22" s="235"/>
      <c r="AS22" s="236"/>
      <c r="AT22" s="236"/>
      <c r="AU22" s="236"/>
      <c r="AV22" s="236"/>
      <c r="AW22" s="236"/>
      <c r="AX22" s="236"/>
      <c r="AY22" s="236"/>
      <c r="AZ22" s="236"/>
      <c r="BA22" s="236"/>
      <c r="BB22" s="236"/>
      <c r="BC22" s="236"/>
      <c r="BD22" s="236"/>
      <c r="BE22" s="236"/>
      <c r="BF22" s="236"/>
      <c r="BG22" s="236"/>
      <c r="BH22" s="236"/>
      <c r="BI22" s="236"/>
      <c r="BJ22" s="236"/>
      <c r="BK22" s="237"/>
      <c r="BL22" s="314"/>
    </row>
    <row r="23" spans="1:64" ht="10" customHeight="1" thickTop="1" x14ac:dyDescent="0.2">
      <c r="A23" s="238"/>
      <c r="B23" s="313"/>
      <c r="C23" s="313"/>
      <c r="D23" s="224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6"/>
      <c r="X23" s="227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6"/>
      <c r="AR23" s="228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30"/>
      <c r="BL23" s="314"/>
    </row>
    <row r="24" spans="1:64" ht="10" customHeight="1" thickBot="1" x14ac:dyDescent="0.25">
      <c r="A24" s="216"/>
      <c r="B24" s="313"/>
      <c r="C24" s="313"/>
      <c r="D24" s="239"/>
      <c r="E24" s="240"/>
      <c r="F24" s="240"/>
      <c r="G24" s="240"/>
      <c r="H24" s="240"/>
      <c r="I24" s="240"/>
      <c r="J24" s="240"/>
      <c r="K24" s="240"/>
      <c r="L24" s="240"/>
      <c r="M24" s="240"/>
      <c r="N24" s="240"/>
      <c r="O24" s="240"/>
      <c r="P24" s="240"/>
      <c r="Q24" s="240"/>
      <c r="R24" s="240"/>
      <c r="S24" s="240"/>
      <c r="T24" s="240"/>
      <c r="U24" s="240"/>
      <c r="V24" s="240"/>
      <c r="W24" s="241"/>
      <c r="X24" s="242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1"/>
      <c r="AR24" s="243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5"/>
      <c r="BL24" s="314"/>
    </row>
    <row r="25" spans="1:64" ht="10" customHeight="1" x14ac:dyDescent="0.2">
      <c r="A25" s="216"/>
      <c r="B25" s="216"/>
      <c r="C25" s="216"/>
      <c r="D25" s="217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9"/>
      <c r="X25" s="246"/>
      <c r="Y25" s="222"/>
      <c r="Z25" s="222"/>
      <c r="AA25" s="222"/>
      <c r="AB25" s="222"/>
      <c r="AC25" s="222"/>
      <c r="AD25" s="222"/>
      <c r="AE25" s="222"/>
      <c r="AF25" s="222"/>
      <c r="AG25" s="222"/>
      <c r="AH25" s="222"/>
      <c r="AI25" s="222"/>
      <c r="AJ25" s="222"/>
      <c r="AK25" s="222"/>
      <c r="AL25" s="222"/>
      <c r="AM25" s="222"/>
      <c r="AN25" s="222"/>
      <c r="AO25" s="222"/>
      <c r="AP25" s="222"/>
      <c r="AQ25" s="223"/>
      <c r="AR25" s="247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9"/>
      <c r="BL25" s="314"/>
    </row>
    <row r="26" spans="1:64" ht="10" customHeight="1" x14ac:dyDescent="0.2">
      <c r="A26" s="216"/>
      <c r="B26" s="216"/>
      <c r="C26" s="216"/>
      <c r="D26" s="224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6"/>
      <c r="X26" s="250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30"/>
      <c r="AR26" s="251"/>
      <c r="AS26" s="252"/>
      <c r="AT26" s="252"/>
      <c r="AU26" s="252"/>
      <c r="AV26" s="252"/>
      <c r="AW26" s="252"/>
      <c r="AX26" s="252"/>
      <c r="AY26" s="252"/>
      <c r="AZ26" s="252"/>
      <c r="BA26" s="252"/>
      <c r="BB26" s="252"/>
      <c r="BC26" s="252"/>
      <c r="BD26" s="252"/>
      <c r="BE26" s="252"/>
      <c r="BF26" s="252"/>
      <c r="BG26" s="252"/>
      <c r="BH26" s="252"/>
      <c r="BI26" s="252"/>
      <c r="BJ26" s="252"/>
      <c r="BK26" s="253"/>
      <c r="BL26" s="314"/>
    </row>
    <row r="27" spans="1:64" ht="10" customHeight="1" x14ac:dyDescent="0.2">
      <c r="A27" s="216"/>
      <c r="B27" s="216"/>
      <c r="C27" s="216"/>
      <c r="D27" s="224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6"/>
      <c r="X27" s="250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30"/>
      <c r="AR27" s="251"/>
      <c r="AS27" s="252"/>
      <c r="AT27" s="252"/>
      <c r="AU27" s="252"/>
      <c r="AV27" s="252"/>
      <c r="AW27" s="252"/>
      <c r="AX27" s="252"/>
      <c r="AY27" s="252"/>
      <c r="AZ27" s="252"/>
      <c r="BA27" s="252"/>
      <c r="BB27" s="252"/>
      <c r="BC27" s="252"/>
      <c r="BD27" s="252"/>
      <c r="BE27" s="252"/>
      <c r="BF27" s="252"/>
      <c r="BG27" s="252"/>
      <c r="BH27" s="252"/>
      <c r="BI27" s="252"/>
      <c r="BJ27" s="252"/>
      <c r="BK27" s="253"/>
      <c r="BL27" s="314"/>
    </row>
    <row r="28" spans="1:64" ht="10" customHeight="1" x14ac:dyDescent="0.2">
      <c r="A28" s="216"/>
      <c r="B28" s="216"/>
      <c r="C28" s="216"/>
      <c r="D28" s="224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6"/>
      <c r="X28" s="250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30"/>
      <c r="AR28" s="251"/>
      <c r="AS28" s="252"/>
      <c r="AT28" s="252"/>
      <c r="AU28" s="252"/>
      <c r="AV28" s="252"/>
      <c r="AW28" s="252"/>
      <c r="AX28" s="252"/>
      <c r="AY28" s="252"/>
      <c r="AZ28" s="252"/>
      <c r="BA28" s="252"/>
      <c r="BB28" s="252"/>
      <c r="BC28" s="252"/>
      <c r="BD28" s="252"/>
      <c r="BE28" s="252"/>
      <c r="BF28" s="252"/>
      <c r="BG28" s="252"/>
      <c r="BH28" s="252"/>
      <c r="BI28" s="252"/>
      <c r="BJ28" s="252"/>
      <c r="BK28" s="253"/>
      <c r="BL28" s="314"/>
    </row>
    <row r="29" spans="1:64" ht="10" customHeight="1" x14ac:dyDescent="0.2">
      <c r="A29" s="216"/>
      <c r="B29" s="216"/>
      <c r="C29" s="216"/>
      <c r="D29" s="224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6"/>
      <c r="X29" s="250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30"/>
      <c r="AR29" s="251"/>
      <c r="AS29" s="252"/>
      <c r="AT29" s="252"/>
      <c r="AU29" s="252"/>
      <c r="AV29" s="252"/>
      <c r="AW29" s="252"/>
      <c r="AX29" s="252"/>
      <c r="AY29" s="252"/>
      <c r="AZ29" s="252"/>
      <c r="BA29" s="252"/>
      <c r="BB29" s="252"/>
      <c r="BC29" s="252"/>
      <c r="BD29" s="252"/>
      <c r="BE29" s="252"/>
      <c r="BF29" s="252"/>
      <c r="BG29" s="252"/>
      <c r="BH29" s="252"/>
      <c r="BI29" s="252"/>
      <c r="BJ29" s="252"/>
      <c r="BK29" s="253"/>
      <c r="BL29" s="314"/>
    </row>
    <row r="30" spans="1:64" ht="10" customHeight="1" x14ac:dyDescent="0.2">
      <c r="A30" s="216"/>
      <c r="B30" s="216"/>
      <c r="C30" s="216"/>
      <c r="D30" s="224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6"/>
      <c r="X30" s="250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30"/>
      <c r="AR30" s="251"/>
      <c r="AS30" s="252"/>
      <c r="AT30" s="252"/>
      <c r="AU30" s="252"/>
      <c r="AV30" s="252"/>
      <c r="AW30" s="252"/>
      <c r="AX30" s="252"/>
      <c r="AY30" s="252"/>
      <c r="AZ30" s="252"/>
      <c r="BA30" s="252"/>
      <c r="BB30" s="252"/>
      <c r="BC30" s="252"/>
      <c r="BD30" s="252"/>
      <c r="BE30" s="252"/>
      <c r="BF30" s="252"/>
      <c r="BG30" s="252"/>
      <c r="BH30" s="252"/>
      <c r="BI30" s="252"/>
      <c r="BJ30" s="252"/>
      <c r="BK30" s="253"/>
      <c r="BL30" s="314"/>
    </row>
    <row r="31" spans="1:64" ht="10" customHeight="1" x14ac:dyDescent="0.2">
      <c r="A31" s="216"/>
      <c r="B31" s="216"/>
      <c r="C31" s="216"/>
      <c r="D31" s="224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6"/>
      <c r="X31" s="250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30"/>
      <c r="AR31" s="251"/>
      <c r="AS31" s="252"/>
      <c r="AT31" s="252"/>
      <c r="AU31" s="252"/>
      <c r="AV31" s="252"/>
      <c r="AW31" s="252"/>
      <c r="AX31" s="252"/>
      <c r="AY31" s="252"/>
      <c r="AZ31" s="252"/>
      <c r="BA31" s="252"/>
      <c r="BB31" s="252"/>
      <c r="BC31" s="252"/>
      <c r="BD31" s="252"/>
      <c r="BE31" s="252"/>
      <c r="BF31" s="252"/>
      <c r="BG31" s="252"/>
      <c r="BH31" s="252"/>
      <c r="BI31" s="252"/>
      <c r="BJ31" s="252"/>
      <c r="BK31" s="253"/>
      <c r="BL31" s="314"/>
    </row>
    <row r="32" spans="1:64" ht="10" customHeight="1" x14ac:dyDescent="0.2">
      <c r="A32" s="216"/>
      <c r="B32" s="216"/>
      <c r="C32" s="216"/>
      <c r="D32" s="224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6"/>
      <c r="X32" s="250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30"/>
      <c r="AR32" s="251"/>
      <c r="AS32" s="252"/>
      <c r="AT32" s="252"/>
      <c r="AU32" s="252"/>
      <c r="AV32" s="252"/>
      <c r="AW32" s="252"/>
      <c r="AX32" s="252"/>
      <c r="AY32" s="252"/>
      <c r="AZ32" s="252"/>
      <c r="BA32" s="252"/>
      <c r="BB32" s="252"/>
      <c r="BC32" s="252"/>
      <c r="BD32" s="252"/>
      <c r="BE32" s="252"/>
      <c r="BF32" s="252"/>
      <c r="BG32" s="252"/>
      <c r="BH32" s="252"/>
      <c r="BI32" s="252"/>
      <c r="BJ32" s="252"/>
      <c r="BK32" s="253"/>
      <c r="BL32" s="314"/>
    </row>
    <row r="33" spans="1:64" ht="10" customHeight="1" x14ac:dyDescent="0.2">
      <c r="A33" s="216"/>
      <c r="B33" s="216"/>
      <c r="C33" s="216"/>
      <c r="D33" s="224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6"/>
      <c r="X33" s="250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30"/>
      <c r="AR33" s="251"/>
      <c r="AS33" s="252"/>
      <c r="AT33" s="252"/>
      <c r="AU33" s="252"/>
      <c r="AV33" s="252"/>
      <c r="AW33" s="252"/>
      <c r="AX33" s="252"/>
      <c r="AY33" s="252"/>
      <c r="AZ33" s="252"/>
      <c r="BA33" s="252"/>
      <c r="BB33" s="252"/>
      <c r="BC33" s="252"/>
      <c r="BD33" s="252"/>
      <c r="BE33" s="252"/>
      <c r="BF33" s="252"/>
      <c r="BG33" s="252"/>
      <c r="BH33" s="252"/>
      <c r="BI33" s="252"/>
      <c r="BJ33" s="252"/>
      <c r="BK33" s="253"/>
      <c r="BL33" s="314"/>
    </row>
    <row r="34" spans="1:64" ht="10" customHeight="1" x14ac:dyDescent="0.2">
      <c r="A34" s="216"/>
      <c r="B34" s="216"/>
      <c r="C34" s="216"/>
      <c r="D34" s="224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6"/>
      <c r="X34" s="250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30"/>
      <c r="AR34" s="251"/>
      <c r="AS34" s="252"/>
      <c r="AT34" s="252"/>
      <c r="AU34" s="252"/>
      <c r="AV34" s="252"/>
      <c r="AW34" s="252"/>
      <c r="AX34" s="252"/>
      <c r="AY34" s="252"/>
      <c r="AZ34" s="252"/>
      <c r="BA34" s="252"/>
      <c r="BB34" s="252"/>
      <c r="BC34" s="252"/>
      <c r="BD34" s="252"/>
      <c r="BE34" s="252"/>
      <c r="BF34" s="252"/>
      <c r="BG34" s="252"/>
      <c r="BH34" s="252"/>
      <c r="BI34" s="252"/>
      <c r="BJ34" s="252"/>
      <c r="BK34" s="253"/>
      <c r="BL34" s="314"/>
    </row>
    <row r="35" spans="1:64" ht="10" customHeight="1" x14ac:dyDescent="0.2">
      <c r="A35" s="216"/>
      <c r="B35" s="216"/>
      <c r="C35" s="216"/>
      <c r="D35" s="224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6"/>
      <c r="X35" s="250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30"/>
      <c r="AR35" s="251"/>
      <c r="AS35" s="252"/>
      <c r="AT35" s="252"/>
      <c r="AU35" s="252"/>
      <c r="AV35" s="252"/>
      <c r="AW35" s="252"/>
      <c r="AX35" s="252"/>
      <c r="AY35" s="252"/>
      <c r="AZ35" s="252"/>
      <c r="BA35" s="252"/>
      <c r="BB35" s="252"/>
      <c r="BC35" s="252"/>
      <c r="BD35" s="252"/>
      <c r="BE35" s="252"/>
      <c r="BF35" s="252"/>
      <c r="BG35" s="252"/>
      <c r="BH35" s="252"/>
      <c r="BI35" s="252"/>
      <c r="BJ35" s="252"/>
      <c r="BK35" s="253"/>
      <c r="BL35" s="314"/>
    </row>
    <row r="36" spans="1:64" ht="10" customHeight="1" x14ac:dyDescent="0.2">
      <c r="A36" s="216"/>
      <c r="B36" s="216"/>
      <c r="C36" s="216"/>
      <c r="D36" s="224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6"/>
      <c r="X36" s="250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30"/>
      <c r="AR36" s="251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3"/>
      <c r="BL36" s="314"/>
    </row>
    <row r="37" spans="1:64" ht="10" customHeight="1" x14ac:dyDescent="0.2">
      <c r="A37" s="216"/>
      <c r="B37" s="216"/>
      <c r="C37" s="216"/>
      <c r="D37" s="224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6"/>
      <c r="X37" s="250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30"/>
      <c r="AR37" s="251"/>
      <c r="AS37" s="252"/>
      <c r="AT37" s="252"/>
      <c r="AU37" s="252"/>
      <c r="AV37" s="252"/>
      <c r="AW37" s="252"/>
      <c r="AX37" s="252"/>
      <c r="AY37" s="252"/>
      <c r="AZ37" s="252"/>
      <c r="BA37" s="252"/>
      <c r="BB37" s="252"/>
      <c r="BC37" s="252"/>
      <c r="BD37" s="252"/>
      <c r="BE37" s="252"/>
      <c r="BF37" s="252"/>
      <c r="BG37" s="252"/>
      <c r="BH37" s="252"/>
      <c r="BI37" s="252"/>
      <c r="BJ37" s="252"/>
      <c r="BK37" s="253"/>
      <c r="BL37" s="314"/>
    </row>
    <row r="38" spans="1:64" ht="10" customHeight="1" x14ac:dyDescent="0.2">
      <c r="A38" s="216"/>
      <c r="B38" s="216"/>
      <c r="C38" s="216"/>
      <c r="D38" s="224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6"/>
      <c r="X38" s="250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30"/>
      <c r="AR38" s="251"/>
      <c r="AS38" s="252"/>
      <c r="AT38" s="252"/>
      <c r="AU38" s="252"/>
      <c r="AV38" s="252"/>
      <c r="AW38" s="252"/>
      <c r="AX38" s="252"/>
      <c r="AY38" s="252"/>
      <c r="AZ38" s="252"/>
      <c r="BA38" s="252"/>
      <c r="BB38" s="252"/>
      <c r="BC38" s="252"/>
      <c r="BD38" s="252"/>
      <c r="BE38" s="252"/>
      <c r="BF38" s="252"/>
      <c r="BG38" s="252"/>
      <c r="BH38" s="252"/>
      <c r="BI38" s="252"/>
      <c r="BJ38" s="252"/>
      <c r="BK38" s="253"/>
      <c r="BL38" s="314"/>
    </row>
    <row r="39" spans="1:64" ht="10" customHeight="1" x14ac:dyDescent="0.2">
      <c r="A39" s="216"/>
      <c r="B39" s="216"/>
      <c r="C39" s="216"/>
      <c r="D39" s="224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6"/>
      <c r="X39" s="250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30"/>
      <c r="AR39" s="251"/>
      <c r="AS39" s="252"/>
      <c r="AT39" s="252"/>
      <c r="AU39" s="252"/>
      <c r="AV39" s="252"/>
      <c r="AW39" s="252"/>
      <c r="AX39" s="252"/>
      <c r="AY39" s="252"/>
      <c r="AZ39" s="252"/>
      <c r="BA39" s="252"/>
      <c r="BB39" s="252"/>
      <c r="BC39" s="252"/>
      <c r="BD39" s="252"/>
      <c r="BE39" s="252"/>
      <c r="BF39" s="252"/>
      <c r="BG39" s="252"/>
      <c r="BH39" s="252"/>
      <c r="BI39" s="252"/>
      <c r="BJ39" s="252"/>
      <c r="BK39" s="253"/>
      <c r="BL39" s="314"/>
    </row>
    <row r="40" spans="1:64" ht="10" customHeight="1" x14ac:dyDescent="0.2">
      <c r="A40" s="216"/>
      <c r="B40" s="216"/>
      <c r="C40" s="216"/>
      <c r="D40" s="224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6"/>
      <c r="X40" s="250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30"/>
      <c r="AR40" s="251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3"/>
      <c r="BL40" s="314"/>
    </row>
    <row r="41" spans="1:64" ht="10" customHeight="1" x14ac:dyDescent="0.2">
      <c r="A41" s="216"/>
      <c r="B41" s="216"/>
      <c r="C41" s="216"/>
      <c r="D41" s="224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6"/>
      <c r="X41" s="250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30"/>
      <c r="AR41" s="251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3"/>
      <c r="BL41" s="314"/>
    </row>
    <row r="42" spans="1:64" ht="10" customHeight="1" x14ac:dyDescent="0.2">
      <c r="A42" s="216"/>
      <c r="B42" s="313">
        <v>2</v>
      </c>
      <c r="C42" s="313"/>
      <c r="D42" s="224"/>
      <c r="E42" s="225"/>
      <c r="F42" s="225"/>
      <c r="G42" s="225"/>
      <c r="H42" s="225"/>
      <c r="I42" s="225"/>
      <c r="J42" s="225"/>
      <c r="K42" s="225"/>
      <c r="L42" s="225"/>
      <c r="M42" s="225"/>
      <c r="N42" s="225"/>
      <c r="O42" s="225"/>
      <c r="P42" s="225"/>
      <c r="Q42" s="225"/>
      <c r="R42" s="225"/>
      <c r="S42" s="225"/>
      <c r="T42" s="225"/>
      <c r="U42" s="225"/>
      <c r="V42" s="225"/>
      <c r="W42" s="226"/>
      <c r="X42" s="250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30"/>
      <c r="AR42" s="251"/>
      <c r="AS42" s="252"/>
      <c r="AT42" s="252"/>
      <c r="AU42" s="252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H42" s="252"/>
      <c r="BI42" s="252"/>
      <c r="BJ42" s="252"/>
      <c r="BK42" s="253"/>
      <c r="BL42" s="314"/>
    </row>
    <row r="43" spans="1:64" ht="10" customHeight="1" x14ac:dyDescent="0.2">
      <c r="A43" s="216"/>
      <c r="B43" s="313"/>
      <c r="C43" s="313"/>
      <c r="D43" s="224"/>
      <c r="E43" s="225"/>
      <c r="F43" s="225"/>
      <c r="G43" s="225"/>
      <c r="H43" s="225"/>
      <c r="I43" s="225"/>
      <c r="J43" s="225"/>
      <c r="K43" s="225"/>
      <c r="L43" s="225"/>
      <c r="M43" s="225"/>
      <c r="N43" s="225"/>
      <c r="O43" s="225"/>
      <c r="P43" s="225"/>
      <c r="Q43" s="225"/>
      <c r="R43" s="225"/>
      <c r="S43" s="225"/>
      <c r="T43" s="225"/>
      <c r="U43" s="225"/>
      <c r="V43" s="225"/>
      <c r="W43" s="226"/>
      <c r="X43" s="250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30"/>
      <c r="AR43" s="251"/>
      <c r="AS43" s="252"/>
      <c r="AT43" s="252"/>
      <c r="AU43" s="252"/>
      <c r="AV43" s="252"/>
      <c r="AW43" s="252"/>
      <c r="AX43" s="252"/>
      <c r="AY43" s="252"/>
      <c r="AZ43" s="252"/>
      <c r="BA43" s="252"/>
      <c r="BB43" s="252"/>
      <c r="BC43" s="252"/>
      <c r="BD43" s="252"/>
      <c r="BE43" s="252"/>
      <c r="BF43" s="252"/>
      <c r="BG43" s="252"/>
      <c r="BH43" s="252"/>
      <c r="BI43" s="252"/>
      <c r="BJ43" s="252"/>
      <c r="BK43" s="253"/>
      <c r="BL43" s="314"/>
    </row>
    <row r="44" spans="1:64" ht="10" customHeight="1" thickBot="1" x14ac:dyDescent="0.25">
      <c r="A44" s="216"/>
      <c r="B44" s="313"/>
      <c r="C44" s="313"/>
      <c r="D44" s="239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240"/>
      <c r="Q44" s="240"/>
      <c r="R44" s="240"/>
      <c r="S44" s="240"/>
      <c r="T44" s="240"/>
      <c r="U44" s="240"/>
      <c r="V44" s="240"/>
      <c r="W44" s="241"/>
      <c r="X44" s="254"/>
      <c r="Y44" s="244"/>
      <c r="Z44" s="244"/>
      <c r="AA44" s="244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4"/>
      <c r="AM44" s="244"/>
      <c r="AN44" s="244"/>
      <c r="AO44" s="244"/>
      <c r="AP44" s="244"/>
      <c r="AQ44" s="245"/>
      <c r="AR44" s="255"/>
      <c r="AS44" s="256"/>
      <c r="AT44" s="256"/>
      <c r="AU44" s="256"/>
      <c r="AV44" s="256"/>
      <c r="AW44" s="256"/>
      <c r="AX44" s="256"/>
      <c r="AY44" s="256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  <c r="BJ44" s="256"/>
      <c r="BK44" s="257"/>
      <c r="BL44" s="314"/>
    </row>
    <row r="45" spans="1:64" ht="10" customHeight="1" x14ac:dyDescent="0.2">
      <c r="A45" s="216"/>
      <c r="B45" s="216"/>
      <c r="C45" s="216"/>
      <c r="D45" s="221"/>
      <c r="E45" s="222"/>
      <c r="F45" s="222"/>
      <c r="G45" s="222"/>
      <c r="H45" s="222"/>
      <c r="I45" s="222"/>
      <c r="J45" s="222"/>
      <c r="K45" s="222"/>
      <c r="L45" s="222"/>
      <c r="M45" s="222"/>
      <c r="N45" s="222"/>
      <c r="O45" s="222"/>
      <c r="P45" s="222"/>
      <c r="Q45" s="222"/>
      <c r="R45" s="222"/>
      <c r="S45" s="222"/>
      <c r="T45" s="222"/>
      <c r="U45" s="222"/>
      <c r="V45" s="222"/>
      <c r="W45" s="223"/>
      <c r="X45" s="25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9"/>
      <c r="AR45" s="247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9"/>
      <c r="BL45" s="314"/>
    </row>
    <row r="46" spans="1:64" ht="10" customHeight="1" x14ac:dyDescent="0.2">
      <c r="A46" s="216"/>
      <c r="B46" s="216"/>
      <c r="C46" s="216"/>
      <c r="D46" s="228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29"/>
      <c r="T46" s="229"/>
      <c r="U46" s="229"/>
      <c r="V46" s="229"/>
      <c r="W46" s="230"/>
      <c r="X46" s="259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3"/>
      <c r="AR46" s="251"/>
      <c r="AS46" s="252"/>
      <c r="AT46" s="252"/>
      <c r="AU46" s="252"/>
      <c r="AV46" s="252"/>
      <c r="AW46" s="252"/>
      <c r="AX46" s="252"/>
      <c r="AY46" s="252"/>
      <c r="AZ46" s="252"/>
      <c r="BA46" s="252"/>
      <c r="BB46" s="252"/>
      <c r="BC46" s="252"/>
      <c r="BD46" s="252"/>
      <c r="BE46" s="252"/>
      <c r="BF46" s="252"/>
      <c r="BG46" s="252"/>
      <c r="BH46" s="252"/>
      <c r="BI46" s="252"/>
      <c r="BJ46" s="252"/>
      <c r="BK46" s="253"/>
      <c r="BL46" s="314"/>
    </row>
    <row r="47" spans="1:64" ht="10" customHeight="1" x14ac:dyDescent="0.2">
      <c r="A47" s="216"/>
      <c r="B47" s="216"/>
      <c r="C47" s="216"/>
      <c r="D47" s="228"/>
      <c r="E47" s="229"/>
      <c r="F47" s="229"/>
      <c r="G47" s="229"/>
      <c r="H47" s="229"/>
      <c r="I47" s="229"/>
      <c r="J47" s="229"/>
      <c r="K47" s="229"/>
      <c r="L47" s="229"/>
      <c r="M47" s="229"/>
      <c r="N47" s="229"/>
      <c r="O47" s="229"/>
      <c r="P47" s="229"/>
      <c r="Q47" s="229"/>
      <c r="R47" s="229"/>
      <c r="S47" s="229"/>
      <c r="T47" s="229"/>
      <c r="U47" s="229"/>
      <c r="V47" s="229"/>
      <c r="W47" s="230"/>
      <c r="X47" s="259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3"/>
      <c r="AR47" s="251"/>
      <c r="AS47" s="252"/>
      <c r="AT47" s="252"/>
      <c r="AU47" s="252"/>
      <c r="AV47" s="252"/>
      <c r="AW47" s="252"/>
      <c r="AX47" s="252"/>
      <c r="AY47" s="252"/>
      <c r="AZ47" s="252"/>
      <c r="BA47" s="252"/>
      <c r="BB47" s="252"/>
      <c r="BC47" s="252"/>
      <c r="BD47" s="252"/>
      <c r="BE47" s="252"/>
      <c r="BF47" s="252"/>
      <c r="BG47" s="252"/>
      <c r="BH47" s="252"/>
      <c r="BI47" s="252"/>
      <c r="BJ47" s="252"/>
      <c r="BK47" s="253"/>
      <c r="BL47" s="314"/>
    </row>
    <row r="48" spans="1:64" ht="10" customHeight="1" x14ac:dyDescent="0.2">
      <c r="A48" s="216"/>
      <c r="B48" s="216"/>
      <c r="C48" s="216"/>
      <c r="D48" s="228"/>
      <c r="E48" s="229"/>
      <c r="F48" s="229"/>
      <c r="G48" s="229"/>
      <c r="H48" s="229"/>
      <c r="I48" s="229"/>
      <c r="J48" s="229"/>
      <c r="K48" s="229"/>
      <c r="L48" s="229"/>
      <c r="M48" s="229"/>
      <c r="N48" s="229"/>
      <c r="O48" s="229"/>
      <c r="P48" s="229"/>
      <c r="Q48" s="229"/>
      <c r="R48" s="229"/>
      <c r="S48" s="229"/>
      <c r="T48" s="229"/>
      <c r="U48" s="229"/>
      <c r="V48" s="229"/>
      <c r="W48" s="230"/>
      <c r="X48" s="259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3"/>
      <c r="AR48" s="251"/>
      <c r="AS48" s="252"/>
      <c r="AT48" s="252"/>
      <c r="AU48" s="252"/>
      <c r="AV48" s="252"/>
      <c r="AW48" s="252"/>
      <c r="AX48" s="252"/>
      <c r="AY48" s="252"/>
      <c r="AZ48" s="252"/>
      <c r="BA48" s="252"/>
      <c r="BB48" s="252"/>
      <c r="BC48" s="252"/>
      <c r="BD48" s="252"/>
      <c r="BE48" s="252"/>
      <c r="BF48" s="252"/>
      <c r="BG48" s="252"/>
      <c r="BH48" s="252"/>
      <c r="BI48" s="252"/>
      <c r="BJ48" s="252"/>
      <c r="BK48" s="253"/>
      <c r="BL48" s="314"/>
    </row>
    <row r="49" spans="1:64" ht="10" customHeight="1" x14ac:dyDescent="0.2">
      <c r="A49" s="216"/>
      <c r="B49" s="216"/>
      <c r="C49" s="216"/>
      <c r="D49" s="228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29"/>
      <c r="T49" s="229"/>
      <c r="U49" s="229"/>
      <c r="V49" s="229"/>
      <c r="W49" s="230"/>
      <c r="X49" s="259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3"/>
      <c r="AR49" s="251"/>
      <c r="AS49" s="252"/>
      <c r="AT49" s="252"/>
      <c r="AU49" s="252"/>
      <c r="AV49" s="252"/>
      <c r="AW49" s="252"/>
      <c r="AX49" s="252"/>
      <c r="AY49" s="252"/>
      <c r="AZ49" s="252"/>
      <c r="BA49" s="252"/>
      <c r="BB49" s="252"/>
      <c r="BC49" s="252"/>
      <c r="BD49" s="252"/>
      <c r="BE49" s="252"/>
      <c r="BF49" s="252"/>
      <c r="BG49" s="252"/>
      <c r="BH49" s="252"/>
      <c r="BI49" s="252"/>
      <c r="BJ49" s="252"/>
      <c r="BK49" s="253"/>
      <c r="BL49" s="314"/>
    </row>
    <row r="50" spans="1:64" ht="10" customHeight="1" x14ac:dyDescent="0.2">
      <c r="A50" s="216"/>
      <c r="B50" s="216"/>
      <c r="C50" s="216"/>
      <c r="D50" s="228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9"/>
      <c r="R50" s="229"/>
      <c r="S50" s="229"/>
      <c r="T50" s="229"/>
      <c r="U50" s="229"/>
      <c r="V50" s="229"/>
      <c r="W50" s="230"/>
      <c r="X50" s="259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3"/>
      <c r="AR50" s="251"/>
      <c r="AS50" s="252"/>
      <c r="AT50" s="252"/>
      <c r="AU50" s="252"/>
      <c r="AV50" s="252"/>
      <c r="AW50" s="252"/>
      <c r="AX50" s="252"/>
      <c r="AY50" s="252"/>
      <c r="AZ50" s="252"/>
      <c r="BA50" s="252"/>
      <c r="BB50" s="252"/>
      <c r="BC50" s="252"/>
      <c r="BD50" s="252"/>
      <c r="BE50" s="252"/>
      <c r="BF50" s="252"/>
      <c r="BG50" s="252"/>
      <c r="BH50" s="252"/>
      <c r="BI50" s="252"/>
      <c r="BJ50" s="252"/>
      <c r="BK50" s="253"/>
      <c r="BL50" s="314"/>
    </row>
    <row r="51" spans="1:64" ht="10" customHeight="1" x14ac:dyDescent="0.2">
      <c r="A51" s="216"/>
      <c r="B51" s="216"/>
      <c r="C51" s="216"/>
      <c r="D51" s="228"/>
      <c r="E51" s="229"/>
      <c r="F51" s="229"/>
      <c r="G51" s="229"/>
      <c r="H51" s="229"/>
      <c r="I51" s="229"/>
      <c r="J51" s="229"/>
      <c r="K51" s="229"/>
      <c r="L51" s="229"/>
      <c r="M51" s="229"/>
      <c r="N51" s="229"/>
      <c r="O51" s="229"/>
      <c r="P51" s="229"/>
      <c r="Q51" s="229"/>
      <c r="R51" s="229"/>
      <c r="S51" s="229"/>
      <c r="T51" s="229"/>
      <c r="U51" s="229"/>
      <c r="V51" s="229"/>
      <c r="W51" s="230"/>
      <c r="X51" s="259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3"/>
      <c r="AR51" s="251"/>
      <c r="AS51" s="252"/>
      <c r="AT51" s="252"/>
      <c r="AU51" s="252"/>
      <c r="AV51" s="252"/>
      <c r="AW51" s="252"/>
      <c r="AX51" s="252"/>
      <c r="AY51" s="252"/>
      <c r="AZ51" s="252"/>
      <c r="BA51" s="252"/>
      <c r="BB51" s="252"/>
      <c r="BC51" s="252"/>
      <c r="BD51" s="252"/>
      <c r="BE51" s="252"/>
      <c r="BF51" s="252"/>
      <c r="BG51" s="252"/>
      <c r="BH51" s="252"/>
      <c r="BI51" s="252"/>
      <c r="BJ51" s="252"/>
      <c r="BK51" s="253"/>
      <c r="BL51" s="314"/>
    </row>
    <row r="52" spans="1:64" ht="10" customHeight="1" x14ac:dyDescent="0.2">
      <c r="A52" s="216"/>
      <c r="B52" s="216"/>
      <c r="C52" s="216"/>
      <c r="D52" s="228"/>
      <c r="E52" s="229"/>
      <c r="F52" s="229"/>
      <c r="G52" s="229"/>
      <c r="H52" s="229"/>
      <c r="I52" s="229"/>
      <c r="J52" s="229"/>
      <c r="K52" s="229"/>
      <c r="L52" s="229"/>
      <c r="M52" s="229"/>
      <c r="N52" s="229"/>
      <c r="O52" s="229"/>
      <c r="P52" s="229"/>
      <c r="Q52" s="229"/>
      <c r="R52" s="229"/>
      <c r="S52" s="229"/>
      <c r="T52" s="229"/>
      <c r="U52" s="229"/>
      <c r="V52" s="229"/>
      <c r="W52" s="230"/>
      <c r="X52" s="259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3"/>
      <c r="AR52" s="251"/>
      <c r="AS52" s="252"/>
      <c r="AT52" s="252"/>
      <c r="AU52" s="252"/>
      <c r="AV52" s="252"/>
      <c r="AW52" s="252"/>
      <c r="AX52" s="252"/>
      <c r="AY52" s="252"/>
      <c r="AZ52" s="252"/>
      <c r="BA52" s="252"/>
      <c r="BB52" s="252"/>
      <c r="BC52" s="252"/>
      <c r="BD52" s="252"/>
      <c r="BE52" s="252"/>
      <c r="BF52" s="252"/>
      <c r="BG52" s="252"/>
      <c r="BH52" s="252"/>
      <c r="BI52" s="252"/>
      <c r="BJ52" s="252"/>
      <c r="BK52" s="253"/>
      <c r="BL52" s="314"/>
    </row>
    <row r="53" spans="1:64" ht="10" customHeight="1" x14ac:dyDescent="0.2">
      <c r="A53" s="216"/>
      <c r="B53" s="216"/>
      <c r="C53" s="216"/>
      <c r="D53" s="228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229"/>
      <c r="P53" s="229"/>
      <c r="Q53" s="229"/>
      <c r="R53" s="229"/>
      <c r="S53" s="229"/>
      <c r="T53" s="229"/>
      <c r="U53" s="229"/>
      <c r="V53" s="229"/>
      <c r="W53" s="230"/>
      <c r="X53" s="259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3"/>
      <c r="AR53" s="251"/>
      <c r="AS53" s="252"/>
      <c r="AT53" s="252"/>
      <c r="AU53" s="252"/>
      <c r="AV53" s="252"/>
      <c r="AW53" s="252"/>
      <c r="AX53" s="252"/>
      <c r="AY53" s="252"/>
      <c r="AZ53" s="252"/>
      <c r="BA53" s="252"/>
      <c r="BB53" s="252"/>
      <c r="BC53" s="252"/>
      <c r="BD53" s="252"/>
      <c r="BE53" s="252"/>
      <c r="BF53" s="252"/>
      <c r="BG53" s="252"/>
      <c r="BH53" s="252"/>
      <c r="BI53" s="252"/>
      <c r="BJ53" s="252"/>
      <c r="BK53" s="253"/>
      <c r="BL53" s="314"/>
    </row>
    <row r="54" spans="1:64" ht="10" customHeight="1" x14ac:dyDescent="0.2">
      <c r="A54" s="216"/>
      <c r="B54" s="216"/>
      <c r="C54" s="216"/>
      <c r="D54" s="228"/>
      <c r="E54" s="229"/>
      <c r="F54" s="229"/>
      <c r="G54" s="229"/>
      <c r="H54" s="229"/>
      <c r="I54" s="229"/>
      <c r="J54" s="229"/>
      <c r="K54" s="229"/>
      <c r="L54" s="229"/>
      <c r="M54" s="229"/>
      <c r="N54" s="229"/>
      <c r="O54" s="229"/>
      <c r="P54" s="229"/>
      <c r="Q54" s="229"/>
      <c r="R54" s="229"/>
      <c r="S54" s="229"/>
      <c r="T54" s="229"/>
      <c r="U54" s="229"/>
      <c r="V54" s="229"/>
      <c r="W54" s="230"/>
      <c r="X54" s="259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3"/>
      <c r="AR54" s="251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3"/>
      <c r="BL54" s="314"/>
    </row>
    <row r="55" spans="1:64" ht="10" customHeight="1" x14ac:dyDescent="0.2">
      <c r="A55" s="216"/>
      <c r="B55" s="216"/>
      <c r="C55" s="216"/>
      <c r="D55" s="228"/>
      <c r="E55" s="229"/>
      <c r="F55" s="229"/>
      <c r="G55" s="229"/>
      <c r="H55" s="229"/>
      <c r="I55" s="229"/>
      <c r="J55" s="229"/>
      <c r="K55" s="229"/>
      <c r="L55" s="229"/>
      <c r="M55" s="229"/>
      <c r="N55" s="229"/>
      <c r="O55" s="229"/>
      <c r="P55" s="229"/>
      <c r="Q55" s="229"/>
      <c r="R55" s="229"/>
      <c r="S55" s="229"/>
      <c r="T55" s="229"/>
      <c r="U55" s="229"/>
      <c r="V55" s="229"/>
      <c r="W55" s="230"/>
      <c r="X55" s="259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3"/>
      <c r="AR55" s="251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3"/>
      <c r="BL55" s="314"/>
    </row>
    <row r="56" spans="1:64" ht="10" customHeight="1" x14ac:dyDescent="0.2">
      <c r="A56" s="216"/>
      <c r="B56" s="216"/>
      <c r="C56" s="216"/>
      <c r="D56" s="228"/>
      <c r="E56" s="229"/>
      <c r="F56" s="229"/>
      <c r="G56" s="229"/>
      <c r="H56" s="229"/>
      <c r="I56" s="229"/>
      <c r="J56" s="229"/>
      <c r="K56" s="229"/>
      <c r="L56" s="229"/>
      <c r="M56" s="229"/>
      <c r="N56" s="229"/>
      <c r="O56" s="229"/>
      <c r="P56" s="229"/>
      <c r="Q56" s="229"/>
      <c r="R56" s="229"/>
      <c r="S56" s="229"/>
      <c r="T56" s="229"/>
      <c r="U56" s="229"/>
      <c r="V56" s="229"/>
      <c r="W56" s="230"/>
      <c r="X56" s="259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3"/>
      <c r="AR56" s="251"/>
      <c r="AS56" s="252"/>
      <c r="AT56" s="252"/>
      <c r="AU56" s="252"/>
      <c r="AV56" s="252"/>
      <c r="AW56" s="252"/>
      <c r="AX56" s="252"/>
      <c r="AY56" s="252"/>
      <c r="AZ56" s="252"/>
      <c r="BA56" s="252"/>
      <c r="BB56" s="252"/>
      <c r="BC56" s="252"/>
      <c r="BD56" s="252"/>
      <c r="BE56" s="252"/>
      <c r="BF56" s="252"/>
      <c r="BG56" s="252"/>
      <c r="BH56" s="252"/>
      <c r="BI56" s="252"/>
      <c r="BJ56" s="252"/>
      <c r="BK56" s="253"/>
      <c r="BL56" s="314"/>
    </row>
    <row r="57" spans="1:64" ht="10" customHeight="1" x14ac:dyDescent="0.2">
      <c r="A57" s="216"/>
      <c r="B57" s="216"/>
      <c r="C57" s="216"/>
      <c r="D57" s="228"/>
      <c r="E57" s="229"/>
      <c r="F57" s="229"/>
      <c r="G57" s="229"/>
      <c r="H57" s="229"/>
      <c r="I57" s="229"/>
      <c r="J57" s="229"/>
      <c r="K57" s="229"/>
      <c r="L57" s="229"/>
      <c r="M57" s="229"/>
      <c r="N57" s="229"/>
      <c r="O57" s="229"/>
      <c r="P57" s="229"/>
      <c r="Q57" s="229"/>
      <c r="R57" s="229"/>
      <c r="S57" s="229"/>
      <c r="T57" s="229"/>
      <c r="U57" s="229"/>
      <c r="V57" s="229"/>
      <c r="W57" s="230"/>
      <c r="X57" s="259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3"/>
      <c r="AR57" s="251"/>
      <c r="AS57" s="252"/>
      <c r="AT57" s="252"/>
      <c r="AU57" s="252"/>
      <c r="AV57" s="252"/>
      <c r="AW57" s="252"/>
      <c r="AX57" s="252"/>
      <c r="AY57" s="252"/>
      <c r="AZ57" s="252"/>
      <c r="BA57" s="252"/>
      <c r="BB57" s="252"/>
      <c r="BC57" s="252"/>
      <c r="BD57" s="252"/>
      <c r="BE57" s="252"/>
      <c r="BF57" s="252"/>
      <c r="BG57" s="252"/>
      <c r="BH57" s="252"/>
      <c r="BI57" s="252"/>
      <c r="BJ57" s="252"/>
      <c r="BK57" s="253"/>
      <c r="BL57" s="314"/>
    </row>
    <row r="58" spans="1:64" ht="10" customHeight="1" x14ac:dyDescent="0.2">
      <c r="A58" s="216"/>
      <c r="B58" s="216"/>
      <c r="C58" s="216"/>
      <c r="D58" s="228"/>
      <c r="E58" s="229"/>
      <c r="F58" s="229"/>
      <c r="G58" s="229"/>
      <c r="H58" s="229"/>
      <c r="I58" s="229"/>
      <c r="J58" s="229"/>
      <c r="K58" s="229"/>
      <c r="L58" s="229"/>
      <c r="M58" s="229"/>
      <c r="N58" s="229"/>
      <c r="O58" s="229"/>
      <c r="P58" s="229"/>
      <c r="Q58" s="229"/>
      <c r="R58" s="229"/>
      <c r="S58" s="229"/>
      <c r="T58" s="229"/>
      <c r="U58" s="229"/>
      <c r="V58" s="229"/>
      <c r="W58" s="230"/>
      <c r="X58" s="259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3"/>
      <c r="AR58" s="251"/>
      <c r="AS58" s="252"/>
      <c r="AT58" s="252"/>
      <c r="AU58" s="252"/>
      <c r="AV58" s="252"/>
      <c r="AW58" s="252"/>
      <c r="AX58" s="252"/>
      <c r="AY58" s="252"/>
      <c r="AZ58" s="252"/>
      <c r="BA58" s="252"/>
      <c r="BB58" s="252"/>
      <c r="BC58" s="252"/>
      <c r="BD58" s="252"/>
      <c r="BE58" s="252"/>
      <c r="BF58" s="252"/>
      <c r="BG58" s="252"/>
      <c r="BH58" s="252"/>
      <c r="BI58" s="252"/>
      <c r="BJ58" s="252"/>
      <c r="BK58" s="253"/>
      <c r="BL58" s="314"/>
    </row>
    <row r="59" spans="1:64" ht="10" customHeight="1" x14ac:dyDescent="0.2">
      <c r="A59" s="216"/>
      <c r="B59" s="216"/>
      <c r="C59" s="216"/>
      <c r="D59" s="228"/>
      <c r="E59" s="229"/>
      <c r="F59" s="229"/>
      <c r="G59" s="229"/>
      <c r="H59" s="229"/>
      <c r="I59" s="229"/>
      <c r="J59" s="229"/>
      <c r="K59" s="229"/>
      <c r="L59" s="229"/>
      <c r="M59" s="229"/>
      <c r="N59" s="229"/>
      <c r="O59" s="229"/>
      <c r="P59" s="229"/>
      <c r="Q59" s="229"/>
      <c r="R59" s="229"/>
      <c r="S59" s="229"/>
      <c r="T59" s="229"/>
      <c r="U59" s="229"/>
      <c r="V59" s="229"/>
      <c r="W59" s="230"/>
      <c r="X59" s="259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3"/>
      <c r="AR59" s="251"/>
      <c r="AS59" s="252"/>
      <c r="AT59" s="252"/>
      <c r="AU59" s="252"/>
      <c r="AV59" s="252"/>
      <c r="AW59" s="252"/>
      <c r="AX59" s="252"/>
      <c r="AY59" s="252"/>
      <c r="AZ59" s="252"/>
      <c r="BA59" s="252"/>
      <c r="BB59" s="252"/>
      <c r="BC59" s="252"/>
      <c r="BD59" s="252"/>
      <c r="BE59" s="252"/>
      <c r="BF59" s="252"/>
      <c r="BG59" s="252"/>
      <c r="BH59" s="252"/>
      <c r="BI59" s="252"/>
      <c r="BJ59" s="252"/>
      <c r="BK59" s="253"/>
      <c r="BL59" s="314"/>
    </row>
    <row r="60" spans="1:64" ht="10" customHeight="1" x14ac:dyDescent="0.2">
      <c r="A60" s="216"/>
      <c r="B60" s="216"/>
      <c r="C60" s="216"/>
      <c r="D60" s="228"/>
      <c r="E60" s="229"/>
      <c r="F60" s="229"/>
      <c r="G60" s="229"/>
      <c r="H60" s="229"/>
      <c r="I60" s="229"/>
      <c r="J60" s="229"/>
      <c r="K60" s="229"/>
      <c r="L60" s="229"/>
      <c r="M60" s="229"/>
      <c r="N60" s="229"/>
      <c r="O60" s="229"/>
      <c r="P60" s="229"/>
      <c r="Q60" s="229"/>
      <c r="R60" s="229"/>
      <c r="S60" s="229"/>
      <c r="T60" s="229"/>
      <c r="U60" s="229"/>
      <c r="V60" s="229"/>
      <c r="W60" s="230"/>
      <c r="X60" s="259"/>
      <c r="Y60" s="252"/>
      <c r="Z60" s="252"/>
      <c r="AA60" s="252"/>
      <c r="AB60" s="252"/>
      <c r="AC60" s="252"/>
      <c r="AD60" s="252"/>
      <c r="AE60" s="252"/>
      <c r="AF60" s="252"/>
      <c r="AG60" s="252"/>
      <c r="AH60" s="252"/>
      <c r="AI60" s="252"/>
      <c r="AJ60" s="252"/>
      <c r="AK60" s="252"/>
      <c r="AL60" s="252"/>
      <c r="AM60" s="252"/>
      <c r="AN60" s="252"/>
      <c r="AO60" s="252"/>
      <c r="AP60" s="252"/>
      <c r="AQ60" s="253"/>
      <c r="AR60" s="251"/>
      <c r="AS60" s="252"/>
      <c r="AT60" s="252"/>
      <c r="AU60" s="252"/>
      <c r="AV60" s="252"/>
      <c r="AW60" s="252"/>
      <c r="AX60" s="252"/>
      <c r="AY60" s="252"/>
      <c r="AZ60" s="252"/>
      <c r="BA60" s="252"/>
      <c r="BB60" s="252"/>
      <c r="BC60" s="252"/>
      <c r="BD60" s="252"/>
      <c r="BE60" s="252"/>
      <c r="BF60" s="252"/>
      <c r="BG60" s="252"/>
      <c r="BH60" s="252"/>
      <c r="BI60" s="252"/>
      <c r="BJ60" s="252"/>
      <c r="BK60" s="253"/>
      <c r="BL60" s="314"/>
    </row>
    <row r="61" spans="1:64" ht="10" customHeight="1" x14ac:dyDescent="0.2">
      <c r="A61" s="216"/>
      <c r="B61" s="216"/>
      <c r="C61" s="216"/>
      <c r="D61" s="228"/>
      <c r="E61" s="229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30"/>
      <c r="X61" s="259"/>
      <c r="Y61" s="252"/>
      <c r="Z61" s="252"/>
      <c r="AA61" s="252"/>
      <c r="AB61" s="252"/>
      <c r="AC61" s="252"/>
      <c r="AD61" s="252"/>
      <c r="AE61" s="252"/>
      <c r="AF61" s="252"/>
      <c r="AG61" s="252"/>
      <c r="AH61" s="252"/>
      <c r="AI61" s="252"/>
      <c r="AJ61" s="252"/>
      <c r="AK61" s="252"/>
      <c r="AL61" s="252"/>
      <c r="AM61" s="252"/>
      <c r="AN61" s="252"/>
      <c r="AO61" s="252"/>
      <c r="AP61" s="252"/>
      <c r="AQ61" s="253"/>
      <c r="AR61" s="251"/>
      <c r="AS61" s="252"/>
      <c r="AT61" s="252"/>
      <c r="AU61" s="252"/>
      <c r="AV61" s="252"/>
      <c r="AW61" s="252"/>
      <c r="AX61" s="252"/>
      <c r="AY61" s="252"/>
      <c r="AZ61" s="252"/>
      <c r="BA61" s="252"/>
      <c r="BB61" s="252"/>
      <c r="BC61" s="252"/>
      <c r="BD61" s="252"/>
      <c r="BE61" s="252"/>
      <c r="BF61" s="252"/>
      <c r="BG61" s="252"/>
      <c r="BH61" s="252"/>
      <c r="BI61" s="252"/>
      <c r="BJ61" s="252"/>
      <c r="BK61" s="253"/>
      <c r="BL61" s="314"/>
    </row>
    <row r="62" spans="1:64" ht="10" customHeight="1" x14ac:dyDescent="0.2">
      <c r="A62" s="216"/>
      <c r="B62" s="313">
        <v>1</v>
      </c>
      <c r="C62" s="313"/>
      <c r="D62" s="228"/>
      <c r="E62" s="229"/>
      <c r="F62" s="229"/>
      <c r="G62" s="229"/>
      <c r="H62" s="229"/>
      <c r="I62" s="229"/>
      <c r="J62" s="229"/>
      <c r="K62" s="229"/>
      <c r="L62" s="229"/>
      <c r="M62" s="229"/>
      <c r="N62" s="229"/>
      <c r="O62" s="229"/>
      <c r="P62" s="229"/>
      <c r="Q62" s="229"/>
      <c r="R62" s="229"/>
      <c r="S62" s="229"/>
      <c r="T62" s="229"/>
      <c r="U62" s="229"/>
      <c r="V62" s="229"/>
      <c r="W62" s="230"/>
      <c r="X62" s="259"/>
      <c r="Y62" s="252"/>
      <c r="Z62" s="252"/>
      <c r="AA62" s="252"/>
      <c r="AB62" s="252"/>
      <c r="AC62" s="252"/>
      <c r="AD62" s="252"/>
      <c r="AE62" s="252"/>
      <c r="AF62" s="252"/>
      <c r="AG62" s="252"/>
      <c r="AH62" s="252"/>
      <c r="AI62" s="252"/>
      <c r="AJ62" s="252"/>
      <c r="AK62" s="252"/>
      <c r="AL62" s="252"/>
      <c r="AM62" s="252"/>
      <c r="AN62" s="252"/>
      <c r="AO62" s="252"/>
      <c r="AP62" s="252"/>
      <c r="AQ62" s="253"/>
      <c r="AR62" s="251"/>
      <c r="AS62" s="252"/>
      <c r="AT62" s="252"/>
      <c r="AU62" s="252"/>
      <c r="AV62" s="252"/>
      <c r="AW62" s="252"/>
      <c r="AX62" s="252"/>
      <c r="AY62" s="252"/>
      <c r="AZ62" s="252"/>
      <c r="BA62" s="252"/>
      <c r="BB62" s="252"/>
      <c r="BC62" s="252"/>
      <c r="BD62" s="252"/>
      <c r="BE62" s="252"/>
      <c r="BF62" s="252"/>
      <c r="BG62" s="252"/>
      <c r="BH62" s="252"/>
      <c r="BI62" s="252"/>
      <c r="BJ62" s="252"/>
      <c r="BK62" s="253"/>
      <c r="BL62" s="314"/>
    </row>
    <row r="63" spans="1:64" ht="10" customHeight="1" x14ac:dyDescent="0.2">
      <c r="A63" s="216"/>
      <c r="B63" s="313"/>
      <c r="C63" s="313"/>
      <c r="D63" s="228"/>
      <c r="E63" s="229"/>
      <c r="F63" s="229"/>
      <c r="G63" s="229"/>
      <c r="H63" s="229"/>
      <c r="I63" s="229"/>
      <c r="J63" s="229"/>
      <c r="K63" s="229"/>
      <c r="L63" s="229"/>
      <c r="M63" s="229"/>
      <c r="N63" s="229"/>
      <c r="O63" s="229"/>
      <c r="P63" s="229"/>
      <c r="Q63" s="229"/>
      <c r="R63" s="229"/>
      <c r="S63" s="229"/>
      <c r="T63" s="229"/>
      <c r="U63" s="229"/>
      <c r="V63" s="229"/>
      <c r="W63" s="230"/>
      <c r="X63" s="259"/>
      <c r="Y63" s="252"/>
      <c r="Z63" s="252"/>
      <c r="AA63" s="252"/>
      <c r="AB63" s="252"/>
      <c r="AC63" s="252"/>
      <c r="AD63" s="252"/>
      <c r="AE63" s="252"/>
      <c r="AF63" s="252"/>
      <c r="AG63" s="252"/>
      <c r="AH63" s="252"/>
      <c r="AI63" s="252"/>
      <c r="AJ63" s="252"/>
      <c r="AK63" s="252"/>
      <c r="AL63" s="252"/>
      <c r="AM63" s="252"/>
      <c r="AN63" s="252"/>
      <c r="AO63" s="252"/>
      <c r="AP63" s="252"/>
      <c r="AQ63" s="253"/>
      <c r="AR63" s="251"/>
      <c r="AS63" s="252"/>
      <c r="AT63" s="252"/>
      <c r="AU63" s="252"/>
      <c r="AV63" s="252"/>
      <c r="AW63" s="252"/>
      <c r="AX63" s="252"/>
      <c r="AY63" s="252"/>
      <c r="AZ63" s="252"/>
      <c r="BA63" s="252"/>
      <c r="BB63" s="252"/>
      <c r="BC63" s="252"/>
      <c r="BD63" s="252"/>
      <c r="BE63" s="252"/>
      <c r="BF63" s="252"/>
      <c r="BG63" s="252"/>
      <c r="BH63" s="252"/>
      <c r="BI63" s="252"/>
      <c r="BJ63" s="252"/>
      <c r="BK63" s="253"/>
      <c r="BL63" s="314"/>
    </row>
    <row r="64" spans="1:64" ht="10" customHeight="1" thickBot="1" x14ac:dyDescent="0.25">
      <c r="A64" s="216"/>
      <c r="B64" s="313"/>
      <c r="C64" s="313"/>
      <c r="D64" s="243"/>
      <c r="E64" s="244"/>
      <c r="F64" s="244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  <c r="U64" s="244"/>
      <c r="V64" s="244"/>
      <c r="W64" s="245"/>
      <c r="X64" s="260"/>
      <c r="Y64" s="256"/>
      <c r="Z64" s="256"/>
      <c r="AA64" s="256"/>
      <c r="AB64" s="256"/>
      <c r="AC64" s="256"/>
      <c r="AD64" s="256"/>
      <c r="AE64" s="256"/>
      <c r="AF64" s="256"/>
      <c r="AG64" s="256"/>
      <c r="AH64" s="256"/>
      <c r="AI64" s="256"/>
      <c r="AJ64" s="256"/>
      <c r="AK64" s="256"/>
      <c r="AL64" s="256"/>
      <c r="AM64" s="256"/>
      <c r="AN64" s="256"/>
      <c r="AO64" s="256"/>
      <c r="AP64" s="256"/>
      <c r="AQ64" s="257"/>
      <c r="AR64" s="255"/>
      <c r="AS64" s="256"/>
      <c r="AT64" s="256"/>
      <c r="AU64" s="256"/>
      <c r="AV64" s="256"/>
      <c r="AW64" s="256"/>
      <c r="AX64" s="256"/>
      <c r="AY64" s="256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  <c r="BJ64" s="256"/>
      <c r="BK64" s="257"/>
      <c r="BL64" s="314"/>
    </row>
    <row r="65" spans="4:63" ht="50" customHeight="1" x14ac:dyDescent="0.2">
      <c r="D65" s="315" t="s">
        <v>3673</v>
      </c>
      <c r="E65" s="315"/>
      <c r="F65" s="315"/>
      <c r="G65" s="315"/>
      <c r="H65" s="315"/>
      <c r="I65" s="315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  <c r="V65" s="315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  <c r="AZ65" s="315"/>
      <c r="BA65" s="315"/>
      <c r="BB65" s="315"/>
      <c r="BC65" s="315"/>
      <c r="BD65" s="315"/>
      <c r="BE65" s="315"/>
      <c r="BF65" s="315"/>
      <c r="BG65" s="315"/>
      <c r="BH65" s="315"/>
      <c r="BI65" s="315"/>
      <c r="BJ65" s="315"/>
      <c r="BK65" s="315"/>
    </row>
  </sheetData>
  <mergeCells count="9">
    <mergeCell ref="B42:C44"/>
    <mergeCell ref="B62:C64"/>
    <mergeCell ref="BL5:BL64"/>
    <mergeCell ref="D65:BK65"/>
    <mergeCell ref="BJ2:BK4"/>
    <mergeCell ref="V2:W4"/>
    <mergeCell ref="B2:C4"/>
    <mergeCell ref="AP2:AQ4"/>
    <mergeCell ref="B22:C24"/>
  </mergeCells>
  <phoneticPr fontId="15" type="noConversion"/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activeCell="C31" sqref="C31:C33"/>
    </sheetView>
  </sheetViews>
  <sheetFormatPr baseColWidth="10" defaultRowHeight="16" x14ac:dyDescent="0.2"/>
  <sheetData>
    <row r="1" spans="1:9" x14ac:dyDescent="0.2">
      <c r="A1" t="s">
        <v>3582</v>
      </c>
    </row>
    <row r="2" spans="1:9" ht="17" thickBot="1" x14ac:dyDescent="0.25"/>
    <row r="3" spans="1:9" x14ac:dyDescent="0.2">
      <c r="A3" s="65" t="s">
        <v>3583</v>
      </c>
      <c r="B3" s="65"/>
    </row>
    <row r="4" spans="1:9" x14ac:dyDescent="0.2">
      <c r="A4" s="27" t="s">
        <v>3584</v>
      </c>
      <c r="B4" s="27">
        <v>0.99973379295664222</v>
      </c>
    </row>
    <row r="5" spans="1:9" x14ac:dyDescent="0.2">
      <c r="A5" s="27" t="s">
        <v>3585</v>
      </c>
      <c r="B5" s="27">
        <v>0.99946765677947436</v>
      </c>
    </row>
    <row r="6" spans="1:9" x14ac:dyDescent="0.2">
      <c r="A6" s="27" t="s">
        <v>3586</v>
      </c>
      <c r="B6" s="27">
        <v>-1.2222222222222223</v>
      </c>
    </row>
    <row r="7" spans="1:9" x14ac:dyDescent="0.2">
      <c r="A7" s="27" t="s">
        <v>3587</v>
      </c>
      <c r="B7" s="27">
        <v>475.02392922181002</v>
      </c>
    </row>
    <row r="8" spans="1:9" ht="17" thickBot="1" x14ac:dyDescent="0.25">
      <c r="A8" s="28" t="s">
        <v>3588</v>
      </c>
      <c r="B8" s="28">
        <v>1</v>
      </c>
    </row>
    <row r="10" spans="1:9" ht="17" thickBot="1" x14ac:dyDescent="0.25">
      <c r="A10" t="s">
        <v>3589</v>
      </c>
    </row>
    <row r="11" spans="1:9" x14ac:dyDescent="0.2">
      <c r="A11" s="29"/>
      <c r="B11" s="29" t="s">
        <v>3593</v>
      </c>
      <c r="C11" s="29" t="s">
        <v>3594</v>
      </c>
      <c r="D11" s="29" t="s">
        <v>3595</v>
      </c>
      <c r="E11" s="29" t="s">
        <v>3596</v>
      </c>
      <c r="F11" s="29" t="s">
        <v>3597</v>
      </c>
    </row>
    <row r="12" spans="1:9" x14ac:dyDescent="0.2">
      <c r="A12" s="27" t="s">
        <v>3590</v>
      </c>
      <c r="B12" s="27">
        <v>11</v>
      </c>
      <c r="C12" s="27">
        <v>3812856862.5818186</v>
      </c>
      <c r="D12" s="27">
        <v>346623351.14380169</v>
      </c>
      <c r="E12" s="27">
        <v>16897.386055057159</v>
      </c>
      <c r="F12" s="27" t="e">
        <v>#NUM!</v>
      </c>
    </row>
    <row r="13" spans="1:9" x14ac:dyDescent="0.2">
      <c r="A13" s="27" t="s">
        <v>3591</v>
      </c>
      <c r="B13" s="27">
        <v>9</v>
      </c>
      <c r="C13" s="27">
        <v>2030829.5999999444</v>
      </c>
      <c r="D13" s="27">
        <v>225647.73333332717</v>
      </c>
      <c r="E13" s="27"/>
      <c r="F13" s="27"/>
    </row>
    <row r="14" spans="1:9" ht="17" thickBot="1" x14ac:dyDescent="0.25">
      <c r="A14" s="28" t="s">
        <v>3545</v>
      </c>
      <c r="B14" s="28">
        <v>20</v>
      </c>
      <c r="C14" s="28">
        <v>3814887692.1818185</v>
      </c>
      <c r="D14" s="28"/>
      <c r="E14" s="28"/>
      <c r="F14" s="28"/>
    </row>
    <row r="15" spans="1:9" ht="17" thickBot="1" x14ac:dyDescent="0.25"/>
    <row r="16" spans="1:9" x14ac:dyDescent="0.2">
      <c r="A16" s="29"/>
      <c r="B16" s="29" t="s">
        <v>3598</v>
      </c>
      <c r="C16" s="29" t="s">
        <v>3587</v>
      </c>
      <c r="D16" s="29" t="s">
        <v>3599</v>
      </c>
      <c r="E16" s="29" t="s">
        <v>3600</v>
      </c>
      <c r="F16" s="29" t="s">
        <v>3601</v>
      </c>
      <c r="G16" s="29" t="s">
        <v>3602</v>
      </c>
      <c r="H16" s="29" t="s">
        <v>3603</v>
      </c>
      <c r="I16" s="29" t="s">
        <v>3604</v>
      </c>
    </row>
    <row r="17" spans="1:9" x14ac:dyDescent="0.2">
      <c r="A17" s="27" t="s">
        <v>3592</v>
      </c>
      <c r="B17" s="27"/>
      <c r="C17" s="27"/>
      <c r="D17" s="27"/>
      <c r="E17" s="27"/>
      <c r="F17" s="27"/>
      <c r="G17" s="27"/>
      <c r="H17" s="27">
        <v>0</v>
      </c>
      <c r="I17" s="27">
        <v>0</v>
      </c>
    </row>
    <row r="18" spans="1:9" x14ac:dyDescent="0.2">
      <c r="A18" s="27" t="s">
        <v>3605</v>
      </c>
      <c r="B18" s="27"/>
      <c r="C18" s="27"/>
      <c r="D18" s="27"/>
      <c r="E18" s="27"/>
      <c r="F18" s="27"/>
      <c r="G18" s="27"/>
      <c r="H18" s="27">
        <v>-3.3578984030848388E-307</v>
      </c>
      <c r="I18" s="27">
        <v>4.1923010191994253E-307</v>
      </c>
    </row>
    <row r="19" spans="1:9" x14ac:dyDescent="0.2">
      <c r="A19" s="27" t="s">
        <v>3606</v>
      </c>
      <c r="B19" s="27"/>
      <c r="C19" s="27"/>
      <c r="D19" s="27"/>
      <c r="E19" s="27"/>
      <c r="F19" s="27"/>
      <c r="G19" s="27"/>
      <c r="H19" s="27">
        <v>0</v>
      </c>
      <c r="I19" s="27">
        <v>0</v>
      </c>
    </row>
    <row r="20" spans="1:9" x14ac:dyDescent="0.2">
      <c r="A20" s="27" t="s">
        <v>3607</v>
      </c>
      <c r="B20" s="27"/>
      <c r="C20" s="27"/>
      <c r="D20" s="27"/>
      <c r="E20" s="27"/>
      <c r="F20" s="27"/>
      <c r="G20" s="27"/>
      <c r="H20" s="27">
        <v>8.7263777687374287E-25</v>
      </c>
      <c r="I20" s="27">
        <v>-8.7263777687374287E-25</v>
      </c>
    </row>
    <row r="21" spans="1:9" x14ac:dyDescent="0.2">
      <c r="A21" s="27" t="s">
        <v>3608</v>
      </c>
      <c r="B21" s="27"/>
      <c r="C21" s="27"/>
      <c r="D21" s="27"/>
      <c r="E21" s="27"/>
      <c r="F21" s="27"/>
      <c r="G21" s="27"/>
      <c r="H21" s="27">
        <v>0</v>
      </c>
      <c r="I21" s="27">
        <v>0</v>
      </c>
    </row>
    <row r="22" spans="1:9" x14ac:dyDescent="0.2">
      <c r="A22" s="27" t="s">
        <v>3609</v>
      </c>
      <c r="B22" s="27"/>
      <c r="C22" s="27"/>
      <c r="D22" s="27"/>
      <c r="E22" s="27"/>
      <c r="F22" s="27"/>
      <c r="G22" s="27"/>
      <c r="H22" s="27">
        <v>1.0936587597484589E-302</v>
      </c>
      <c r="I22" s="27">
        <v>1.0936776352470147E-302</v>
      </c>
    </row>
    <row r="23" spans="1:9" x14ac:dyDescent="0.2">
      <c r="A23" s="27" t="s">
        <v>3610</v>
      </c>
      <c r="B23" s="27"/>
      <c r="C23" s="27"/>
      <c r="D23" s="27"/>
      <c r="E23" s="27"/>
      <c r="F23" s="27"/>
      <c r="G23" s="27"/>
      <c r="H23" s="27">
        <v>0</v>
      </c>
      <c r="I23" s="27">
        <v>0</v>
      </c>
    </row>
    <row r="24" spans="1:9" x14ac:dyDescent="0.2">
      <c r="A24" s="27" t="s">
        <v>3611</v>
      </c>
      <c r="B24" s="27"/>
      <c r="C24" s="27"/>
      <c r="D24" s="27"/>
      <c r="E24" s="27"/>
      <c r="F24" s="27"/>
      <c r="G24" s="27"/>
      <c r="H24" s="27">
        <v>8.7263777687374287E-25</v>
      </c>
      <c r="I24" s="27">
        <v>-8.7263777687374287E-25</v>
      </c>
    </row>
    <row r="25" spans="1:9" x14ac:dyDescent="0.2">
      <c r="A25" s="27" t="s">
        <v>3612</v>
      </c>
      <c r="B25" s="27"/>
      <c r="C25" s="27"/>
      <c r="D25" s="27"/>
      <c r="E25" s="27"/>
      <c r="F25" s="27"/>
      <c r="G25" s="27"/>
      <c r="H25" s="27">
        <v>0</v>
      </c>
      <c r="I25" s="27">
        <v>0</v>
      </c>
    </row>
    <row r="26" spans="1:9" x14ac:dyDescent="0.2">
      <c r="A26" s="27" t="s">
        <v>3613</v>
      </c>
      <c r="B26" s="27"/>
      <c r="C26" s="27"/>
      <c r="D26" s="27"/>
      <c r="E26" s="27"/>
      <c r="F26" s="27"/>
      <c r="G26" s="27"/>
      <c r="H26" s="27">
        <v>8.7263777687374287E-25</v>
      </c>
      <c r="I26" s="27">
        <v>-8.7263777687374287E-25</v>
      </c>
    </row>
    <row r="27" spans="1:9" x14ac:dyDescent="0.2">
      <c r="A27" s="27" t="s">
        <v>3614</v>
      </c>
      <c r="B27" s="27">
        <v>-11709203.454545459</v>
      </c>
      <c r="C27" s="27">
        <v>91036.539313384215</v>
      </c>
      <c r="D27" s="27">
        <v>-128.62092015863755</v>
      </c>
      <c r="E27" s="27">
        <v>5.2735131403479401E-16</v>
      </c>
      <c r="F27" s="27">
        <v>-11915142.414029591</v>
      </c>
      <c r="G27" s="27">
        <v>-11503264.495061327</v>
      </c>
      <c r="H27" s="27">
        <v>-11915142.414029591</v>
      </c>
      <c r="I27" s="27">
        <v>-11503264.495061327</v>
      </c>
    </row>
    <row r="28" spans="1:9" ht="17" thickBot="1" x14ac:dyDescent="0.25">
      <c r="A28" s="28" t="s">
        <v>3615</v>
      </c>
      <c r="B28" s="28">
        <v>5887.4727272727287</v>
      </c>
      <c r="C28" s="28">
        <v>45.291754550944198</v>
      </c>
      <c r="D28" s="28">
        <v>129.98994597682224</v>
      </c>
      <c r="E28" s="28">
        <v>4.7944292480274121E-16</v>
      </c>
      <c r="F28" s="28">
        <v>5785.0156602996121</v>
      </c>
      <c r="G28" s="28">
        <v>5989.9297942458452</v>
      </c>
      <c r="H28" s="28">
        <v>5785.0156602996121</v>
      </c>
      <c r="I28" s="28">
        <v>5989.9297942458452</v>
      </c>
    </row>
    <row r="30" spans="1:9" x14ac:dyDescent="0.2">
      <c r="A30">
        <v>2015</v>
      </c>
      <c r="B30">
        <f>+$B$27+$B$28*A30</f>
        <v>154054.09090908989</v>
      </c>
    </row>
    <row r="31" spans="1:9" x14ac:dyDescent="0.2">
      <c r="A31">
        <v>2016</v>
      </c>
      <c r="B31">
        <f t="shared" ref="B31:B33" si="0">+$B$27+$B$28*A31</f>
        <v>159941.56363636255</v>
      </c>
      <c r="C31">
        <v>159941.56363636255</v>
      </c>
    </row>
    <row r="32" spans="1:9" x14ac:dyDescent="0.2">
      <c r="A32">
        <v>2017</v>
      </c>
      <c r="B32">
        <f t="shared" si="0"/>
        <v>165829.03636363521</v>
      </c>
      <c r="C32">
        <v>165829.03636363521</v>
      </c>
    </row>
    <row r="33" spans="1:3" x14ac:dyDescent="0.2">
      <c r="A33">
        <v>2018</v>
      </c>
      <c r="B33">
        <f t="shared" si="0"/>
        <v>171716.50909090787</v>
      </c>
      <c r="C33">
        <v>171716.50909090787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9"/>
  <sheetViews>
    <sheetView showGridLines="0" zoomScale="120" zoomScaleNormal="120" zoomScalePageLayoutView="120" workbookViewId="0">
      <selection activeCell="B2" sqref="B2:M19"/>
    </sheetView>
  </sheetViews>
  <sheetFormatPr baseColWidth="10" defaultRowHeight="16" x14ac:dyDescent="0.2"/>
  <cols>
    <col min="5" max="5" width="15.83203125" customWidth="1"/>
    <col min="9" max="9" width="15.83203125" customWidth="1"/>
    <col min="13" max="13" width="15.83203125" customWidth="1"/>
  </cols>
  <sheetData>
    <row r="1" spans="2:14" x14ac:dyDescent="0.2">
      <c r="J1" s="62"/>
      <c r="K1" s="62"/>
      <c r="L1" s="62"/>
      <c r="M1" s="62"/>
    </row>
    <row r="2" spans="2:14" ht="20" customHeight="1" x14ac:dyDescent="0.2">
      <c r="B2" s="261"/>
      <c r="C2" s="261"/>
      <c r="D2" s="261"/>
      <c r="E2" s="262"/>
      <c r="F2" s="341" t="s">
        <v>3656</v>
      </c>
      <c r="G2" s="341"/>
      <c r="H2" s="341"/>
      <c r="I2" s="341"/>
      <c r="J2" s="338" t="s">
        <v>3658</v>
      </c>
      <c r="K2" s="339"/>
      <c r="L2" s="339"/>
      <c r="M2" s="340"/>
      <c r="N2" s="63"/>
    </row>
    <row r="3" spans="2:14" ht="30" customHeight="1" x14ac:dyDescent="0.2">
      <c r="B3" s="261"/>
      <c r="C3" s="261"/>
      <c r="D3" s="261"/>
      <c r="E3" s="261"/>
      <c r="F3" s="343" t="s">
        <v>4472</v>
      </c>
      <c r="G3" s="343"/>
      <c r="H3" s="343"/>
      <c r="I3" s="343"/>
      <c r="J3" s="317" t="s">
        <v>4471</v>
      </c>
      <c r="K3" s="317"/>
      <c r="L3" s="317"/>
      <c r="M3" s="317"/>
    </row>
    <row r="4" spans="2:14" ht="30" customHeight="1" x14ac:dyDescent="0.2">
      <c r="B4" s="261"/>
      <c r="C4" s="261"/>
      <c r="D4" s="261"/>
      <c r="E4" s="261"/>
      <c r="F4" s="317" t="s">
        <v>3657</v>
      </c>
      <c r="G4" s="317"/>
      <c r="H4" s="317"/>
      <c r="I4" s="317"/>
      <c r="J4" s="317" t="s">
        <v>3659</v>
      </c>
      <c r="K4" s="317"/>
      <c r="L4" s="317"/>
      <c r="M4" s="317"/>
    </row>
    <row r="5" spans="2:14" ht="30" customHeight="1" x14ac:dyDescent="0.2">
      <c r="B5" s="261"/>
      <c r="C5" s="261"/>
      <c r="D5" s="261"/>
      <c r="E5" s="261"/>
      <c r="F5" s="317" t="s">
        <v>3661</v>
      </c>
      <c r="G5" s="317"/>
      <c r="H5" s="317"/>
      <c r="I5" s="317"/>
      <c r="J5" s="317" t="s">
        <v>3660</v>
      </c>
      <c r="K5" s="317"/>
      <c r="L5" s="317"/>
      <c r="M5" s="317"/>
    </row>
    <row r="6" spans="2:14" ht="30" customHeight="1" x14ac:dyDescent="0.2">
      <c r="B6" s="261"/>
      <c r="C6" s="261"/>
      <c r="D6" s="261"/>
      <c r="E6" s="261"/>
      <c r="F6" s="317" t="s">
        <v>3671</v>
      </c>
      <c r="G6" s="317"/>
      <c r="H6" s="317"/>
      <c r="I6" s="317"/>
      <c r="J6" s="317" t="s">
        <v>3663</v>
      </c>
      <c r="K6" s="317"/>
      <c r="L6" s="317"/>
      <c r="M6" s="317"/>
    </row>
    <row r="7" spans="2:14" ht="30" customHeight="1" x14ac:dyDescent="0.2">
      <c r="B7" s="263"/>
      <c r="C7" s="263"/>
      <c r="D7" s="263"/>
      <c r="E7" s="264"/>
      <c r="F7" s="342" t="s">
        <v>3662</v>
      </c>
      <c r="G7" s="342"/>
      <c r="H7" s="342"/>
      <c r="I7" s="342"/>
      <c r="J7" s="342" t="s">
        <v>3670</v>
      </c>
      <c r="K7" s="342"/>
      <c r="L7" s="342"/>
      <c r="M7" s="342"/>
    </row>
    <row r="8" spans="2:14" ht="20" customHeight="1" x14ac:dyDescent="0.2">
      <c r="B8" s="338" t="s">
        <v>3665</v>
      </c>
      <c r="C8" s="339"/>
      <c r="D8" s="339"/>
      <c r="E8" s="340"/>
      <c r="F8" s="322" t="s">
        <v>3674</v>
      </c>
      <c r="G8" s="323"/>
      <c r="H8" s="323"/>
      <c r="I8" s="324"/>
      <c r="J8" s="325" t="s">
        <v>3675</v>
      </c>
      <c r="K8" s="325"/>
      <c r="L8" s="325"/>
      <c r="M8" s="325"/>
    </row>
    <row r="9" spans="2:14" ht="30" customHeight="1" x14ac:dyDescent="0.2">
      <c r="B9" s="317" t="s">
        <v>4470</v>
      </c>
      <c r="C9" s="317"/>
      <c r="D9" s="317"/>
      <c r="E9" s="318"/>
      <c r="F9" s="326" t="s">
        <v>4479</v>
      </c>
      <c r="G9" s="327"/>
      <c r="H9" s="327"/>
      <c r="I9" s="328"/>
      <c r="J9" s="335" t="s">
        <v>3678</v>
      </c>
      <c r="K9" s="336"/>
      <c r="L9" s="336"/>
      <c r="M9" s="337"/>
    </row>
    <row r="10" spans="2:14" ht="30" customHeight="1" x14ac:dyDescent="0.2">
      <c r="B10" s="317" t="s">
        <v>3668</v>
      </c>
      <c r="C10" s="317"/>
      <c r="D10" s="317"/>
      <c r="E10" s="318"/>
      <c r="F10" s="329"/>
      <c r="G10" s="330"/>
      <c r="H10" s="330"/>
      <c r="I10" s="331"/>
      <c r="J10" s="329"/>
      <c r="K10" s="330"/>
      <c r="L10" s="330"/>
      <c r="M10" s="331"/>
    </row>
    <row r="11" spans="2:14" ht="30" customHeight="1" x14ac:dyDescent="0.2">
      <c r="B11" s="317" t="s">
        <v>4478</v>
      </c>
      <c r="C11" s="317"/>
      <c r="D11" s="317"/>
      <c r="E11" s="318"/>
      <c r="F11" s="329"/>
      <c r="G11" s="330"/>
      <c r="H11" s="330"/>
      <c r="I11" s="331"/>
      <c r="J11" s="329"/>
      <c r="K11" s="330"/>
      <c r="L11" s="330"/>
      <c r="M11" s="331"/>
    </row>
    <row r="12" spans="2:14" ht="30" customHeight="1" x14ac:dyDescent="0.2">
      <c r="B12" s="317" t="s">
        <v>4476</v>
      </c>
      <c r="C12" s="317"/>
      <c r="D12" s="317"/>
      <c r="E12" s="318"/>
      <c r="F12" s="329"/>
      <c r="G12" s="330"/>
      <c r="H12" s="330"/>
      <c r="I12" s="331"/>
      <c r="J12" s="329"/>
      <c r="K12" s="330"/>
      <c r="L12" s="330"/>
      <c r="M12" s="331"/>
    </row>
    <row r="13" spans="2:14" ht="30" customHeight="1" x14ac:dyDescent="0.2">
      <c r="B13" s="317" t="s">
        <v>4477</v>
      </c>
      <c r="C13" s="317"/>
      <c r="D13" s="317"/>
      <c r="E13" s="318"/>
      <c r="F13" s="332"/>
      <c r="G13" s="333"/>
      <c r="H13" s="333"/>
      <c r="I13" s="334"/>
      <c r="J13" s="332"/>
      <c r="K13" s="333"/>
      <c r="L13" s="333"/>
      <c r="M13" s="334"/>
    </row>
    <row r="14" spans="2:14" ht="20" customHeight="1" x14ac:dyDescent="0.2">
      <c r="B14" s="338" t="s">
        <v>3664</v>
      </c>
      <c r="C14" s="339"/>
      <c r="D14" s="339"/>
      <c r="E14" s="339"/>
      <c r="F14" s="319" t="s">
        <v>3676</v>
      </c>
      <c r="G14" s="320"/>
      <c r="H14" s="320"/>
      <c r="I14" s="321"/>
      <c r="J14" s="325" t="s">
        <v>3677</v>
      </c>
      <c r="K14" s="325"/>
      <c r="L14" s="325"/>
      <c r="M14" s="325"/>
    </row>
    <row r="15" spans="2:14" ht="30" customHeight="1" x14ac:dyDescent="0.2">
      <c r="B15" s="317" t="s">
        <v>3667</v>
      </c>
      <c r="C15" s="317"/>
      <c r="D15" s="317"/>
      <c r="E15" s="318"/>
      <c r="F15" s="326" t="s">
        <v>4480</v>
      </c>
      <c r="G15" s="327"/>
      <c r="H15" s="327"/>
      <c r="I15" s="328"/>
      <c r="J15" s="326" t="s">
        <v>4511</v>
      </c>
      <c r="K15" s="327"/>
      <c r="L15" s="327"/>
      <c r="M15" s="328"/>
    </row>
    <row r="16" spans="2:14" ht="30" customHeight="1" x14ac:dyDescent="0.2">
      <c r="B16" s="317" t="s">
        <v>4473</v>
      </c>
      <c r="C16" s="317"/>
      <c r="D16" s="317"/>
      <c r="E16" s="318"/>
      <c r="F16" s="329"/>
      <c r="G16" s="330"/>
      <c r="H16" s="330"/>
      <c r="I16" s="331"/>
      <c r="J16" s="329"/>
      <c r="K16" s="330"/>
      <c r="L16" s="330"/>
      <c r="M16" s="331"/>
    </row>
    <row r="17" spans="2:13" ht="30" customHeight="1" x14ac:dyDescent="0.2">
      <c r="B17" s="317" t="s">
        <v>3669</v>
      </c>
      <c r="C17" s="317"/>
      <c r="D17" s="317"/>
      <c r="E17" s="318"/>
      <c r="F17" s="329"/>
      <c r="G17" s="330"/>
      <c r="H17" s="330"/>
      <c r="I17" s="331"/>
      <c r="J17" s="329"/>
      <c r="K17" s="330"/>
      <c r="L17" s="330"/>
      <c r="M17" s="331"/>
    </row>
    <row r="18" spans="2:13" ht="30" customHeight="1" x14ac:dyDescent="0.2">
      <c r="B18" s="317" t="s">
        <v>4474</v>
      </c>
      <c r="C18" s="317"/>
      <c r="D18" s="317"/>
      <c r="E18" s="318"/>
      <c r="F18" s="329"/>
      <c r="G18" s="330"/>
      <c r="H18" s="330"/>
      <c r="I18" s="331"/>
      <c r="J18" s="329"/>
      <c r="K18" s="330"/>
      <c r="L18" s="330"/>
      <c r="M18" s="331"/>
    </row>
    <row r="19" spans="2:13" ht="30" customHeight="1" x14ac:dyDescent="0.2">
      <c r="B19" s="317" t="s">
        <v>4475</v>
      </c>
      <c r="C19" s="317"/>
      <c r="D19" s="317"/>
      <c r="E19" s="318"/>
      <c r="F19" s="332"/>
      <c r="G19" s="333"/>
      <c r="H19" s="333"/>
      <c r="I19" s="334"/>
      <c r="J19" s="332"/>
      <c r="K19" s="333"/>
      <c r="L19" s="333"/>
      <c r="M19" s="334"/>
    </row>
  </sheetData>
  <mergeCells count="32">
    <mergeCell ref="B12:E12"/>
    <mergeCell ref="F3:I3"/>
    <mergeCell ref="F4:I4"/>
    <mergeCell ref="F5:I5"/>
    <mergeCell ref="F6:I6"/>
    <mergeCell ref="F7:I7"/>
    <mergeCell ref="F2:I2"/>
    <mergeCell ref="J2:M2"/>
    <mergeCell ref="B9:E9"/>
    <mergeCell ref="B10:E10"/>
    <mergeCell ref="B11:E11"/>
    <mergeCell ref="J3:M3"/>
    <mergeCell ref="J4:M4"/>
    <mergeCell ref="J5:M5"/>
    <mergeCell ref="J6:M6"/>
    <mergeCell ref="J7:M7"/>
    <mergeCell ref="B18:E18"/>
    <mergeCell ref="B19:E19"/>
    <mergeCell ref="F14:I14"/>
    <mergeCell ref="F8:I8"/>
    <mergeCell ref="J8:M8"/>
    <mergeCell ref="J14:M14"/>
    <mergeCell ref="F9:I13"/>
    <mergeCell ref="J9:M13"/>
    <mergeCell ref="F15:I19"/>
    <mergeCell ref="J15:M19"/>
    <mergeCell ref="B13:E13"/>
    <mergeCell ref="B8:E8"/>
    <mergeCell ref="B14:E14"/>
    <mergeCell ref="B15:E15"/>
    <mergeCell ref="B16:E16"/>
    <mergeCell ref="B17:E17"/>
  </mergeCells>
  <pageMargins left="0.7" right="0.7" top="0.75" bottom="0.75" header="0.3" footer="0.3"/>
  <pageSetup paperSize="9" orientation="portrait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6"/>
  <sheetViews>
    <sheetView showGridLines="0" zoomScale="150" zoomScaleNormal="150" zoomScalePageLayoutView="150" workbookViewId="0">
      <selection activeCell="D1" sqref="D1"/>
    </sheetView>
  </sheetViews>
  <sheetFormatPr baseColWidth="10" defaultRowHeight="16" x14ac:dyDescent="0.2"/>
  <cols>
    <col min="2" max="9" width="6.6640625" customWidth="1"/>
  </cols>
  <sheetData>
    <row r="2" spans="2:13" x14ac:dyDescent="0.2">
      <c r="B2" s="64" t="s">
        <v>3679</v>
      </c>
      <c r="C2" s="64" t="s">
        <v>3680</v>
      </c>
      <c r="D2" s="64" t="s">
        <v>3681</v>
      </c>
      <c r="E2" s="64" t="s">
        <v>3682</v>
      </c>
      <c r="F2" s="64" t="s">
        <v>3683</v>
      </c>
      <c r="G2" s="64" t="s">
        <v>3684</v>
      </c>
      <c r="H2" s="64" t="s">
        <v>3685</v>
      </c>
      <c r="I2" s="64" t="s">
        <v>3545</v>
      </c>
      <c r="J2" s="64" t="s">
        <v>3686</v>
      </c>
      <c r="L2" s="43" t="s">
        <v>3688</v>
      </c>
      <c r="M2" t="s">
        <v>3687</v>
      </c>
    </row>
    <row r="3" spans="2:13" x14ac:dyDescent="0.2">
      <c r="B3" s="64" t="s">
        <v>3680</v>
      </c>
      <c r="C3" s="67"/>
      <c r="D3" s="40">
        <v>3</v>
      </c>
      <c r="E3" s="40">
        <v>3</v>
      </c>
      <c r="F3" s="40">
        <v>3</v>
      </c>
      <c r="G3" s="40">
        <v>3</v>
      </c>
      <c r="H3" s="40">
        <v>3</v>
      </c>
      <c r="I3" s="40">
        <f t="shared" ref="I3:I8" si="0">SUM(C3:H3)</f>
        <v>15</v>
      </c>
      <c r="J3" s="69">
        <f>+I3/$I$9</f>
        <v>0.25</v>
      </c>
      <c r="L3" s="43" t="s">
        <v>3689</v>
      </c>
      <c r="M3" t="s">
        <v>3694</v>
      </c>
    </row>
    <row r="4" spans="2:13" x14ac:dyDescent="0.2">
      <c r="B4" s="64" t="s">
        <v>3681</v>
      </c>
      <c r="C4" s="40">
        <v>1</v>
      </c>
      <c r="D4" s="67"/>
      <c r="E4" s="40">
        <v>3</v>
      </c>
      <c r="F4" s="40">
        <v>3</v>
      </c>
      <c r="G4" s="40">
        <v>3</v>
      </c>
      <c r="H4" s="40">
        <v>1</v>
      </c>
      <c r="I4" s="40">
        <f t="shared" si="0"/>
        <v>11</v>
      </c>
      <c r="J4" s="69">
        <f t="shared" ref="J4:J9" si="1">+I4/$I$9</f>
        <v>0.18333333333333332</v>
      </c>
      <c r="L4" s="43" t="s">
        <v>3690</v>
      </c>
      <c r="M4" t="s">
        <v>3695</v>
      </c>
    </row>
    <row r="5" spans="2:13" x14ac:dyDescent="0.2">
      <c r="B5" s="64" t="s">
        <v>3682</v>
      </c>
      <c r="C5" s="40">
        <v>1</v>
      </c>
      <c r="D5" s="40">
        <v>1</v>
      </c>
      <c r="E5" s="67"/>
      <c r="F5" s="40">
        <v>2</v>
      </c>
      <c r="G5" s="40">
        <v>2</v>
      </c>
      <c r="H5" s="40">
        <v>1</v>
      </c>
      <c r="I5" s="40">
        <f t="shared" si="0"/>
        <v>7</v>
      </c>
      <c r="J5" s="69">
        <f t="shared" si="1"/>
        <v>0.11666666666666667</v>
      </c>
      <c r="L5" s="43" t="s">
        <v>3693</v>
      </c>
      <c r="M5" t="s">
        <v>3696</v>
      </c>
    </row>
    <row r="6" spans="2:13" x14ac:dyDescent="0.2">
      <c r="B6" s="64" t="s">
        <v>3683</v>
      </c>
      <c r="C6" s="40">
        <v>1</v>
      </c>
      <c r="D6" s="40">
        <v>1</v>
      </c>
      <c r="E6" s="40">
        <v>2</v>
      </c>
      <c r="F6" s="67"/>
      <c r="G6" s="40">
        <v>2</v>
      </c>
      <c r="H6" s="40">
        <v>1</v>
      </c>
      <c r="I6" s="40">
        <f t="shared" si="0"/>
        <v>7</v>
      </c>
      <c r="J6" s="69">
        <f t="shared" si="1"/>
        <v>0.11666666666666667</v>
      </c>
      <c r="L6" s="43" t="s">
        <v>3691</v>
      </c>
      <c r="M6" t="s">
        <v>3697</v>
      </c>
    </row>
    <row r="7" spans="2:13" x14ac:dyDescent="0.2">
      <c r="B7" s="64" t="s">
        <v>3684</v>
      </c>
      <c r="C7" s="40">
        <v>1</v>
      </c>
      <c r="D7" s="40">
        <v>1</v>
      </c>
      <c r="E7" s="40">
        <v>2</v>
      </c>
      <c r="F7" s="40">
        <v>2</v>
      </c>
      <c r="G7" s="67"/>
      <c r="H7" s="40">
        <v>1</v>
      </c>
      <c r="I7" s="40">
        <f t="shared" si="0"/>
        <v>7</v>
      </c>
      <c r="J7" s="69">
        <f t="shared" si="1"/>
        <v>0.11666666666666667</v>
      </c>
      <c r="L7" s="43" t="s">
        <v>3692</v>
      </c>
      <c r="M7" t="s">
        <v>3698</v>
      </c>
    </row>
    <row r="8" spans="2:13" x14ac:dyDescent="0.2">
      <c r="B8" s="64" t="s">
        <v>3685</v>
      </c>
      <c r="C8" s="40">
        <v>1</v>
      </c>
      <c r="D8" s="40">
        <v>3</v>
      </c>
      <c r="E8" s="40">
        <v>3</v>
      </c>
      <c r="F8" s="40">
        <v>3</v>
      </c>
      <c r="G8" s="40">
        <v>3</v>
      </c>
      <c r="H8" s="67"/>
      <c r="I8" s="40">
        <f t="shared" si="0"/>
        <v>13</v>
      </c>
      <c r="J8" s="69">
        <f t="shared" si="1"/>
        <v>0.21666666666666667</v>
      </c>
    </row>
    <row r="9" spans="2:13" x14ac:dyDescent="0.2">
      <c r="H9" s="64" t="s">
        <v>3545</v>
      </c>
      <c r="I9" s="68">
        <f>+SUM(I3:I8)</f>
        <v>60</v>
      </c>
      <c r="J9" s="69">
        <f t="shared" si="1"/>
        <v>1</v>
      </c>
    </row>
    <row r="14" spans="2:13" x14ac:dyDescent="0.2">
      <c r="D14" s="78" t="s">
        <v>3679</v>
      </c>
      <c r="E14" s="78" t="s">
        <v>3680</v>
      </c>
      <c r="F14" s="78" t="s">
        <v>3681</v>
      </c>
      <c r="G14" s="78" t="s">
        <v>3682</v>
      </c>
      <c r="H14" s="78" t="s">
        <v>3683</v>
      </c>
      <c r="I14" s="78" t="s">
        <v>3545</v>
      </c>
      <c r="J14" s="78" t="s">
        <v>3686</v>
      </c>
    </row>
    <row r="15" spans="2:13" x14ac:dyDescent="0.2">
      <c r="D15" s="78" t="s">
        <v>3680</v>
      </c>
      <c r="E15" s="67"/>
      <c r="F15" s="80">
        <v>3</v>
      </c>
      <c r="G15" s="80">
        <v>3</v>
      </c>
      <c r="H15" s="80">
        <v>3</v>
      </c>
      <c r="I15" s="80">
        <f>+SUM(E15:H15)</f>
        <v>9</v>
      </c>
      <c r="J15" s="69">
        <f>+I15/$I$19</f>
        <v>0.375</v>
      </c>
    </row>
    <row r="16" spans="2:13" x14ac:dyDescent="0.2">
      <c r="D16" s="78" t="s">
        <v>3681</v>
      </c>
      <c r="E16" s="80">
        <v>1</v>
      </c>
      <c r="F16" s="67"/>
      <c r="G16" s="80">
        <v>3</v>
      </c>
      <c r="H16" s="80">
        <v>3</v>
      </c>
      <c r="I16" s="80">
        <f t="shared" ref="I16:I18" si="2">+SUM(E16:H16)</f>
        <v>7</v>
      </c>
      <c r="J16" s="69">
        <f>+I16/$I$19</f>
        <v>0.29166666666666669</v>
      </c>
    </row>
    <row r="17" spans="4:10" x14ac:dyDescent="0.2">
      <c r="D17" s="78" t="s">
        <v>3682</v>
      </c>
      <c r="E17" s="80">
        <v>1</v>
      </c>
      <c r="F17" s="80">
        <v>1</v>
      </c>
      <c r="G17" s="67"/>
      <c r="H17" s="80">
        <v>2</v>
      </c>
      <c r="I17" s="80">
        <f t="shared" si="2"/>
        <v>4</v>
      </c>
      <c r="J17" s="69">
        <f>+I17/$I$19</f>
        <v>0.16666666666666666</v>
      </c>
    </row>
    <row r="18" spans="4:10" x14ac:dyDescent="0.2">
      <c r="D18" s="78" t="s">
        <v>3683</v>
      </c>
      <c r="E18" s="80">
        <v>1</v>
      </c>
      <c r="F18" s="80">
        <v>1</v>
      </c>
      <c r="G18" s="80">
        <v>2</v>
      </c>
      <c r="H18" s="67"/>
      <c r="I18" s="80">
        <f t="shared" si="2"/>
        <v>4</v>
      </c>
      <c r="J18" s="69">
        <f>+I18/$I$19</f>
        <v>0.16666666666666666</v>
      </c>
    </row>
    <row r="19" spans="4:10" x14ac:dyDescent="0.2">
      <c r="H19" s="78" t="s">
        <v>3545</v>
      </c>
      <c r="I19" s="68">
        <f>+SUM(I15:I18)</f>
        <v>24</v>
      </c>
      <c r="J19" s="69">
        <f>+I19/$I$19</f>
        <v>1</v>
      </c>
    </row>
    <row r="21" spans="4:10" x14ac:dyDescent="0.2">
      <c r="D21" s="91" t="s">
        <v>3679</v>
      </c>
      <c r="E21" s="91" t="s">
        <v>3680</v>
      </c>
      <c r="F21" s="91" t="s">
        <v>3681</v>
      </c>
      <c r="G21" s="91" t="s">
        <v>3682</v>
      </c>
      <c r="H21" s="91" t="s">
        <v>3683</v>
      </c>
      <c r="I21" s="91" t="s">
        <v>3545</v>
      </c>
      <c r="J21" s="91" t="s">
        <v>3686</v>
      </c>
    </row>
    <row r="22" spans="4:10" x14ac:dyDescent="0.2">
      <c r="D22" s="91" t="s">
        <v>3680</v>
      </c>
      <c r="E22" s="67"/>
      <c r="F22" s="92">
        <v>2</v>
      </c>
      <c r="G22" s="92">
        <v>2</v>
      </c>
      <c r="H22" s="92">
        <v>2</v>
      </c>
      <c r="I22" s="92">
        <f>+SUM(E22:H22)</f>
        <v>6</v>
      </c>
      <c r="J22" s="69">
        <f>+I22/$I$19</f>
        <v>0.25</v>
      </c>
    </row>
    <row r="23" spans="4:10" x14ac:dyDescent="0.2">
      <c r="D23" s="91" t="s">
        <v>3681</v>
      </c>
      <c r="E23" s="92">
        <v>2</v>
      </c>
      <c r="F23" s="67"/>
      <c r="G23" s="92">
        <v>2</v>
      </c>
      <c r="H23" s="92">
        <v>2</v>
      </c>
      <c r="I23" s="92">
        <f t="shared" ref="I23:I25" si="3">+SUM(E23:H23)</f>
        <v>6</v>
      </c>
      <c r="J23" s="69">
        <f>+I23/$I$19</f>
        <v>0.25</v>
      </c>
    </row>
    <row r="24" spans="4:10" x14ac:dyDescent="0.2">
      <c r="D24" s="91" t="s">
        <v>3682</v>
      </c>
      <c r="E24" s="92">
        <v>2</v>
      </c>
      <c r="F24" s="92">
        <v>2</v>
      </c>
      <c r="G24" s="67"/>
      <c r="H24" s="92">
        <v>2</v>
      </c>
      <c r="I24" s="92">
        <f t="shared" si="3"/>
        <v>6</v>
      </c>
      <c r="J24" s="69">
        <f>+I24/$I$19</f>
        <v>0.25</v>
      </c>
    </row>
    <row r="25" spans="4:10" x14ac:dyDescent="0.2">
      <c r="D25" s="91" t="s">
        <v>3683</v>
      </c>
      <c r="E25" s="92">
        <v>2</v>
      </c>
      <c r="F25" s="92">
        <v>2</v>
      </c>
      <c r="G25" s="92">
        <v>2</v>
      </c>
      <c r="H25" s="67"/>
      <c r="I25" s="92">
        <f t="shared" si="3"/>
        <v>6</v>
      </c>
      <c r="J25" s="69">
        <f>+I25/$I$19</f>
        <v>0.25</v>
      </c>
    </row>
    <row r="26" spans="4:10" x14ac:dyDescent="0.2">
      <c r="H26" s="91" t="s">
        <v>3545</v>
      </c>
      <c r="I26" s="68">
        <f>+SUM(I22:I25)</f>
        <v>24</v>
      </c>
      <c r="J26" s="69">
        <f>+I26/$I$19</f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38"/>
  <sheetViews>
    <sheetView topLeftCell="D7" workbookViewId="0">
      <selection activeCell="Q23" sqref="Q23:V26"/>
    </sheetView>
  </sheetViews>
  <sheetFormatPr baseColWidth="10" defaultRowHeight="16" x14ac:dyDescent="0.2"/>
  <cols>
    <col min="2" max="2" width="15.1640625" customWidth="1"/>
    <col min="3" max="9" width="15" customWidth="1"/>
  </cols>
  <sheetData>
    <row r="1" spans="2:16" x14ac:dyDescent="0.2">
      <c r="B1">
        <v>3.25</v>
      </c>
    </row>
    <row r="3" spans="2:16" x14ac:dyDescent="0.2">
      <c r="B3" s="66" t="s">
        <v>3699</v>
      </c>
      <c r="C3" s="66">
        <v>1</v>
      </c>
      <c r="D3" s="66">
        <v>2</v>
      </c>
      <c r="E3" s="66">
        <v>3</v>
      </c>
      <c r="J3" s="75" t="s">
        <v>3680</v>
      </c>
      <c r="K3" s="4">
        <v>0.25</v>
      </c>
      <c r="L3" t="s">
        <v>3687</v>
      </c>
      <c r="N3" s="78" t="s">
        <v>3680</v>
      </c>
      <c r="O3" s="4">
        <v>0.25</v>
      </c>
      <c r="P3" t="s">
        <v>3687</v>
      </c>
    </row>
    <row r="4" spans="2:16" ht="16" customHeight="1" x14ac:dyDescent="0.2">
      <c r="B4" s="304" t="s">
        <v>3732</v>
      </c>
      <c r="C4" s="344" t="s">
        <v>3751</v>
      </c>
      <c r="D4" s="344" t="s">
        <v>3746</v>
      </c>
      <c r="E4" s="344" t="s">
        <v>3743</v>
      </c>
      <c r="J4" s="75" t="s">
        <v>3681</v>
      </c>
      <c r="K4" s="4">
        <f>55/300</f>
        <v>0.18333333333333332</v>
      </c>
      <c r="L4" t="s">
        <v>3694</v>
      </c>
      <c r="N4" s="78" t="s">
        <v>3681</v>
      </c>
      <c r="O4" s="4">
        <v>0.25</v>
      </c>
      <c r="P4" t="s">
        <v>4507</v>
      </c>
    </row>
    <row r="5" spans="2:16" ht="16" customHeight="1" x14ac:dyDescent="0.2">
      <c r="B5" s="306"/>
      <c r="C5" s="345"/>
      <c r="D5" s="345"/>
      <c r="E5" s="345"/>
      <c r="J5" s="75" t="s">
        <v>3682</v>
      </c>
      <c r="K5" s="4">
        <f>35/300</f>
        <v>0.11666666666666667</v>
      </c>
      <c r="L5" t="s">
        <v>3695</v>
      </c>
      <c r="N5" s="78" t="s">
        <v>3682</v>
      </c>
      <c r="O5" s="4">
        <v>0.25</v>
      </c>
      <c r="P5" t="s">
        <v>4508</v>
      </c>
    </row>
    <row r="6" spans="2:16" x14ac:dyDescent="0.2">
      <c r="B6" s="71" t="s">
        <v>34</v>
      </c>
      <c r="C6" s="77" t="s">
        <v>3747</v>
      </c>
      <c r="D6" s="77" t="s">
        <v>3747</v>
      </c>
      <c r="E6" s="77" t="s">
        <v>3528</v>
      </c>
      <c r="J6" s="75" t="s">
        <v>3683</v>
      </c>
      <c r="K6" s="4">
        <f t="shared" ref="K6:K7" si="0">35/300</f>
        <v>0.11666666666666667</v>
      </c>
      <c r="L6" t="s">
        <v>3696</v>
      </c>
      <c r="N6" s="78" t="s">
        <v>3683</v>
      </c>
      <c r="O6" s="4">
        <v>0.25</v>
      </c>
      <c r="P6" t="s">
        <v>4509</v>
      </c>
    </row>
    <row r="7" spans="2:16" x14ac:dyDescent="0.2">
      <c r="B7" s="75" t="s">
        <v>3744</v>
      </c>
      <c r="C7" s="77" t="s">
        <v>3745</v>
      </c>
      <c r="D7" s="77" t="s">
        <v>3748</v>
      </c>
      <c r="E7" s="77" t="s">
        <v>3745</v>
      </c>
      <c r="J7" s="75" t="s">
        <v>3684</v>
      </c>
      <c r="K7" s="4">
        <f t="shared" si="0"/>
        <v>0.11666666666666667</v>
      </c>
      <c r="L7" t="s">
        <v>3697</v>
      </c>
    </row>
    <row r="8" spans="2:16" x14ac:dyDescent="0.2">
      <c r="B8" s="71" t="s">
        <v>3733</v>
      </c>
      <c r="C8" s="76" t="s">
        <v>3752</v>
      </c>
      <c r="D8" s="77" t="s">
        <v>3758</v>
      </c>
      <c r="E8" s="76" t="s">
        <v>3749</v>
      </c>
      <c r="J8" s="75" t="s">
        <v>3685</v>
      </c>
      <c r="K8" s="4">
        <f>65/300</f>
        <v>0.21666666666666667</v>
      </c>
      <c r="L8" t="s">
        <v>3698</v>
      </c>
    </row>
    <row r="9" spans="2:16" x14ac:dyDescent="0.2">
      <c r="B9" s="71" t="s">
        <v>3734</v>
      </c>
      <c r="C9" s="77" t="s">
        <v>3753</v>
      </c>
      <c r="D9" s="77" t="s">
        <v>3633</v>
      </c>
      <c r="E9" s="77" t="s">
        <v>3750</v>
      </c>
    </row>
    <row r="10" spans="2:16" x14ac:dyDescent="0.2">
      <c r="B10" s="71" t="s">
        <v>3735</v>
      </c>
      <c r="C10" s="77" t="s">
        <v>3754</v>
      </c>
      <c r="D10" s="77" t="s">
        <v>3757</v>
      </c>
      <c r="E10" s="77" t="s">
        <v>3739</v>
      </c>
    </row>
    <row r="11" spans="2:16" x14ac:dyDescent="0.2">
      <c r="B11" s="71" t="s">
        <v>3736</v>
      </c>
      <c r="C11" s="77" t="s">
        <v>3756</v>
      </c>
      <c r="D11" s="77" t="s">
        <v>3757</v>
      </c>
      <c r="E11" s="77" t="s">
        <v>3740</v>
      </c>
    </row>
    <row r="12" spans="2:16" x14ac:dyDescent="0.2">
      <c r="B12" s="71" t="s">
        <v>3737</v>
      </c>
      <c r="C12" s="77" t="s">
        <v>3756</v>
      </c>
      <c r="D12" s="77" t="s">
        <v>3757</v>
      </c>
      <c r="E12" s="77" t="s">
        <v>3741</v>
      </c>
    </row>
    <row r="13" spans="2:16" x14ac:dyDescent="0.2">
      <c r="B13" s="71" t="s">
        <v>3738</v>
      </c>
      <c r="C13" s="77" t="s">
        <v>3755</v>
      </c>
      <c r="D13" s="77" t="s">
        <v>3757</v>
      </c>
      <c r="E13" s="77" t="s">
        <v>3742</v>
      </c>
    </row>
    <row r="14" spans="2:16" hidden="1" x14ac:dyDescent="0.2">
      <c r="B14" s="71" t="s">
        <v>3717</v>
      </c>
      <c r="C14" s="76">
        <v>1100000</v>
      </c>
      <c r="D14" s="76">
        <f>+D15/$B$1</f>
        <v>4615.3846153846152</v>
      </c>
      <c r="E14" s="76">
        <v>1094132.3999999999</v>
      </c>
    </row>
    <row r="15" spans="2:16" x14ac:dyDescent="0.2">
      <c r="B15" s="71" t="s">
        <v>3716</v>
      </c>
      <c r="C15" s="76">
        <f>+C14*$B$1</f>
        <v>3575000</v>
      </c>
      <c r="D15" s="76">
        <v>15000</v>
      </c>
      <c r="E15" s="76">
        <f>+E14*$B$1</f>
        <v>3555930.3</v>
      </c>
    </row>
    <row r="17" spans="2:22" x14ac:dyDescent="0.2">
      <c r="J17" s="66" t="s">
        <v>3679</v>
      </c>
      <c r="K17" s="66" t="s">
        <v>3703</v>
      </c>
      <c r="L17" s="66" t="s">
        <v>3704</v>
      </c>
      <c r="M17" s="66" t="s">
        <v>3705</v>
      </c>
      <c r="N17" s="66" t="s">
        <v>3706</v>
      </c>
      <c r="O17" s="66" t="s">
        <v>3707</v>
      </c>
      <c r="P17" s="66" t="s">
        <v>3708</v>
      </c>
      <c r="Q17" s="66" t="s">
        <v>3653</v>
      </c>
    </row>
    <row r="18" spans="2:22" x14ac:dyDescent="0.2">
      <c r="B18" s="78" t="s">
        <v>3699</v>
      </c>
      <c r="C18" s="78">
        <v>1</v>
      </c>
      <c r="D18" s="78">
        <v>2</v>
      </c>
      <c r="E18" s="78">
        <v>3</v>
      </c>
      <c r="F18" s="78">
        <v>4</v>
      </c>
      <c r="G18" s="78">
        <v>5</v>
      </c>
      <c r="H18" s="78">
        <v>6</v>
      </c>
      <c r="J18" s="66" t="s">
        <v>3700</v>
      </c>
      <c r="K18" s="4">
        <v>1</v>
      </c>
      <c r="L18" s="4">
        <v>7</v>
      </c>
      <c r="M18" s="4">
        <v>7</v>
      </c>
      <c r="N18" s="4">
        <v>3</v>
      </c>
      <c r="O18" s="4">
        <v>8</v>
      </c>
      <c r="P18" s="4">
        <v>1</v>
      </c>
      <c r="Q18" s="4">
        <f>+K18*$K$3+L18*$K$4+M18*$K$5+N18*$K$6+O18*$K$7+P18*$K$8</f>
        <v>3.8499999999999996</v>
      </c>
    </row>
    <row r="19" spans="2:22" x14ac:dyDescent="0.2">
      <c r="B19" s="304" t="s">
        <v>3732</v>
      </c>
      <c r="C19" s="344" t="s">
        <v>3759</v>
      </c>
      <c r="D19" s="344" t="s">
        <v>3766</v>
      </c>
      <c r="E19" s="344" t="s">
        <v>3770</v>
      </c>
      <c r="F19" s="344" t="s">
        <v>3775</v>
      </c>
      <c r="G19" s="344"/>
      <c r="H19" s="344"/>
      <c r="J19" s="66" t="s">
        <v>3701</v>
      </c>
      <c r="K19" s="4">
        <v>10</v>
      </c>
      <c r="L19" s="4">
        <v>8</v>
      </c>
      <c r="M19" s="4">
        <v>4</v>
      </c>
      <c r="N19" s="4">
        <v>7</v>
      </c>
      <c r="O19" s="4">
        <v>2</v>
      </c>
      <c r="P19" s="4">
        <v>10</v>
      </c>
      <c r="Q19" s="4">
        <f>+K19*$K$3+L19*$K$4+M19*$K$5+N19*$K$6+O19*$K$7+P19*$K$8</f>
        <v>7.65</v>
      </c>
    </row>
    <row r="20" spans="2:22" x14ac:dyDescent="0.2">
      <c r="B20" s="306"/>
      <c r="C20" s="345"/>
      <c r="D20" s="345"/>
      <c r="E20" s="345"/>
      <c r="F20" s="345"/>
      <c r="G20" s="345"/>
      <c r="H20" s="345"/>
      <c r="J20" s="66" t="s">
        <v>3702</v>
      </c>
      <c r="K20" s="4">
        <v>2</v>
      </c>
      <c r="L20" s="4">
        <v>10</v>
      </c>
      <c r="M20" s="4">
        <v>8</v>
      </c>
      <c r="N20" s="4">
        <v>2</v>
      </c>
      <c r="O20" s="4">
        <v>8</v>
      </c>
      <c r="P20" s="4">
        <v>1</v>
      </c>
      <c r="Q20" s="4">
        <f>+K20*$K$3+L20*$K$4+M20*$K$5+N20*$K$6+O20*$K$7+P20*$K$8</f>
        <v>4.6500000000000004</v>
      </c>
    </row>
    <row r="21" spans="2:22" x14ac:dyDescent="0.2">
      <c r="B21" s="78" t="s">
        <v>34</v>
      </c>
      <c r="C21" s="80" t="s">
        <v>3533</v>
      </c>
      <c r="D21" s="80" t="s">
        <v>3533</v>
      </c>
      <c r="E21" s="80" t="s">
        <v>3528</v>
      </c>
      <c r="F21" s="80" t="s">
        <v>3528</v>
      </c>
      <c r="G21" s="80" t="s">
        <v>3522</v>
      </c>
      <c r="H21" s="80" t="s">
        <v>3522</v>
      </c>
    </row>
    <row r="22" spans="2:22" x14ac:dyDescent="0.2">
      <c r="B22" s="78" t="s">
        <v>3744</v>
      </c>
      <c r="C22" s="80" t="s">
        <v>3745</v>
      </c>
      <c r="D22" s="80" t="s">
        <v>3745</v>
      </c>
      <c r="E22" s="80" t="s">
        <v>3745</v>
      </c>
      <c r="F22" s="80" t="s">
        <v>3745</v>
      </c>
      <c r="G22" s="80" t="s">
        <v>3745</v>
      </c>
      <c r="H22" s="80" t="s">
        <v>3745</v>
      </c>
    </row>
    <row r="23" spans="2:22" x14ac:dyDescent="0.2">
      <c r="B23" s="78" t="s">
        <v>3733</v>
      </c>
      <c r="C23" s="79" t="s">
        <v>3765</v>
      </c>
      <c r="D23" s="79" t="s">
        <v>3767</v>
      </c>
      <c r="E23" s="79" t="s">
        <v>3771</v>
      </c>
      <c r="F23" s="79" t="s">
        <v>3774</v>
      </c>
      <c r="G23" s="79"/>
      <c r="H23" s="79"/>
      <c r="J23" s="78" t="s">
        <v>3679</v>
      </c>
      <c r="K23" s="78" t="s">
        <v>3777</v>
      </c>
      <c r="L23" s="78" t="s">
        <v>3778</v>
      </c>
      <c r="M23" s="78" t="s">
        <v>3779</v>
      </c>
      <c r="N23" s="78" t="s">
        <v>3780</v>
      </c>
      <c r="O23" s="78" t="s">
        <v>3653</v>
      </c>
      <c r="Q23" s="91" t="s">
        <v>3679</v>
      </c>
      <c r="R23" s="91" t="s">
        <v>3703</v>
      </c>
      <c r="S23" s="91" t="s">
        <v>3944</v>
      </c>
      <c r="T23" s="91" t="s">
        <v>3945</v>
      </c>
      <c r="U23" s="91" t="s">
        <v>3946</v>
      </c>
      <c r="V23" s="91" t="s">
        <v>3653</v>
      </c>
    </row>
    <row r="24" spans="2:22" x14ac:dyDescent="0.2">
      <c r="B24" s="78" t="s">
        <v>3734</v>
      </c>
      <c r="C24" s="79" t="s">
        <v>3765</v>
      </c>
      <c r="D24" s="79" t="s">
        <v>3767</v>
      </c>
      <c r="E24" s="79" t="s">
        <v>3771</v>
      </c>
      <c r="F24" s="79" t="s">
        <v>3774</v>
      </c>
      <c r="G24" s="80"/>
      <c r="H24" s="80"/>
      <c r="J24" s="78" t="s">
        <v>3700</v>
      </c>
      <c r="K24" s="4">
        <v>2</v>
      </c>
      <c r="L24" s="4">
        <v>9</v>
      </c>
      <c r="M24" s="4">
        <v>8</v>
      </c>
      <c r="N24" s="4">
        <v>8</v>
      </c>
      <c r="O24" s="4">
        <f>+K24*$O$3+L24*$O$4+M24*$O$5+N24*$O$6</f>
        <v>6.75</v>
      </c>
      <c r="Q24" s="91" t="s">
        <v>3937</v>
      </c>
      <c r="R24" s="4">
        <v>9</v>
      </c>
      <c r="S24" s="4">
        <v>10</v>
      </c>
      <c r="T24" s="4">
        <v>6</v>
      </c>
      <c r="U24" s="4">
        <v>0</v>
      </c>
      <c r="V24" s="4">
        <f>+R24*$O$3+S24*$O$4+T24*$O$5+U24*$O$6</f>
        <v>6.25</v>
      </c>
    </row>
    <row r="25" spans="2:22" x14ac:dyDescent="0.2">
      <c r="B25" s="78" t="s">
        <v>3735</v>
      </c>
      <c r="C25" s="80" t="s">
        <v>3762</v>
      </c>
      <c r="D25" s="80" t="s">
        <v>3768</v>
      </c>
      <c r="E25" s="80" t="s">
        <v>3772</v>
      </c>
      <c r="F25" s="80" t="s">
        <v>3762</v>
      </c>
      <c r="G25" s="80"/>
      <c r="H25" s="80"/>
      <c r="J25" s="78" t="s">
        <v>3701</v>
      </c>
      <c r="K25" s="4">
        <v>6</v>
      </c>
      <c r="L25" s="4">
        <v>7</v>
      </c>
      <c r="M25" s="4">
        <v>8</v>
      </c>
      <c r="N25" s="4">
        <v>7</v>
      </c>
      <c r="O25" s="4">
        <f t="shared" ref="O25:O26" si="1">+K25*$O$3+L25*$O$4+M25*$O$5+N25*$O$6</f>
        <v>7</v>
      </c>
      <c r="Q25" s="91" t="s">
        <v>3938</v>
      </c>
      <c r="R25" s="4">
        <v>7</v>
      </c>
      <c r="S25" s="4">
        <v>10</v>
      </c>
      <c r="T25" s="4">
        <v>7</v>
      </c>
      <c r="U25" s="4">
        <v>10</v>
      </c>
      <c r="V25" s="4">
        <f t="shared" ref="V25:V26" si="2">+R25*$O$3+S25*$O$4+T25*$O$5+U25*$O$6</f>
        <v>8.5</v>
      </c>
    </row>
    <row r="26" spans="2:22" x14ac:dyDescent="0.2">
      <c r="B26" s="78" t="s">
        <v>3736</v>
      </c>
      <c r="C26" s="80" t="s">
        <v>3763</v>
      </c>
      <c r="D26" s="80" t="s">
        <v>3769</v>
      </c>
      <c r="E26" s="80" t="s">
        <v>3773</v>
      </c>
      <c r="F26" s="80" t="s">
        <v>3776</v>
      </c>
      <c r="G26" s="80"/>
      <c r="H26" s="80"/>
      <c r="J26" s="78" t="s">
        <v>3702</v>
      </c>
      <c r="K26" s="4">
        <v>4</v>
      </c>
      <c r="L26" s="4">
        <v>6</v>
      </c>
      <c r="M26" s="4">
        <v>8</v>
      </c>
      <c r="N26" s="4">
        <v>8</v>
      </c>
      <c r="O26" s="4">
        <f t="shared" si="1"/>
        <v>6.5</v>
      </c>
      <c r="Q26" s="91" t="s">
        <v>3939</v>
      </c>
      <c r="R26" s="4">
        <v>8</v>
      </c>
      <c r="S26" s="4">
        <v>10</v>
      </c>
      <c r="T26" s="4">
        <v>8</v>
      </c>
      <c r="U26" s="4">
        <v>5</v>
      </c>
      <c r="V26" s="4">
        <f t="shared" si="2"/>
        <v>7.75</v>
      </c>
    </row>
    <row r="27" spans="2:22" x14ac:dyDescent="0.2">
      <c r="B27" s="78" t="s">
        <v>3737</v>
      </c>
      <c r="C27" s="80" t="s">
        <v>3763</v>
      </c>
      <c r="D27" s="80" t="s">
        <v>3769</v>
      </c>
      <c r="E27" s="80" t="s">
        <v>3773</v>
      </c>
      <c r="F27" s="80" t="s">
        <v>3776</v>
      </c>
      <c r="G27" s="80"/>
      <c r="H27" s="80"/>
      <c r="J27" s="78" t="s">
        <v>3781</v>
      </c>
      <c r="K27" s="4">
        <v>8</v>
      </c>
      <c r="L27" s="4">
        <v>6</v>
      </c>
      <c r="M27" s="4">
        <v>8</v>
      </c>
      <c r="N27" s="4">
        <v>7</v>
      </c>
      <c r="O27" s="4">
        <f t="shared" ref="O27" si="3">+K27*$O$3+L27*$O$4+M27*$O$5+N27*$O$6</f>
        <v>7.25</v>
      </c>
    </row>
    <row r="28" spans="2:22" x14ac:dyDescent="0.2">
      <c r="B28" s="78" t="s">
        <v>3738</v>
      </c>
      <c r="C28" s="80" t="s">
        <v>3764</v>
      </c>
      <c r="D28" s="80" t="s">
        <v>3768</v>
      </c>
      <c r="E28" s="80" t="s">
        <v>3772</v>
      </c>
      <c r="F28" s="80" t="s">
        <v>3762</v>
      </c>
      <c r="G28" s="80"/>
      <c r="H28" s="80"/>
    </row>
    <row r="29" spans="2:22" hidden="1" x14ac:dyDescent="0.2">
      <c r="B29" s="78" t="s">
        <v>3760</v>
      </c>
      <c r="C29" s="79">
        <f>+C30/$B$1</f>
        <v>646.15384615384619</v>
      </c>
      <c r="D29" s="79">
        <f>+D30/$B$1</f>
        <v>400</v>
      </c>
      <c r="E29" s="79">
        <f t="shared" ref="E29:H29" si="4">+E30/$B$1</f>
        <v>430.76923076923077</v>
      </c>
      <c r="F29" s="79">
        <f t="shared" si="4"/>
        <v>369.23076923076923</v>
      </c>
      <c r="G29" s="79">
        <f t="shared" si="4"/>
        <v>0</v>
      </c>
      <c r="H29" s="79">
        <f t="shared" si="4"/>
        <v>0</v>
      </c>
    </row>
    <row r="30" spans="2:22" x14ac:dyDescent="0.2">
      <c r="B30" s="78" t="s">
        <v>3761</v>
      </c>
      <c r="C30" s="79">
        <v>2100</v>
      </c>
      <c r="D30" s="79">
        <v>1300</v>
      </c>
      <c r="E30" s="79">
        <v>1400</v>
      </c>
      <c r="F30" s="79">
        <v>1200</v>
      </c>
      <c r="G30" s="79"/>
      <c r="H30" s="79"/>
    </row>
    <row r="33" spans="2:10" x14ac:dyDescent="0.2">
      <c r="B33" s="91" t="s">
        <v>3520</v>
      </c>
      <c r="C33" s="91" t="s">
        <v>3937</v>
      </c>
      <c r="D33" s="91" t="s">
        <v>3938</v>
      </c>
      <c r="E33" s="91" t="s">
        <v>3939</v>
      </c>
      <c r="J33" s="111"/>
    </row>
    <row r="34" spans="2:10" x14ac:dyDescent="0.2">
      <c r="B34" s="91" t="s">
        <v>3940</v>
      </c>
      <c r="C34" s="197">
        <v>26.5</v>
      </c>
      <c r="D34" s="109">
        <v>27.5</v>
      </c>
      <c r="E34" s="109">
        <v>27</v>
      </c>
    </row>
    <row r="35" spans="2:10" x14ac:dyDescent="0.2">
      <c r="B35" s="91" t="s">
        <v>3821</v>
      </c>
      <c r="C35" s="92" t="s">
        <v>3942</v>
      </c>
      <c r="D35" s="92" t="s">
        <v>3942</v>
      </c>
      <c r="E35" s="92" t="s">
        <v>3942</v>
      </c>
    </row>
    <row r="36" spans="2:10" ht="48" x14ac:dyDescent="0.2">
      <c r="B36" s="90" t="s">
        <v>3941</v>
      </c>
      <c r="C36" s="92">
        <v>6</v>
      </c>
      <c r="D36" s="92">
        <v>7</v>
      </c>
      <c r="E36" s="92">
        <v>8</v>
      </c>
    </row>
    <row r="37" spans="2:10" ht="48" x14ac:dyDescent="0.2">
      <c r="B37" s="90" t="s">
        <v>3943</v>
      </c>
      <c r="C37" s="110">
        <v>0.25</v>
      </c>
      <c r="D37" s="284">
        <v>0.625</v>
      </c>
      <c r="E37" s="110">
        <v>0.5</v>
      </c>
    </row>
    <row r="38" spans="2:10" ht="32" x14ac:dyDescent="0.2">
      <c r="B38" s="276" t="s">
        <v>4510</v>
      </c>
      <c r="C38" s="197">
        <f>+C34+(1-C37)*8</f>
        <v>32.5</v>
      </c>
      <c r="D38" s="197">
        <f>+D34+(1-D37)*8</f>
        <v>30.5</v>
      </c>
      <c r="E38" s="197">
        <f>+E34+(1-E37)*8</f>
        <v>31</v>
      </c>
    </row>
  </sheetData>
  <mergeCells count="11">
    <mergeCell ref="C4:C5"/>
    <mergeCell ref="D4:D5"/>
    <mergeCell ref="E4:E5"/>
    <mergeCell ref="B4:B5"/>
    <mergeCell ref="G19:G20"/>
    <mergeCell ref="H19:H20"/>
    <mergeCell ref="B19:B20"/>
    <mergeCell ref="C19:C20"/>
    <mergeCell ref="D19:D20"/>
    <mergeCell ref="E19:E20"/>
    <mergeCell ref="F19:F20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7"/>
  <sheetViews>
    <sheetView zoomScale="110" zoomScaleNormal="110" zoomScalePageLayoutView="110" workbookViewId="0">
      <selection activeCell="L11" sqref="L11:L13"/>
    </sheetView>
  </sheetViews>
  <sheetFormatPr baseColWidth="10" defaultRowHeight="16" x14ac:dyDescent="0.2"/>
  <cols>
    <col min="2" max="2" width="8.33203125" customWidth="1"/>
    <col min="3" max="3" width="9.1640625" customWidth="1"/>
    <col min="4" max="4" width="21.6640625" customWidth="1"/>
    <col min="5" max="5" width="10.6640625" customWidth="1"/>
    <col min="6" max="6" width="10" hidden="1" customWidth="1"/>
    <col min="7" max="7" width="10.83203125" hidden="1" customWidth="1"/>
    <col min="8" max="8" width="40.6640625" hidden="1" customWidth="1"/>
    <col min="9" max="9" width="11.1640625" hidden="1" customWidth="1"/>
    <col min="10" max="10" width="11.6640625" hidden="1" customWidth="1"/>
    <col min="11" max="11" width="11.6640625" customWidth="1"/>
  </cols>
  <sheetData>
    <row r="1" spans="2:14" x14ac:dyDescent="0.2">
      <c r="B1" t="s">
        <v>3721</v>
      </c>
      <c r="C1">
        <v>3.25</v>
      </c>
    </row>
    <row r="2" spans="2:14" x14ac:dyDescent="0.2">
      <c r="N2">
        <f>1600*C1</f>
        <v>5200</v>
      </c>
    </row>
    <row r="3" spans="2:14" ht="30" customHeight="1" x14ac:dyDescent="0.2">
      <c r="B3" s="290" t="s">
        <v>3520</v>
      </c>
      <c r="C3" s="290" t="s">
        <v>3709</v>
      </c>
      <c r="D3" s="290" t="s">
        <v>3726</v>
      </c>
      <c r="E3" s="301" t="s">
        <v>3710</v>
      </c>
      <c r="F3" s="290" t="s">
        <v>3717</v>
      </c>
      <c r="G3" s="290" t="s">
        <v>3716</v>
      </c>
      <c r="H3" s="290" t="s">
        <v>3711</v>
      </c>
      <c r="I3" s="290" t="s">
        <v>3727</v>
      </c>
      <c r="J3" s="290" t="s">
        <v>3722</v>
      </c>
      <c r="K3" s="290" t="s">
        <v>4166</v>
      </c>
      <c r="L3" s="290" t="s">
        <v>3719</v>
      </c>
      <c r="M3" s="290" t="s">
        <v>4296</v>
      </c>
      <c r="N3" s="290" t="s">
        <v>4187</v>
      </c>
    </row>
    <row r="4" spans="2:14" ht="30" customHeight="1" x14ac:dyDescent="0.2">
      <c r="B4" s="290"/>
      <c r="C4" s="290" t="s">
        <v>3709</v>
      </c>
      <c r="D4" s="290"/>
      <c r="E4" s="303"/>
      <c r="F4" s="290" t="s">
        <v>3717</v>
      </c>
      <c r="G4" s="290" t="s">
        <v>3716</v>
      </c>
      <c r="H4" s="290" t="s">
        <v>3711</v>
      </c>
      <c r="I4" s="290" t="s">
        <v>3718</v>
      </c>
      <c r="J4" s="290" t="s">
        <v>3718</v>
      </c>
      <c r="K4" s="290"/>
      <c r="L4" s="290" t="s">
        <v>3719</v>
      </c>
      <c r="M4" s="290"/>
      <c r="N4" s="290"/>
    </row>
    <row r="5" spans="2:14" ht="32" x14ac:dyDescent="0.2">
      <c r="B5" s="347" t="s">
        <v>3712</v>
      </c>
      <c r="C5" s="347" t="s">
        <v>3713</v>
      </c>
      <c r="D5" s="289"/>
      <c r="E5" s="289" t="s">
        <v>3714</v>
      </c>
      <c r="F5" s="346">
        <v>50000</v>
      </c>
      <c r="G5" s="346">
        <f>+F5*$C$1</f>
        <v>162500</v>
      </c>
      <c r="H5" s="70" t="s">
        <v>3723</v>
      </c>
      <c r="I5" s="72">
        <v>196</v>
      </c>
      <c r="J5" s="72">
        <f>+I5*$C$1</f>
        <v>637</v>
      </c>
      <c r="K5" s="346">
        <v>1</v>
      </c>
      <c r="L5" s="346">
        <f>+G5+J5+J6+J7</f>
        <v>177157</v>
      </c>
      <c r="M5" s="346">
        <f>+L5/1.18</f>
        <v>150133.05084745763</v>
      </c>
      <c r="N5" s="346">
        <f>+M5*0.18</f>
        <v>27023.949152542373</v>
      </c>
    </row>
    <row r="6" spans="2:14" x14ac:dyDescent="0.2">
      <c r="B6" s="347"/>
      <c r="C6" s="347"/>
      <c r="D6" s="289"/>
      <c r="E6" s="289"/>
      <c r="F6" s="347"/>
      <c r="G6" s="347"/>
      <c r="H6" s="73" t="s">
        <v>3724</v>
      </c>
      <c r="I6" s="72">
        <f>+J6/$C$1</f>
        <v>6.1538461538461542</v>
      </c>
      <c r="J6" s="72">
        <v>20</v>
      </c>
      <c r="K6" s="347"/>
      <c r="L6" s="347"/>
      <c r="M6" s="347"/>
      <c r="N6" s="347"/>
    </row>
    <row r="7" spans="2:14" ht="32" x14ac:dyDescent="0.2">
      <c r="B7" s="347"/>
      <c r="C7" s="347"/>
      <c r="D7" s="289"/>
      <c r="E7" s="289"/>
      <c r="F7" s="347"/>
      <c r="G7" s="347"/>
      <c r="H7" s="74" t="s">
        <v>3725</v>
      </c>
      <c r="I7" s="72">
        <f>+J7/$C$1</f>
        <v>4307.6923076923076</v>
      </c>
      <c r="J7" s="72">
        <v>14000</v>
      </c>
      <c r="K7" s="347"/>
      <c r="L7" s="347"/>
      <c r="M7" s="347"/>
      <c r="N7" s="347"/>
    </row>
    <row r="8" spans="2:14" ht="32" x14ac:dyDescent="0.2">
      <c r="B8" s="347" t="s">
        <v>3712</v>
      </c>
      <c r="C8" s="347" t="s">
        <v>3715</v>
      </c>
      <c r="D8" s="289"/>
      <c r="E8" s="289" t="s">
        <v>3720</v>
      </c>
      <c r="F8" s="346">
        <v>30000</v>
      </c>
      <c r="G8" s="346">
        <f>+F8*$C$1</f>
        <v>97500</v>
      </c>
      <c r="H8" s="70" t="s">
        <v>3729</v>
      </c>
      <c r="I8" s="72">
        <v>116</v>
      </c>
      <c r="J8" s="72">
        <f>+I8*$C$1</f>
        <v>377</v>
      </c>
      <c r="K8" s="346">
        <v>1</v>
      </c>
      <c r="L8" s="346">
        <f>+G8+J8+J9+J10</f>
        <v>103897</v>
      </c>
      <c r="M8" s="346">
        <f>+L8/1.18</f>
        <v>88048.305084745763</v>
      </c>
      <c r="N8" s="346">
        <f>+M8*0.18</f>
        <v>15848.694915254237</v>
      </c>
    </row>
    <row r="9" spans="2:14" x14ac:dyDescent="0.2">
      <c r="B9" s="347"/>
      <c r="C9" s="347"/>
      <c r="D9" s="289"/>
      <c r="E9" s="289"/>
      <c r="F9" s="347"/>
      <c r="G9" s="347"/>
      <c r="H9" s="73" t="s">
        <v>3724</v>
      </c>
      <c r="I9" s="72">
        <f>+J9/$C$1</f>
        <v>6.1538461538461542</v>
      </c>
      <c r="J9" s="72">
        <v>20</v>
      </c>
      <c r="K9" s="347"/>
      <c r="L9" s="347"/>
      <c r="M9" s="347"/>
      <c r="N9" s="347"/>
    </row>
    <row r="10" spans="2:14" ht="32" x14ac:dyDescent="0.2">
      <c r="B10" s="347"/>
      <c r="C10" s="347"/>
      <c r="D10" s="289"/>
      <c r="E10" s="289"/>
      <c r="F10" s="347"/>
      <c r="G10" s="347"/>
      <c r="H10" s="74" t="s">
        <v>3728</v>
      </c>
      <c r="I10" s="72">
        <f>+J10/$C$1</f>
        <v>1846.1538461538462</v>
      </c>
      <c r="J10" s="72">
        <v>6000</v>
      </c>
      <c r="K10" s="347"/>
      <c r="L10" s="347"/>
      <c r="M10" s="347"/>
      <c r="N10" s="347"/>
    </row>
    <row r="11" spans="2:14" ht="32" customHeight="1" x14ac:dyDescent="0.2">
      <c r="B11" s="348" t="s">
        <v>3799</v>
      </c>
      <c r="C11" s="344" t="s">
        <v>3800</v>
      </c>
      <c r="D11" s="344"/>
      <c r="E11" s="289" t="s">
        <v>3801</v>
      </c>
      <c r="G11" s="346"/>
      <c r="K11" s="346">
        <v>18</v>
      </c>
      <c r="L11" s="346">
        <f>6500*K11</f>
        <v>117000</v>
      </c>
      <c r="M11" s="346">
        <f>+L11</f>
        <v>117000</v>
      </c>
      <c r="N11" s="346">
        <v>0</v>
      </c>
    </row>
    <row r="12" spans="2:14" x14ac:dyDescent="0.2">
      <c r="B12" s="349"/>
      <c r="C12" s="351"/>
      <c r="D12" s="351"/>
      <c r="E12" s="289"/>
      <c r="G12" s="347"/>
      <c r="K12" s="347"/>
      <c r="L12" s="347"/>
      <c r="M12" s="347"/>
      <c r="N12" s="347"/>
    </row>
    <row r="13" spans="2:14" ht="32" customHeight="1" x14ac:dyDescent="0.2">
      <c r="B13" s="350"/>
      <c r="C13" s="345"/>
      <c r="D13" s="345"/>
      <c r="E13" s="289"/>
      <c r="G13" s="347"/>
      <c r="K13" s="347"/>
      <c r="L13" s="347"/>
      <c r="M13" s="347"/>
      <c r="N13" s="347"/>
    </row>
    <row r="14" spans="2:14" ht="32" customHeight="1" x14ac:dyDescent="0.2">
      <c r="B14" s="348" t="s">
        <v>3799</v>
      </c>
      <c r="C14" s="344" t="s">
        <v>3802</v>
      </c>
      <c r="D14" s="344"/>
      <c r="E14" s="289" t="s">
        <v>3803</v>
      </c>
      <c r="G14" s="346"/>
      <c r="K14" s="346">
        <v>1</v>
      </c>
      <c r="L14" s="346">
        <v>3000</v>
      </c>
      <c r="M14" s="346">
        <f>+L14</f>
        <v>3000</v>
      </c>
      <c r="N14" s="346">
        <v>0</v>
      </c>
    </row>
    <row r="15" spans="2:14" x14ac:dyDescent="0.2">
      <c r="B15" s="349"/>
      <c r="C15" s="351"/>
      <c r="D15" s="351"/>
      <c r="E15" s="289"/>
      <c r="G15" s="347"/>
      <c r="K15" s="347"/>
      <c r="L15" s="347"/>
      <c r="M15" s="347"/>
      <c r="N15" s="347"/>
    </row>
    <row r="16" spans="2:14" ht="32" customHeight="1" x14ac:dyDescent="0.2">
      <c r="B16" s="350"/>
      <c r="C16" s="345"/>
      <c r="D16" s="345"/>
      <c r="E16" s="289"/>
      <c r="G16" s="347"/>
      <c r="K16" s="347"/>
      <c r="L16" s="347"/>
      <c r="M16" s="347"/>
      <c r="N16" s="347"/>
    </row>
    <row r="17" spans="11:14" x14ac:dyDescent="0.2">
      <c r="K17" s="113" t="s">
        <v>3572</v>
      </c>
      <c r="L17" s="127">
        <f>+SUM(L5:L16)</f>
        <v>401054</v>
      </c>
      <c r="M17" s="127">
        <f>+SUM(M5:M16)</f>
        <v>358181.35593220341</v>
      </c>
      <c r="N17" s="127">
        <f>+SUM(N5:N16)</f>
        <v>42872.644067796609</v>
      </c>
    </row>
  </sheetData>
  <mergeCells count="51">
    <mergeCell ref="L5:L7"/>
    <mergeCell ref="B3:B4"/>
    <mergeCell ref="C3:C4"/>
    <mergeCell ref="L8:L10"/>
    <mergeCell ref="J3:J4"/>
    <mergeCell ref="B8:B10"/>
    <mergeCell ref="C8:C10"/>
    <mergeCell ref="D8:D10"/>
    <mergeCell ref="E8:E10"/>
    <mergeCell ref="F8:F10"/>
    <mergeCell ref="G8:G10"/>
    <mergeCell ref="I3:I4"/>
    <mergeCell ref="L3:L4"/>
    <mergeCell ref="B5:B7"/>
    <mergeCell ref="C5:C7"/>
    <mergeCell ref="E5:E7"/>
    <mergeCell ref="F5:F7"/>
    <mergeCell ref="F3:F4"/>
    <mergeCell ref="G3:G4"/>
    <mergeCell ref="H3:H4"/>
    <mergeCell ref="D3:D4"/>
    <mergeCell ref="D5:D7"/>
    <mergeCell ref="E3:E4"/>
    <mergeCell ref="G5:G7"/>
    <mergeCell ref="B11:B13"/>
    <mergeCell ref="C11:C13"/>
    <mergeCell ref="D11:D13"/>
    <mergeCell ref="B14:B16"/>
    <mergeCell ref="C14:C16"/>
    <mergeCell ref="D14:D16"/>
    <mergeCell ref="E11:E13"/>
    <mergeCell ref="E14:E16"/>
    <mergeCell ref="G11:G13"/>
    <mergeCell ref="G14:G16"/>
    <mergeCell ref="L11:L13"/>
    <mergeCell ref="L14:L16"/>
    <mergeCell ref="K3:K4"/>
    <mergeCell ref="K5:K7"/>
    <mergeCell ref="K8:K10"/>
    <mergeCell ref="K11:K13"/>
    <mergeCell ref="K14:K16"/>
    <mergeCell ref="M5:M7"/>
    <mergeCell ref="M8:M10"/>
    <mergeCell ref="M11:M13"/>
    <mergeCell ref="M14:M16"/>
    <mergeCell ref="M3:M4"/>
    <mergeCell ref="N3:N4"/>
    <mergeCell ref="N5:N7"/>
    <mergeCell ref="N8:N10"/>
    <mergeCell ref="N11:N13"/>
    <mergeCell ref="N14:N16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X19"/>
  <sheetViews>
    <sheetView zoomScale="110" zoomScaleNormal="110" workbookViewId="0">
      <selection activeCell="B2" sqref="B2:B5"/>
    </sheetView>
  </sheetViews>
  <sheetFormatPr baseColWidth="10" defaultRowHeight="16" x14ac:dyDescent="0.2"/>
  <cols>
    <col min="2" max="2" width="8.33203125" customWidth="1"/>
    <col min="3" max="3" width="9" customWidth="1"/>
    <col min="4" max="4" width="21.6640625" customWidth="1"/>
    <col min="5" max="6" width="10.6640625" customWidth="1"/>
    <col min="7" max="9" width="11.6640625" customWidth="1"/>
    <col min="10" max="14" width="10.83203125" customWidth="1"/>
    <col min="15" max="19" width="11.6640625" customWidth="1"/>
    <col min="24" max="24" width="10.83203125" customWidth="1"/>
  </cols>
  <sheetData>
    <row r="2" spans="2:24" ht="16" customHeight="1" x14ac:dyDescent="0.2">
      <c r="B2" s="290" t="s">
        <v>3520</v>
      </c>
      <c r="C2" s="290" t="s">
        <v>3709</v>
      </c>
      <c r="D2" s="301" t="s">
        <v>3726</v>
      </c>
      <c r="E2" s="290" t="s">
        <v>3710</v>
      </c>
      <c r="F2" s="290" t="s">
        <v>3827</v>
      </c>
      <c r="G2" s="290" t="s">
        <v>3840</v>
      </c>
      <c r="H2" s="290" t="s">
        <v>3804</v>
      </c>
      <c r="I2" s="290" t="s">
        <v>3842</v>
      </c>
      <c r="J2" s="301" t="s">
        <v>3843</v>
      </c>
      <c r="K2" s="301" t="s">
        <v>3844</v>
      </c>
      <c r="L2" s="301" t="s">
        <v>3845</v>
      </c>
      <c r="M2" s="290" t="s">
        <v>3846</v>
      </c>
      <c r="N2" s="290" t="s">
        <v>4167</v>
      </c>
      <c r="O2" s="290" t="s">
        <v>3897</v>
      </c>
      <c r="P2" s="290" t="s">
        <v>3898</v>
      </c>
      <c r="Q2" s="290" t="s">
        <v>3899</v>
      </c>
      <c r="R2" s="290" t="s">
        <v>3900</v>
      </c>
      <c r="S2" s="290" t="s">
        <v>4188</v>
      </c>
      <c r="T2" s="290" t="s">
        <v>4463</v>
      </c>
      <c r="U2" s="290" t="s">
        <v>4464</v>
      </c>
      <c r="V2" s="290" t="s">
        <v>4465</v>
      </c>
      <c r="W2" s="290" t="s">
        <v>4466</v>
      </c>
      <c r="X2" s="290" t="s">
        <v>4467</v>
      </c>
    </row>
    <row r="3" spans="2:24" ht="16" customHeight="1" x14ac:dyDescent="0.2">
      <c r="B3" s="290"/>
      <c r="C3" s="290" t="s">
        <v>3709</v>
      </c>
      <c r="D3" s="302" t="s">
        <v>3726</v>
      </c>
      <c r="E3" s="290" t="s">
        <v>3710</v>
      </c>
      <c r="F3" s="290" t="s">
        <v>3827</v>
      </c>
      <c r="G3" s="290" t="s">
        <v>3835</v>
      </c>
      <c r="H3" s="290" t="s">
        <v>3804</v>
      </c>
      <c r="I3" s="290" t="s">
        <v>3841</v>
      </c>
      <c r="J3" s="302" t="s">
        <v>3841</v>
      </c>
      <c r="K3" s="302" t="s">
        <v>3841</v>
      </c>
      <c r="L3" s="302" t="s">
        <v>3841</v>
      </c>
      <c r="M3" s="290" t="s">
        <v>3841</v>
      </c>
      <c r="N3" s="290" t="s">
        <v>3841</v>
      </c>
      <c r="O3" s="290" t="s">
        <v>3841</v>
      </c>
      <c r="P3" s="290" t="s">
        <v>3841</v>
      </c>
      <c r="Q3" s="290" t="s">
        <v>3841</v>
      </c>
      <c r="R3" s="290" t="s">
        <v>3841</v>
      </c>
      <c r="S3" s="290" t="s">
        <v>3841</v>
      </c>
      <c r="T3" s="290" t="s">
        <v>3841</v>
      </c>
      <c r="U3" s="290" t="s">
        <v>3841</v>
      </c>
      <c r="V3" s="290" t="s">
        <v>3841</v>
      </c>
      <c r="W3" s="290" t="s">
        <v>3841</v>
      </c>
      <c r="X3" s="290" t="s">
        <v>3841</v>
      </c>
    </row>
    <row r="4" spans="2:24" ht="16" customHeight="1" x14ac:dyDescent="0.2">
      <c r="B4" s="290"/>
      <c r="C4" s="290"/>
      <c r="D4" s="302"/>
      <c r="E4" s="290"/>
      <c r="F4" s="290"/>
      <c r="G4" s="290"/>
      <c r="H4" s="290"/>
      <c r="I4" s="290"/>
      <c r="J4" s="302"/>
      <c r="K4" s="302"/>
      <c r="L4" s="302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</row>
    <row r="5" spans="2:24" x14ac:dyDescent="0.2">
      <c r="B5" s="290"/>
      <c r="C5" s="290"/>
      <c r="D5" s="303"/>
      <c r="E5" s="290"/>
      <c r="F5" s="290"/>
      <c r="G5" s="290"/>
      <c r="H5" s="290"/>
      <c r="I5" s="290"/>
      <c r="J5" s="303"/>
      <c r="K5" s="303"/>
      <c r="L5" s="303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</row>
    <row r="6" spans="2:24" ht="32" customHeight="1" x14ac:dyDescent="0.2">
      <c r="B6" s="347" t="s">
        <v>3712</v>
      </c>
      <c r="C6" s="347" t="s">
        <v>3713</v>
      </c>
      <c r="D6" s="344"/>
      <c r="E6" s="289" t="s">
        <v>3714</v>
      </c>
      <c r="F6" s="289" t="s">
        <v>3828</v>
      </c>
      <c r="G6" s="344" t="s">
        <v>3836</v>
      </c>
      <c r="H6" s="289" t="s">
        <v>3837</v>
      </c>
      <c r="I6" s="352">
        <v>10.5</v>
      </c>
      <c r="J6" s="352">
        <f>3.5*I6</f>
        <v>36.75</v>
      </c>
      <c r="K6" s="352">
        <f>+J6</f>
        <v>36.75</v>
      </c>
      <c r="L6" s="352">
        <f>+K6</f>
        <v>36.75</v>
      </c>
      <c r="M6" s="352">
        <f>+L6</f>
        <v>36.75</v>
      </c>
      <c r="N6" s="352">
        <f>+M6</f>
        <v>36.75</v>
      </c>
      <c r="O6" s="352">
        <f>+J6*4</f>
        <v>147</v>
      </c>
      <c r="P6" s="352">
        <f t="shared" ref="P6:S6" si="0">+K6*4</f>
        <v>147</v>
      </c>
      <c r="Q6" s="352">
        <f t="shared" si="0"/>
        <v>147</v>
      </c>
      <c r="R6" s="352">
        <f t="shared" si="0"/>
        <v>147</v>
      </c>
      <c r="S6" s="352">
        <f t="shared" si="0"/>
        <v>147</v>
      </c>
      <c r="T6" s="352">
        <f>+O6*12</f>
        <v>1764</v>
      </c>
      <c r="U6" s="352">
        <f t="shared" ref="U6:X6" si="1">+P6*12</f>
        <v>1764</v>
      </c>
      <c r="V6" s="352">
        <f t="shared" si="1"/>
        <v>1764</v>
      </c>
      <c r="W6" s="352">
        <f t="shared" si="1"/>
        <v>1764</v>
      </c>
      <c r="X6" s="352">
        <f t="shared" si="1"/>
        <v>1764</v>
      </c>
    </row>
    <row r="7" spans="2:24" x14ac:dyDescent="0.2">
      <c r="B7" s="347"/>
      <c r="C7" s="347"/>
      <c r="D7" s="351"/>
      <c r="E7" s="289"/>
      <c r="F7" s="289"/>
      <c r="G7" s="351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</row>
    <row r="8" spans="2:24" ht="32" customHeight="1" x14ac:dyDescent="0.2">
      <c r="B8" s="347"/>
      <c r="C8" s="347"/>
      <c r="D8" s="345"/>
      <c r="E8" s="289"/>
      <c r="F8" s="289"/>
      <c r="G8" s="345"/>
      <c r="H8" s="289"/>
      <c r="I8" s="289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</row>
    <row r="9" spans="2:24" ht="32" customHeight="1" x14ac:dyDescent="0.2">
      <c r="B9" s="347" t="s">
        <v>3712</v>
      </c>
      <c r="C9" s="347" t="s">
        <v>3715</v>
      </c>
      <c r="D9" s="344"/>
      <c r="E9" s="289" t="s">
        <v>3720</v>
      </c>
      <c r="F9" s="289" t="s">
        <v>3829</v>
      </c>
      <c r="G9" s="289" t="s">
        <v>3838</v>
      </c>
      <c r="H9" s="289" t="s">
        <v>3839</v>
      </c>
      <c r="I9" s="352">
        <f>+I6</f>
        <v>10.5</v>
      </c>
      <c r="J9" s="352">
        <f>1.5*I9</f>
        <v>15.75</v>
      </c>
      <c r="K9" s="352">
        <f>+J9</f>
        <v>15.75</v>
      </c>
      <c r="L9" s="352">
        <f>+K9</f>
        <v>15.75</v>
      </c>
      <c r="M9" s="352">
        <f>+L9</f>
        <v>15.75</v>
      </c>
      <c r="N9" s="352">
        <f>+M9</f>
        <v>15.75</v>
      </c>
      <c r="O9" s="352">
        <f>+J9*30</f>
        <v>472.5</v>
      </c>
      <c r="P9" s="352">
        <f t="shared" ref="P9:S9" si="2">+K9*30</f>
        <v>472.5</v>
      </c>
      <c r="Q9" s="352">
        <f t="shared" si="2"/>
        <v>472.5</v>
      </c>
      <c r="R9" s="352">
        <f t="shared" si="2"/>
        <v>472.5</v>
      </c>
      <c r="S9" s="352">
        <f t="shared" si="2"/>
        <v>472.5</v>
      </c>
      <c r="T9" s="352">
        <f t="shared" ref="T9" si="3">+O9*12</f>
        <v>5670</v>
      </c>
      <c r="U9" s="352">
        <f t="shared" ref="U9" si="4">+P9*12</f>
        <v>5670</v>
      </c>
      <c r="V9" s="352">
        <f t="shared" ref="V9" si="5">+Q9*12</f>
        <v>5670</v>
      </c>
      <c r="W9" s="352">
        <f t="shared" ref="W9" si="6">+R9*12</f>
        <v>5670</v>
      </c>
      <c r="X9" s="352">
        <f t="shared" ref="X9" si="7">+S9*12</f>
        <v>5670</v>
      </c>
    </row>
    <row r="10" spans="2:24" x14ac:dyDescent="0.2">
      <c r="B10" s="347"/>
      <c r="C10" s="347"/>
      <c r="D10" s="351"/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</row>
    <row r="11" spans="2:24" ht="32" customHeight="1" x14ac:dyDescent="0.2">
      <c r="B11" s="347"/>
      <c r="C11" s="347"/>
      <c r="D11" s="345"/>
      <c r="E11" s="289"/>
      <c r="F11" s="289"/>
      <c r="G11" s="289"/>
      <c r="H11" s="289"/>
      <c r="I11" s="289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</row>
    <row r="12" spans="2:24" ht="32" customHeight="1" x14ac:dyDescent="0.2">
      <c r="B12" s="347" t="s">
        <v>3799</v>
      </c>
      <c r="C12" s="344" t="s">
        <v>3800</v>
      </c>
      <c r="D12" s="344"/>
      <c r="E12" s="289" t="s">
        <v>3801</v>
      </c>
      <c r="F12" s="289" t="s">
        <v>3830</v>
      </c>
      <c r="G12" s="289" t="s">
        <v>3833</v>
      </c>
      <c r="H12" s="289" t="s">
        <v>3805</v>
      </c>
      <c r="I12" s="352">
        <f>+I9</f>
        <v>10.5</v>
      </c>
      <c r="J12" s="352">
        <f>18*1*I12</f>
        <v>189</v>
      </c>
      <c r="K12" s="352">
        <f>+J12+$I$12</f>
        <v>199.5</v>
      </c>
      <c r="L12" s="352">
        <f>+K12+$I$12</f>
        <v>210</v>
      </c>
      <c r="M12" s="353">
        <f>+L12+$I$12</f>
        <v>220.5</v>
      </c>
      <c r="N12" s="352">
        <f>+M12</f>
        <v>220.5</v>
      </c>
      <c r="O12" s="352">
        <f>+J12*30</f>
        <v>5670</v>
      </c>
      <c r="P12" s="352">
        <f t="shared" ref="P12:S12" si="8">+K12*30</f>
        <v>5985</v>
      </c>
      <c r="Q12" s="352">
        <f t="shared" si="8"/>
        <v>6300</v>
      </c>
      <c r="R12" s="352">
        <f t="shared" si="8"/>
        <v>6615</v>
      </c>
      <c r="S12" s="352">
        <f t="shared" si="8"/>
        <v>6615</v>
      </c>
      <c r="T12" s="352">
        <f t="shared" ref="T12" si="9">+O12*12</f>
        <v>68040</v>
      </c>
      <c r="U12" s="352">
        <f t="shared" ref="U12" si="10">+P12*12</f>
        <v>71820</v>
      </c>
      <c r="V12" s="352">
        <f t="shared" ref="V12" si="11">+Q12*12</f>
        <v>75600</v>
      </c>
      <c r="W12" s="352">
        <f t="shared" ref="W12" si="12">+R12*12</f>
        <v>79380</v>
      </c>
      <c r="X12" s="352">
        <f t="shared" ref="X12" si="13">+S12*12</f>
        <v>79380</v>
      </c>
    </row>
    <row r="13" spans="2:24" x14ac:dyDescent="0.2">
      <c r="B13" s="347"/>
      <c r="C13" s="351"/>
      <c r="D13" s="351"/>
      <c r="E13" s="289"/>
      <c r="F13" s="289"/>
      <c r="G13" s="289"/>
      <c r="H13" s="289"/>
      <c r="I13" s="289"/>
      <c r="J13" s="289"/>
      <c r="K13" s="289"/>
      <c r="L13" s="289"/>
      <c r="M13" s="354"/>
      <c r="N13" s="289"/>
      <c r="O13" s="289"/>
      <c r="P13" s="289"/>
      <c r="Q13" s="289"/>
      <c r="R13" s="289"/>
      <c r="S13" s="289"/>
      <c r="T13" s="289"/>
      <c r="U13" s="289"/>
      <c r="V13" s="289"/>
      <c r="W13" s="289"/>
      <c r="X13" s="289"/>
    </row>
    <row r="14" spans="2:24" ht="32" customHeight="1" x14ac:dyDescent="0.2">
      <c r="B14" s="347"/>
      <c r="C14" s="345"/>
      <c r="D14" s="345"/>
      <c r="E14" s="289"/>
      <c r="F14" s="289"/>
      <c r="G14" s="289"/>
      <c r="H14" s="289"/>
      <c r="I14" s="289"/>
      <c r="J14" s="289"/>
      <c r="K14" s="289"/>
      <c r="L14" s="289"/>
      <c r="M14" s="355"/>
      <c r="N14" s="289"/>
      <c r="O14" s="289"/>
      <c r="P14" s="289"/>
      <c r="Q14" s="289"/>
      <c r="R14" s="289"/>
      <c r="S14" s="289"/>
      <c r="T14" s="289"/>
      <c r="U14" s="289"/>
      <c r="V14" s="289"/>
      <c r="W14" s="289"/>
      <c r="X14" s="289"/>
    </row>
    <row r="15" spans="2:24" ht="32" customHeight="1" x14ac:dyDescent="0.2">
      <c r="B15" s="347" t="s">
        <v>3799</v>
      </c>
      <c r="C15" s="344" t="s">
        <v>3802</v>
      </c>
      <c r="D15" s="344"/>
      <c r="E15" s="289" t="s">
        <v>3803</v>
      </c>
      <c r="F15" s="289" t="s">
        <v>3831</v>
      </c>
      <c r="G15" s="289" t="s">
        <v>3834</v>
      </c>
      <c r="H15" s="289" t="s">
        <v>3806</v>
      </c>
      <c r="I15" s="352">
        <f>+I12</f>
        <v>10.5</v>
      </c>
      <c r="J15" s="352">
        <f>1.33333333333333*I15</f>
        <v>14</v>
      </c>
      <c r="K15" s="352">
        <f>+J15</f>
        <v>14</v>
      </c>
      <c r="L15" s="352">
        <f t="shared" ref="L15:N15" si="14">+K15</f>
        <v>14</v>
      </c>
      <c r="M15" s="352">
        <f t="shared" si="14"/>
        <v>14</v>
      </c>
      <c r="N15" s="352">
        <f t="shared" si="14"/>
        <v>14</v>
      </c>
      <c r="O15" s="352">
        <f>+J15*30</f>
        <v>420</v>
      </c>
      <c r="P15" s="352">
        <f>+O15</f>
        <v>420</v>
      </c>
      <c r="Q15" s="352">
        <f t="shared" ref="Q15:S15" si="15">+P15</f>
        <v>420</v>
      </c>
      <c r="R15" s="352">
        <f t="shared" si="15"/>
        <v>420</v>
      </c>
      <c r="S15" s="352">
        <f t="shared" si="15"/>
        <v>420</v>
      </c>
      <c r="T15" s="352">
        <f t="shared" ref="T15" si="16">+O15*12</f>
        <v>5040</v>
      </c>
      <c r="U15" s="352">
        <f t="shared" ref="U15" si="17">+P15*12</f>
        <v>5040</v>
      </c>
      <c r="V15" s="352">
        <f t="shared" ref="V15" si="18">+Q15*12</f>
        <v>5040</v>
      </c>
      <c r="W15" s="352">
        <f t="shared" ref="W15" si="19">+R15*12</f>
        <v>5040</v>
      </c>
      <c r="X15" s="352">
        <f t="shared" ref="X15" si="20">+S15*12</f>
        <v>5040</v>
      </c>
    </row>
    <row r="16" spans="2:24" x14ac:dyDescent="0.2">
      <c r="B16" s="347"/>
      <c r="C16" s="351"/>
      <c r="D16" s="351"/>
      <c r="E16" s="289"/>
      <c r="F16" s="289"/>
      <c r="G16" s="289"/>
      <c r="H16" s="289"/>
      <c r="I16" s="289"/>
      <c r="J16" s="289"/>
      <c r="K16" s="289"/>
      <c r="L16" s="289"/>
      <c r="M16" s="289"/>
      <c r="N16" s="289"/>
      <c r="O16" s="289"/>
      <c r="P16" s="289"/>
      <c r="Q16" s="289"/>
      <c r="R16" s="289"/>
      <c r="S16" s="289"/>
      <c r="T16" s="289"/>
      <c r="U16" s="289"/>
      <c r="V16" s="289"/>
      <c r="W16" s="289"/>
      <c r="X16" s="289"/>
    </row>
    <row r="17" spans="2:24" ht="32" customHeight="1" x14ac:dyDescent="0.2">
      <c r="B17" s="347"/>
      <c r="C17" s="345"/>
      <c r="D17" s="345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U17" s="289"/>
      <c r="V17" s="289"/>
      <c r="W17" s="289"/>
      <c r="X17" s="289"/>
    </row>
    <row r="18" spans="2:24" x14ac:dyDescent="0.2">
      <c r="B18" s="356" t="s">
        <v>3545</v>
      </c>
      <c r="C18" s="356"/>
      <c r="D18" s="356"/>
      <c r="E18" s="4"/>
      <c r="F18" s="4"/>
      <c r="G18" s="4"/>
      <c r="H18" s="4"/>
      <c r="I18" s="4"/>
      <c r="J18" s="4"/>
      <c r="K18" s="4"/>
      <c r="L18" s="4"/>
      <c r="M18" s="4"/>
      <c r="N18" s="4"/>
      <c r="O18" s="89">
        <f>+O15+O12+O9+O6</f>
        <v>6709.5</v>
      </c>
      <c r="P18" s="89">
        <f t="shared" ref="P18:S18" si="21">+P15+P12+P9+P6</f>
        <v>7024.5</v>
      </c>
      <c r="Q18" s="89">
        <f t="shared" si="21"/>
        <v>7339.5</v>
      </c>
      <c r="R18" s="89">
        <f t="shared" si="21"/>
        <v>7654.5</v>
      </c>
      <c r="S18" s="89">
        <f t="shared" si="21"/>
        <v>7654.5</v>
      </c>
      <c r="T18" s="89">
        <f>SUM(T6:T17)</f>
        <v>80514</v>
      </c>
      <c r="U18" s="89">
        <f t="shared" ref="U18:X18" si="22">SUM(U6:U17)</f>
        <v>84294</v>
      </c>
      <c r="V18" s="89">
        <f t="shared" si="22"/>
        <v>88074</v>
      </c>
      <c r="W18" s="89">
        <f t="shared" si="22"/>
        <v>91854</v>
      </c>
      <c r="X18" s="89">
        <f t="shared" si="22"/>
        <v>91854</v>
      </c>
    </row>
    <row r="19" spans="2:24" x14ac:dyDescent="0.2">
      <c r="O19" s="118">
        <f>+O18*12</f>
        <v>80514</v>
      </c>
      <c r="P19" s="118">
        <f t="shared" ref="P19:S19" si="23">+P18*12</f>
        <v>84294</v>
      </c>
      <c r="Q19" s="118">
        <f t="shared" si="23"/>
        <v>88074</v>
      </c>
      <c r="R19" s="118">
        <f t="shared" si="23"/>
        <v>91854</v>
      </c>
      <c r="S19" s="118">
        <f t="shared" si="23"/>
        <v>91854</v>
      </c>
    </row>
  </sheetData>
  <mergeCells count="116">
    <mergeCell ref="B18:D18"/>
    <mergeCell ref="T15:T17"/>
    <mergeCell ref="U15:U17"/>
    <mergeCell ref="V15:V17"/>
    <mergeCell ref="W15:W17"/>
    <mergeCell ref="X15:X17"/>
    <mergeCell ref="T12:T14"/>
    <mergeCell ref="U12:U14"/>
    <mergeCell ref="V12:V14"/>
    <mergeCell ref="W12:W14"/>
    <mergeCell ref="X12:X14"/>
    <mergeCell ref="H15:H17"/>
    <mergeCell ref="I15:I17"/>
    <mergeCell ref="F12:F14"/>
    <mergeCell ref="F15:F17"/>
    <mergeCell ref="R15:R17"/>
    <mergeCell ref="O15:O17"/>
    <mergeCell ref="P15:P17"/>
    <mergeCell ref="Q15:Q17"/>
    <mergeCell ref="T9:T11"/>
    <mergeCell ref="U9:U11"/>
    <mergeCell ref="V9:V11"/>
    <mergeCell ref="W9:W11"/>
    <mergeCell ref="X9:X11"/>
    <mergeCell ref="T6:T8"/>
    <mergeCell ref="U6:U8"/>
    <mergeCell ref="V6:V8"/>
    <mergeCell ref="W6:W8"/>
    <mergeCell ref="X6:X8"/>
    <mergeCell ref="T2:T5"/>
    <mergeCell ref="U2:U5"/>
    <mergeCell ref="V2:V5"/>
    <mergeCell ref="W2:W5"/>
    <mergeCell ref="X2:X5"/>
    <mergeCell ref="J15:J17"/>
    <mergeCell ref="K15:K17"/>
    <mergeCell ref="L15:L17"/>
    <mergeCell ref="M15:M17"/>
    <mergeCell ref="N15:N17"/>
    <mergeCell ref="J12:J14"/>
    <mergeCell ref="K12:K14"/>
    <mergeCell ref="L12:L14"/>
    <mergeCell ref="M12:M14"/>
    <mergeCell ref="N12:N14"/>
    <mergeCell ref="J9:J11"/>
    <mergeCell ref="K9:K11"/>
    <mergeCell ref="L9:L11"/>
    <mergeCell ref="M9:M11"/>
    <mergeCell ref="N9:N11"/>
    <mergeCell ref="J6:J8"/>
    <mergeCell ref="K6:K8"/>
    <mergeCell ref="L6:L8"/>
    <mergeCell ref="M6:M8"/>
    <mergeCell ref="B2:B5"/>
    <mergeCell ref="C2:C5"/>
    <mergeCell ref="D2:D5"/>
    <mergeCell ref="E2:E5"/>
    <mergeCell ref="F2:F5"/>
    <mergeCell ref="B6:B8"/>
    <mergeCell ref="C6:C8"/>
    <mergeCell ref="H6:H8"/>
    <mergeCell ref="I6:I8"/>
    <mergeCell ref="H2:H5"/>
    <mergeCell ref="I2:I5"/>
    <mergeCell ref="G2:G5"/>
    <mergeCell ref="D6:D8"/>
    <mergeCell ref="E6:E8"/>
    <mergeCell ref="F6:F8"/>
    <mergeCell ref="F9:F11"/>
    <mergeCell ref="N6:N8"/>
    <mergeCell ref="J2:J5"/>
    <mergeCell ref="K2:K5"/>
    <mergeCell ref="L2:L5"/>
    <mergeCell ref="M2:M5"/>
    <mergeCell ref="N2:N5"/>
    <mergeCell ref="B15:B17"/>
    <mergeCell ref="C15:C17"/>
    <mergeCell ref="D15:D17"/>
    <mergeCell ref="E15:E17"/>
    <mergeCell ref="B9:B11"/>
    <mergeCell ref="C9:C11"/>
    <mergeCell ref="D9:D11"/>
    <mergeCell ref="E9:E11"/>
    <mergeCell ref="B12:B14"/>
    <mergeCell ref="C12:C14"/>
    <mergeCell ref="D12:D14"/>
    <mergeCell ref="E12:E14"/>
    <mergeCell ref="H9:H11"/>
    <mergeCell ref="I9:I11"/>
    <mergeCell ref="H12:H14"/>
    <mergeCell ref="I12:I14"/>
    <mergeCell ref="G6:G8"/>
    <mergeCell ref="G9:G11"/>
    <mergeCell ref="G12:G14"/>
    <mergeCell ref="G15:G17"/>
    <mergeCell ref="S2:S5"/>
    <mergeCell ref="O6:O8"/>
    <mergeCell ref="P6:P8"/>
    <mergeCell ref="Q6:Q8"/>
    <mergeCell ref="R6:R8"/>
    <mergeCell ref="S6:S8"/>
    <mergeCell ref="S15:S17"/>
    <mergeCell ref="S9:S11"/>
    <mergeCell ref="O12:O14"/>
    <mergeCell ref="P12:P14"/>
    <mergeCell ref="Q12:Q14"/>
    <mergeCell ref="R12:R14"/>
    <mergeCell ref="S12:S14"/>
    <mergeCell ref="O2:O5"/>
    <mergeCell ref="P2:P5"/>
    <mergeCell ref="Q2:Q5"/>
    <mergeCell ref="R2:R5"/>
    <mergeCell ref="O9:O11"/>
    <mergeCell ref="P9:P11"/>
    <mergeCell ref="Q9:Q11"/>
    <mergeCell ref="R9:R11"/>
  </mergeCells>
  <pageMargins left="0.7" right="0.7" top="0.75" bottom="0.75" header="0.3" footer="0.3"/>
  <ignoredErrors>
    <ignoredError sqref="O15 K12:M14" formula="1"/>
  </ignoredError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51"/>
  <sheetViews>
    <sheetView zoomScale="130" zoomScaleNormal="130" zoomScalePageLayoutView="130" workbookViewId="0">
      <selection activeCell="C38" sqref="C38"/>
    </sheetView>
  </sheetViews>
  <sheetFormatPr baseColWidth="10" defaultRowHeight="16" x14ac:dyDescent="0.2"/>
  <cols>
    <col min="2" max="2" width="4.83203125" customWidth="1"/>
    <col min="3" max="3" width="79.5" customWidth="1"/>
    <col min="4" max="10" width="15" customWidth="1"/>
  </cols>
  <sheetData>
    <row r="2" spans="2:10" ht="22" thickBot="1" x14ac:dyDescent="0.25">
      <c r="B2" s="370" t="s">
        <v>3858</v>
      </c>
      <c r="C2" s="370"/>
      <c r="D2" s="370"/>
      <c r="E2" s="370"/>
      <c r="F2" s="370"/>
      <c r="G2" s="370"/>
      <c r="H2" s="370"/>
      <c r="I2" s="370"/>
      <c r="J2" s="370"/>
    </row>
    <row r="3" spans="2:10" ht="50" customHeight="1" x14ac:dyDescent="0.2">
      <c r="B3" s="357" t="s">
        <v>3847</v>
      </c>
      <c r="C3" s="359" t="s">
        <v>3848</v>
      </c>
      <c r="D3" s="361" t="s">
        <v>3850</v>
      </c>
      <c r="E3" s="364" t="s">
        <v>3851</v>
      </c>
      <c r="F3" s="361" t="s">
        <v>3855</v>
      </c>
      <c r="G3" s="371" t="s">
        <v>3864</v>
      </c>
      <c r="H3" s="361" t="s">
        <v>3865</v>
      </c>
      <c r="I3" s="371" t="s">
        <v>3873</v>
      </c>
      <c r="J3" s="373" t="s">
        <v>3879</v>
      </c>
    </row>
    <row r="4" spans="2:10" ht="16" customHeight="1" x14ac:dyDescent="0.2">
      <c r="B4" s="358"/>
      <c r="C4" s="360"/>
      <c r="D4" s="362"/>
      <c r="E4" s="365"/>
      <c r="F4" s="362"/>
      <c r="G4" s="372"/>
      <c r="H4" s="362"/>
      <c r="I4" s="372"/>
      <c r="J4" s="374"/>
    </row>
    <row r="5" spans="2:10" ht="16" customHeight="1" x14ac:dyDescent="0.2">
      <c r="B5" s="358"/>
      <c r="C5" s="360"/>
      <c r="D5" s="363"/>
      <c r="E5" s="366"/>
      <c r="F5" s="363"/>
      <c r="G5" s="372"/>
      <c r="H5" s="363"/>
      <c r="I5" s="372"/>
      <c r="J5" s="374"/>
    </row>
    <row r="6" spans="2:10" ht="25" customHeight="1" x14ac:dyDescent="0.25">
      <c r="B6" s="93"/>
      <c r="C6" s="94" t="s">
        <v>3849</v>
      </c>
      <c r="D6" s="95"/>
      <c r="E6" s="96"/>
      <c r="F6" s="96"/>
      <c r="G6" s="96"/>
      <c r="H6" s="96"/>
      <c r="I6" s="96"/>
      <c r="J6" s="102"/>
    </row>
    <row r="7" spans="2:10" ht="25" customHeight="1" x14ac:dyDescent="0.25">
      <c r="B7" s="97">
        <v>1</v>
      </c>
      <c r="C7" s="98" t="s">
        <v>3852</v>
      </c>
      <c r="D7" s="99"/>
      <c r="E7" s="100"/>
      <c r="F7" s="100"/>
      <c r="G7" s="100"/>
      <c r="H7" s="100"/>
      <c r="I7" s="100"/>
      <c r="J7" s="103"/>
    </row>
    <row r="8" spans="2:10" ht="25" customHeight="1" x14ac:dyDescent="0.25">
      <c r="B8" s="97">
        <v>2</v>
      </c>
      <c r="C8" s="98" t="s">
        <v>3853</v>
      </c>
      <c r="D8" s="99"/>
      <c r="E8" s="100"/>
      <c r="F8" s="100"/>
      <c r="G8" s="100"/>
      <c r="H8" s="100"/>
      <c r="I8" s="100"/>
      <c r="J8" s="103"/>
    </row>
    <row r="9" spans="2:10" ht="25" customHeight="1" x14ac:dyDescent="0.25">
      <c r="B9" s="97">
        <v>3</v>
      </c>
      <c r="C9" s="98" t="s">
        <v>3854</v>
      </c>
      <c r="D9" s="99"/>
      <c r="E9" s="100"/>
      <c r="F9" s="100"/>
      <c r="G9" s="100"/>
      <c r="H9" s="100"/>
      <c r="I9" s="100"/>
      <c r="J9" s="103"/>
    </row>
    <row r="10" spans="2:10" ht="25" customHeight="1" x14ac:dyDescent="0.25">
      <c r="B10" s="97">
        <v>4</v>
      </c>
      <c r="C10" s="98" t="s">
        <v>3870</v>
      </c>
      <c r="D10" s="99"/>
      <c r="E10" s="100"/>
      <c r="F10" s="100"/>
      <c r="G10" s="100"/>
      <c r="H10" s="100"/>
      <c r="I10" s="100"/>
      <c r="J10" s="103"/>
    </row>
    <row r="11" spans="2:10" ht="25" customHeight="1" x14ac:dyDescent="0.25">
      <c r="B11" s="97">
        <v>5</v>
      </c>
      <c r="C11" s="98" t="s">
        <v>3862</v>
      </c>
      <c r="D11" s="99"/>
      <c r="E11" s="100"/>
      <c r="F11" s="100"/>
      <c r="G11" s="100"/>
      <c r="H11" s="100"/>
      <c r="I11" s="100"/>
      <c r="J11" s="103"/>
    </row>
    <row r="12" spans="2:10" ht="25" customHeight="1" x14ac:dyDescent="0.25">
      <c r="B12" s="97">
        <v>6</v>
      </c>
      <c r="C12" s="98" t="s">
        <v>3856</v>
      </c>
      <c r="D12" s="99"/>
      <c r="E12" s="100"/>
      <c r="F12" s="100"/>
      <c r="G12" s="100"/>
      <c r="H12" s="100"/>
      <c r="I12" s="100"/>
      <c r="J12" s="103"/>
    </row>
    <row r="13" spans="2:10" ht="42" x14ac:dyDescent="0.25">
      <c r="B13" s="97">
        <v>7</v>
      </c>
      <c r="C13" s="98" t="s">
        <v>3857</v>
      </c>
      <c r="D13" s="99"/>
      <c r="E13" s="100"/>
      <c r="F13" s="100"/>
      <c r="G13" s="100"/>
      <c r="H13" s="100"/>
      <c r="I13" s="100"/>
      <c r="J13" s="103"/>
    </row>
    <row r="14" spans="2:10" ht="25" customHeight="1" x14ac:dyDescent="0.25">
      <c r="B14" s="97">
        <v>8</v>
      </c>
      <c r="C14" s="98" t="s">
        <v>3859</v>
      </c>
      <c r="D14" s="99"/>
      <c r="E14" s="100"/>
      <c r="F14" s="100"/>
      <c r="G14" s="100"/>
      <c r="H14" s="100"/>
      <c r="I14" s="100"/>
      <c r="J14" s="103"/>
    </row>
    <row r="15" spans="2:10" ht="25" customHeight="1" x14ac:dyDescent="0.25">
      <c r="B15" s="97">
        <v>9</v>
      </c>
      <c r="C15" s="101" t="s">
        <v>3860</v>
      </c>
      <c r="D15" s="99"/>
      <c r="E15" s="100"/>
      <c r="F15" s="100"/>
      <c r="G15" s="100"/>
      <c r="H15" s="100"/>
      <c r="I15" s="100"/>
      <c r="J15" s="103"/>
    </row>
    <row r="16" spans="2:10" ht="25" customHeight="1" x14ac:dyDescent="0.25">
      <c r="B16" s="97">
        <v>10</v>
      </c>
      <c r="C16" s="98" t="s">
        <v>3866</v>
      </c>
      <c r="D16" s="99"/>
      <c r="E16" s="100"/>
      <c r="F16" s="100"/>
      <c r="G16" s="100"/>
      <c r="H16" s="100"/>
      <c r="I16" s="100"/>
      <c r="J16" s="103"/>
    </row>
    <row r="17" spans="2:10" ht="25" customHeight="1" x14ac:dyDescent="0.25">
      <c r="B17" s="97">
        <v>11</v>
      </c>
      <c r="C17" s="98" t="s">
        <v>3861</v>
      </c>
      <c r="D17" s="99"/>
      <c r="E17" s="100"/>
      <c r="F17" s="100"/>
      <c r="G17" s="100"/>
      <c r="H17" s="100"/>
      <c r="I17" s="100"/>
      <c r="J17" s="103"/>
    </row>
    <row r="18" spans="2:10" ht="25" customHeight="1" x14ac:dyDescent="0.25">
      <c r="B18" s="97">
        <v>12</v>
      </c>
      <c r="C18" s="98" t="s">
        <v>3871</v>
      </c>
      <c r="D18" s="99"/>
      <c r="E18" s="100"/>
      <c r="F18" s="100"/>
      <c r="G18" s="100"/>
      <c r="H18" s="100"/>
      <c r="I18" s="100"/>
      <c r="J18" s="103"/>
    </row>
    <row r="19" spans="2:10" ht="25" customHeight="1" x14ac:dyDescent="0.25">
      <c r="B19" s="97">
        <v>13</v>
      </c>
      <c r="C19" s="98" t="s">
        <v>3868</v>
      </c>
      <c r="D19" s="99"/>
      <c r="E19" s="100"/>
      <c r="F19" s="100"/>
      <c r="G19" s="100"/>
      <c r="H19" s="100"/>
      <c r="I19" s="100"/>
      <c r="J19" s="103"/>
    </row>
    <row r="20" spans="2:10" ht="25" customHeight="1" x14ac:dyDescent="0.25">
      <c r="B20" s="97">
        <v>14</v>
      </c>
      <c r="C20" s="98" t="s">
        <v>3863</v>
      </c>
      <c r="D20" s="99"/>
      <c r="E20" s="100"/>
      <c r="F20" s="100"/>
      <c r="G20" s="100"/>
      <c r="H20" s="100"/>
      <c r="I20" s="100"/>
      <c r="J20" s="103"/>
    </row>
    <row r="21" spans="2:10" ht="25" customHeight="1" x14ac:dyDescent="0.25">
      <c r="B21" s="97">
        <v>15</v>
      </c>
      <c r="C21" s="98" t="s">
        <v>3856</v>
      </c>
      <c r="D21" s="99"/>
      <c r="E21" s="100"/>
      <c r="F21" s="100"/>
      <c r="G21" s="100"/>
      <c r="H21" s="100"/>
      <c r="I21" s="100"/>
      <c r="J21" s="103"/>
    </row>
    <row r="22" spans="2:10" ht="42" customHeight="1" x14ac:dyDescent="0.25">
      <c r="B22" s="97">
        <v>16</v>
      </c>
      <c r="C22" s="98" t="s">
        <v>3867</v>
      </c>
      <c r="D22" s="99"/>
      <c r="E22" s="100"/>
      <c r="F22" s="100"/>
      <c r="G22" s="100"/>
      <c r="H22" s="100"/>
      <c r="I22" s="100"/>
      <c r="J22" s="103"/>
    </row>
    <row r="23" spans="2:10" ht="25" customHeight="1" x14ac:dyDescent="0.25">
      <c r="B23" s="97">
        <v>17</v>
      </c>
      <c r="C23" s="98" t="s">
        <v>3874</v>
      </c>
      <c r="D23" s="99"/>
      <c r="E23" s="100"/>
      <c r="F23" s="100"/>
      <c r="G23" s="100"/>
      <c r="H23" s="100"/>
      <c r="I23" s="100"/>
      <c r="J23" s="103"/>
    </row>
    <row r="24" spans="2:10" ht="25" customHeight="1" x14ac:dyDescent="0.25">
      <c r="B24" s="97">
        <v>18</v>
      </c>
      <c r="C24" s="101" t="s">
        <v>3860</v>
      </c>
      <c r="D24" s="99"/>
      <c r="E24" s="100"/>
      <c r="F24" s="100"/>
      <c r="G24" s="100"/>
      <c r="H24" s="100"/>
      <c r="I24" s="100"/>
      <c r="J24" s="103"/>
    </row>
    <row r="25" spans="2:10" ht="25" customHeight="1" x14ac:dyDescent="0.25">
      <c r="B25" s="97">
        <v>19</v>
      </c>
      <c r="C25" s="98" t="s">
        <v>3869</v>
      </c>
      <c r="D25" s="99"/>
      <c r="E25" s="100"/>
      <c r="F25" s="100"/>
      <c r="G25" s="100"/>
      <c r="H25" s="100"/>
      <c r="I25" s="100"/>
      <c r="J25" s="103"/>
    </row>
    <row r="26" spans="2:10" ht="25" customHeight="1" x14ac:dyDescent="0.25">
      <c r="B26" s="97">
        <v>20</v>
      </c>
      <c r="C26" s="98" t="s">
        <v>3861</v>
      </c>
      <c r="D26" s="99"/>
      <c r="E26" s="100"/>
      <c r="F26" s="100"/>
      <c r="G26" s="100"/>
      <c r="H26" s="100"/>
      <c r="I26" s="100"/>
      <c r="J26" s="103"/>
    </row>
    <row r="27" spans="2:10" ht="25" customHeight="1" x14ac:dyDescent="0.25">
      <c r="B27" s="97">
        <v>21</v>
      </c>
      <c r="C27" s="98" t="s">
        <v>3875</v>
      </c>
      <c r="D27" s="99"/>
      <c r="E27" s="100"/>
      <c r="F27" s="100"/>
      <c r="G27" s="100"/>
      <c r="H27" s="100"/>
      <c r="I27" s="100"/>
      <c r="J27" s="103"/>
    </row>
    <row r="28" spans="2:10" ht="25" customHeight="1" x14ac:dyDescent="0.25">
      <c r="B28" s="97">
        <v>22</v>
      </c>
      <c r="C28" s="98" t="s">
        <v>3872</v>
      </c>
      <c r="D28" s="99"/>
      <c r="E28" s="100"/>
      <c r="F28" s="100"/>
      <c r="G28" s="100"/>
      <c r="H28" s="100"/>
      <c r="I28" s="100"/>
      <c r="J28" s="103"/>
    </row>
    <row r="29" spans="2:10" ht="25" customHeight="1" x14ac:dyDescent="0.25">
      <c r="B29" s="97">
        <v>23</v>
      </c>
      <c r="C29" s="98" t="s">
        <v>3876</v>
      </c>
      <c r="D29" s="99"/>
      <c r="E29" s="100"/>
      <c r="F29" s="100"/>
      <c r="G29" s="100"/>
      <c r="H29" s="100"/>
      <c r="I29" s="100"/>
      <c r="J29" s="103"/>
    </row>
    <row r="30" spans="2:10" ht="25" customHeight="1" x14ac:dyDescent="0.25">
      <c r="B30" s="97">
        <v>24</v>
      </c>
      <c r="C30" s="98" t="s">
        <v>3877</v>
      </c>
      <c r="D30" s="99"/>
      <c r="E30" s="100"/>
      <c r="F30" s="100"/>
      <c r="G30" s="100"/>
      <c r="H30" s="100"/>
      <c r="I30" s="100"/>
      <c r="J30" s="103"/>
    </row>
    <row r="31" spans="2:10" ht="25" customHeight="1" thickBot="1" x14ac:dyDescent="0.3">
      <c r="B31" s="104"/>
      <c r="C31" s="105" t="s">
        <v>3878</v>
      </c>
      <c r="D31" s="106"/>
      <c r="E31" s="107"/>
      <c r="F31" s="107"/>
      <c r="G31" s="107"/>
      <c r="H31" s="107"/>
      <c r="I31" s="107"/>
      <c r="J31" s="108"/>
    </row>
    <row r="33" spans="2:6" ht="17" thickBot="1" x14ac:dyDescent="0.25"/>
    <row r="34" spans="2:6" ht="30" customHeight="1" x14ac:dyDescent="0.2">
      <c r="B34" s="357" t="s">
        <v>3847</v>
      </c>
      <c r="C34" s="359" t="s">
        <v>3848</v>
      </c>
      <c r="D34" s="361" t="s">
        <v>3880</v>
      </c>
      <c r="E34" s="364" t="s">
        <v>3881</v>
      </c>
      <c r="F34" s="367" t="s">
        <v>3882</v>
      </c>
    </row>
    <row r="35" spans="2:6" x14ac:dyDescent="0.2">
      <c r="B35" s="358"/>
      <c r="C35" s="360"/>
      <c r="D35" s="362"/>
      <c r="E35" s="365"/>
      <c r="F35" s="368"/>
    </row>
    <row r="36" spans="2:6" x14ac:dyDescent="0.2">
      <c r="B36" s="358"/>
      <c r="C36" s="360"/>
      <c r="D36" s="363"/>
      <c r="E36" s="366"/>
      <c r="F36" s="369"/>
    </row>
    <row r="37" spans="2:6" ht="25" customHeight="1" x14ac:dyDescent="0.25">
      <c r="B37" s="93"/>
      <c r="C37" s="94" t="s">
        <v>3849</v>
      </c>
      <c r="D37" s="95"/>
      <c r="E37" s="96"/>
      <c r="F37" s="102"/>
    </row>
    <row r="38" spans="2:6" ht="42" customHeight="1" x14ac:dyDescent="0.25">
      <c r="B38" s="97">
        <v>1</v>
      </c>
      <c r="C38" s="98" t="s">
        <v>3894</v>
      </c>
      <c r="D38" s="100"/>
      <c r="E38" s="100"/>
      <c r="F38" s="103"/>
    </row>
    <row r="39" spans="2:6" ht="25" customHeight="1" x14ac:dyDescent="0.25">
      <c r="B39" s="97">
        <v>2</v>
      </c>
      <c r="C39" s="98" t="s">
        <v>3883</v>
      </c>
      <c r="D39" s="99"/>
      <c r="E39" s="100"/>
      <c r="F39" s="103"/>
    </row>
    <row r="40" spans="2:6" ht="25" customHeight="1" x14ac:dyDescent="0.25">
      <c r="B40" s="97">
        <v>3</v>
      </c>
      <c r="C40" s="98" t="s">
        <v>3884</v>
      </c>
      <c r="D40" s="99"/>
      <c r="E40" s="100"/>
      <c r="F40" s="103"/>
    </row>
    <row r="41" spans="2:6" ht="25" customHeight="1" x14ac:dyDescent="0.25">
      <c r="B41" s="97">
        <v>4</v>
      </c>
      <c r="C41" s="98" t="s">
        <v>3892</v>
      </c>
      <c r="D41" s="99"/>
      <c r="E41" s="100"/>
      <c r="F41" s="103"/>
    </row>
    <row r="42" spans="2:6" ht="25" customHeight="1" x14ac:dyDescent="0.25">
      <c r="B42" s="97">
        <v>5</v>
      </c>
      <c r="C42" s="98" t="s">
        <v>3885</v>
      </c>
      <c r="D42" s="99"/>
      <c r="E42" s="100"/>
      <c r="F42" s="103"/>
    </row>
    <row r="43" spans="2:6" ht="25" customHeight="1" x14ac:dyDescent="0.25">
      <c r="B43" s="97">
        <v>6</v>
      </c>
      <c r="C43" s="98" t="s">
        <v>3886</v>
      </c>
      <c r="D43" s="99"/>
      <c r="E43" s="100"/>
      <c r="F43" s="103"/>
    </row>
    <row r="44" spans="2:6" ht="25" customHeight="1" x14ac:dyDescent="0.25">
      <c r="B44" s="97">
        <v>7</v>
      </c>
      <c r="C44" s="98" t="s">
        <v>3887</v>
      </c>
      <c r="D44" s="99"/>
      <c r="E44" s="100"/>
      <c r="F44" s="103"/>
    </row>
    <row r="45" spans="2:6" ht="42" customHeight="1" x14ac:dyDescent="0.25">
      <c r="B45" s="97">
        <v>8</v>
      </c>
      <c r="C45" s="98" t="s">
        <v>3888</v>
      </c>
      <c r="D45" s="99"/>
      <c r="E45" s="100"/>
      <c r="F45" s="103"/>
    </row>
    <row r="46" spans="2:6" ht="25" customHeight="1" x14ac:dyDescent="0.25">
      <c r="B46" s="97">
        <v>9</v>
      </c>
      <c r="C46" s="98" t="s">
        <v>3889</v>
      </c>
      <c r="D46" s="99"/>
      <c r="E46" s="100"/>
      <c r="F46" s="103"/>
    </row>
    <row r="47" spans="2:6" ht="25" customHeight="1" x14ac:dyDescent="0.25">
      <c r="B47" s="97">
        <v>10</v>
      </c>
      <c r="C47" s="98" t="s">
        <v>3890</v>
      </c>
      <c r="D47" s="99"/>
      <c r="E47" s="100"/>
      <c r="F47" s="103"/>
    </row>
    <row r="48" spans="2:6" ht="25" customHeight="1" x14ac:dyDescent="0.25">
      <c r="B48" s="97">
        <v>11</v>
      </c>
      <c r="C48" s="98" t="s">
        <v>3891</v>
      </c>
      <c r="D48" s="99"/>
      <c r="E48" s="100"/>
      <c r="F48" s="103"/>
    </row>
    <row r="49" spans="2:6" ht="25" customHeight="1" x14ac:dyDescent="0.25">
      <c r="B49" s="97">
        <v>12</v>
      </c>
      <c r="C49" s="98" t="s">
        <v>3892</v>
      </c>
      <c r="D49" s="99"/>
      <c r="E49" s="100"/>
      <c r="F49" s="103"/>
    </row>
    <row r="50" spans="2:6" ht="25" customHeight="1" x14ac:dyDescent="0.25">
      <c r="B50" s="97">
        <v>13</v>
      </c>
      <c r="C50" s="98" t="s">
        <v>3893</v>
      </c>
      <c r="D50" s="99"/>
      <c r="E50" s="100"/>
      <c r="F50" s="103"/>
    </row>
    <row r="51" spans="2:6" ht="25" customHeight="1" thickBot="1" x14ac:dyDescent="0.3">
      <c r="B51" s="104"/>
      <c r="C51" s="105" t="s">
        <v>3878</v>
      </c>
      <c r="D51" s="106"/>
      <c r="E51" s="107"/>
      <c r="F51" s="108"/>
    </row>
  </sheetData>
  <mergeCells count="15">
    <mergeCell ref="B2:J2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B34:B36"/>
    <mergeCell ref="C34:C36"/>
    <mergeCell ref="D34:D36"/>
    <mergeCell ref="E34:E36"/>
    <mergeCell ref="F34:F36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3"/>
  <sheetViews>
    <sheetView topLeftCell="A5" workbookViewId="0">
      <selection activeCell="C23" sqref="C23"/>
    </sheetView>
  </sheetViews>
  <sheetFormatPr baseColWidth="10" defaultRowHeight="16" x14ac:dyDescent="0.2"/>
  <cols>
    <col min="2" max="2" width="11.1640625" customWidth="1"/>
    <col min="3" max="3" width="68.1640625" bestFit="1" customWidth="1"/>
    <col min="4" max="4" width="13" bestFit="1" customWidth="1"/>
    <col min="5" max="5" width="13.83203125" bestFit="1" customWidth="1"/>
    <col min="6" max="6" width="13.5" bestFit="1" customWidth="1"/>
  </cols>
  <sheetData>
    <row r="2" spans="2:6" x14ac:dyDescent="0.2">
      <c r="B2" s="55" t="s">
        <v>3901</v>
      </c>
      <c r="C2" s="55" t="s">
        <v>3732</v>
      </c>
      <c r="D2" s="55" t="s">
        <v>30</v>
      </c>
      <c r="E2" s="55" t="s">
        <v>33</v>
      </c>
      <c r="F2" s="55" t="s">
        <v>34</v>
      </c>
    </row>
    <row r="3" spans="2:6" ht="16" customHeight="1" x14ac:dyDescent="0.2">
      <c r="B3" s="301" t="s">
        <v>3921</v>
      </c>
      <c r="C3" s="4" t="s">
        <v>3919</v>
      </c>
      <c r="D3" s="14" t="s">
        <v>11</v>
      </c>
      <c r="E3" s="14" t="s">
        <v>11</v>
      </c>
      <c r="F3" s="14" t="s">
        <v>3920</v>
      </c>
    </row>
    <row r="4" spans="2:6" x14ac:dyDescent="0.2">
      <c r="B4" s="302"/>
      <c r="C4" s="4" t="s">
        <v>3922</v>
      </c>
      <c r="D4" s="14" t="s">
        <v>7</v>
      </c>
      <c r="E4" s="14" t="s">
        <v>7</v>
      </c>
      <c r="F4" s="14" t="s">
        <v>7</v>
      </c>
    </row>
    <row r="5" spans="2:6" x14ac:dyDescent="0.2">
      <c r="B5" s="302"/>
      <c r="C5" s="4" t="s">
        <v>3923</v>
      </c>
      <c r="D5" s="14" t="s">
        <v>17</v>
      </c>
      <c r="E5" s="14" t="s">
        <v>3924</v>
      </c>
      <c r="F5" s="14" t="s">
        <v>3924</v>
      </c>
    </row>
    <row r="6" spans="2:6" x14ac:dyDescent="0.2">
      <c r="B6" s="302"/>
      <c r="C6" s="4" t="s">
        <v>3925</v>
      </c>
      <c r="D6" s="4" t="s">
        <v>18</v>
      </c>
      <c r="E6" s="4" t="s">
        <v>3909</v>
      </c>
      <c r="F6" s="4" t="s">
        <v>3909</v>
      </c>
    </row>
    <row r="7" spans="2:6" x14ac:dyDescent="0.2">
      <c r="B7" s="302"/>
      <c r="C7" s="4" t="s">
        <v>3926</v>
      </c>
      <c r="D7" s="14" t="s">
        <v>31</v>
      </c>
      <c r="E7" s="14" t="s">
        <v>32</v>
      </c>
      <c r="F7" s="14" t="s">
        <v>32</v>
      </c>
    </row>
    <row r="8" spans="2:6" x14ac:dyDescent="0.2">
      <c r="B8" s="303"/>
      <c r="C8" s="4" t="s">
        <v>4391</v>
      </c>
      <c r="D8" s="14" t="s">
        <v>16</v>
      </c>
      <c r="E8" s="14" t="s">
        <v>4392</v>
      </c>
      <c r="F8" s="14" t="s">
        <v>4393</v>
      </c>
    </row>
    <row r="9" spans="2:6" ht="16" customHeight="1" x14ac:dyDescent="0.2">
      <c r="B9" s="301" t="s">
        <v>3902</v>
      </c>
      <c r="C9" s="4" t="s">
        <v>3904</v>
      </c>
      <c r="D9" s="4" t="s">
        <v>11</v>
      </c>
      <c r="E9" s="4" t="s">
        <v>11</v>
      </c>
      <c r="F9" s="4" t="s">
        <v>3903</v>
      </c>
    </row>
    <row r="10" spans="2:6" x14ac:dyDescent="0.2">
      <c r="B10" s="302"/>
      <c r="C10" s="4" t="s">
        <v>3905</v>
      </c>
      <c r="D10" s="4" t="s">
        <v>17</v>
      </c>
      <c r="E10" s="4" t="s">
        <v>3906</v>
      </c>
      <c r="F10" s="4" t="s">
        <v>3907</v>
      </c>
    </row>
    <row r="11" spans="2:6" x14ac:dyDescent="0.2">
      <c r="B11" s="302"/>
      <c r="C11" s="4" t="s">
        <v>3908</v>
      </c>
      <c r="D11" s="4" t="s">
        <v>18</v>
      </c>
      <c r="E11" s="4" t="s">
        <v>3909</v>
      </c>
      <c r="F11" s="4" t="s">
        <v>3909</v>
      </c>
    </row>
    <row r="12" spans="2:6" x14ac:dyDescent="0.2">
      <c r="B12" s="302"/>
      <c r="C12" s="4" t="s">
        <v>3910</v>
      </c>
      <c r="D12" s="4" t="s">
        <v>19</v>
      </c>
      <c r="E12" s="4" t="s">
        <v>3911</v>
      </c>
      <c r="F12" s="4" t="s">
        <v>3912</v>
      </c>
    </row>
    <row r="13" spans="2:6" x14ac:dyDescent="0.2">
      <c r="B13" s="302"/>
      <c r="C13" s="4" t="s">
        <v>3913</v>
      </c>
      <c r="D13" s="4" t="s">
        <v>31</v>
      </c>
      <c r="E13" s="4" t="s">
        <v>32</v>
      </c>
      <c r="F13" s="4" t="s">
        <v>3914</v>
      </c>
    </row>
    <row r="14" spans="2:6" x14ac:dyDescent="0.2">
      <c r="B14" s="302"/>
      <c r="C14" s="4" t="s">
        <v>3915</v>
      </c>
      <c r="D14" s="4" t="s">
        <v>24</v>
      </c>
      <c r="E14" s="4" t="s">
        <v>24</v>
      </c>
      <c r="F14" s="4" t="s">
        <v>24</v>
      </c>
    </row>
    <row r="15" spans="2:6" x14ac:dyDescent="0.2">
      <c r="B15" s="303"/>
      <c r="C15" s="4" t="s">
        <v>3916</v>
      </c>
      <c r="D15" s="4" t="s">
        <v>29</v>
      </c>
      <c r="E15" s="4" t="s">
        <v>3917</v>
      </c>
      <c r="F15" s="4" t="s">
        <v>3918</v>
      </c>
    </row>
    <row r="16" spans="2:6" x14ac:dyDescent="0.2">
      <c r="B16" s="290" t="s">
        <v>3927</v>
      </c>
      <c r="C16" s="4" t="s">
        <v>3928</v>
      </c>
      <c r="D16" s="4" t="s">
        <v>11</v>
      </c>
      <c r="E16" s="4" t="s">
        <v>11</v>
      </c>
      <c r="F16" s="4" t="s">
        <v>3920</v>
      </c>
    </row>
    <row r="17" spans="2:6" x14ac:dyDescent="0.2">
      <c r="B17" s="290"/>
      <c r="C17" s="4" t="s">
        <v>3929</v>
      </c>
      <c r="D17" s="4" t="s">
        <v>16</v>
      </c>
      <c r="E17" s="4" t="s">
        <v>16</v>
      </c>
      <c r="F17" s="4" t="s">
        <v>16</v>
      </c>
    </row>
    <row r="18" spans="2:6" x14ac:dyDescent="0.2">
      <c r="B18" s="290"/>
      <c r="C18" s="4" t="s">
        <v>3930</v>
      </c>
      <c r="D18" s="4" t="s">
        <v>18</v>
      </c>
      <c r="E18" s="4" t="s">
        <v>3909</v>
      </c>
      <c r="F18" s="4" t="s">
        <v>3909</v>
      </c>
    </row>
    <row r="19" spans="2:6" x14ac:dyDescent="0.2">
      <c r="B19" s="290"/>
      <c r="C19" s="4" t="s">
        <v>3931</v>
      </c>
      <c r="D19" s="4" t="s">
        <v>19</v>
      </c>
      <c r="E19" s="4" t="s">
        <v>3911</v>
      </c>
      <c r="F19" s="4" t="s">
        <v>3911</v>
      </c>
    </row>
    <row r="20" spans="2:6" x14ac:dyDescent="0.2">
      <c r="B20" s="290"/>
      <c r="C20" s="4" t="s">
        <v>3932</v>
      </c>
      <c r="D20" s="4" t="s">
        <v>31</v>
      </c>
      <c r="E20" s="4" t="s">
        <v>32</v>
      </c>
      <c r="F20" s="4" t="s">
        <v>32</v>
      </c>
    </row>
    <row r="21" spans="2:6" x14ac:dyDescent="0.2">
      <c r="B21" s="290"/>
      <c r="C21" s="4" t="s">
        <v>3933</v>
      </c>
      <c r="D21" s="4" t="s">
        <v>24</v>
      </c>
      <c r="E21" s="4" t="s">
        <v>24</v>
      </c>
      <c r="F21" s="4" t="s">
        <v>24</v>
      </c>
    </row>
    <row r="22" spans="2:6" x14ac:dyDescent="0.2">
      <c r="B22" s="290"/>
      <c r="C22" s="196" t="s">
        <v>4394</v>
      </c>
      <c r="D22" s="4" t="s">
        <v>14</v>
      </c>
      <c r="E22" s="4" t="s">
        <v>14</v>
      </c>
      <c r="F22" s="4" t="s">
        <v>4395</v>
      </c>
    </row>
    <row r="23" spans="2:6" x14ac:dyDescent="0.2">
      <c r="B23" s="290"/>
      <c r="C23" s="4" t="s">
        <v>3934</v>
      </c>
      <c r="D23" s="4" t="s">
        <v>25</v>
      </c>
      <c r="E23" s="4" t="s">
        <v>3935</v>
      </c>
      <c r="F23" s="4" t="s">
        <v>3936</v>
      </c>
    </row>
  </sheetData>
  <mergeCells count="3">
    <mergeCell ref="B9:B15"/>
    <mergeCell ref="B16:B23"/>
    <mergeCell ref="B3:B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0"/>
  <sheetViews>
    <sheetView topLeftCell="C1" workbookViewId="0">
      <selection activeCell="F3" sqref="F3:N8"/>
    </sheetView>
  </sheetViews>
  <sheetFormatPr baseColWidth="10" defaultRowHeight="16" x14ac:dyDescent="0.2"/>
  <cols>
    <col min="6" max="6" width="19.6640625" bestFit="1" customWidth="1"/>
    <col min="7" max="7" width="20.83203125" bestFit="1" customWidth="1"/>
    <col min="8" max="8" width="8.83203125" bestFit="1" customWidth="1"/>
    <col min="9" max="9" width="6" customWidth="1"/>
  </cols>
  <sheetData>
    <row r="2" spans="2:14" x14ac:dyDescent="0.2">
      <c r="B2" s="293" t="s">
        <v>3807</v>
      </c>
      <c r="C2" s="293" t="s">
        <v>3808</v>
      </c>
      <c r="D2" s="290" t="s">
        <v>3809</v>
      </c>
    </row>
    <row r="3" spans="2:14" x14ac:dyDescent="0.2">
      <c r="B3" s="293"/>
      <c r="C3" s="293"/>
      <c r="D3" s="290"/>
      <c r="F3" s="55" t="s">
        <v>3817</v>
      </c>
      <c r="G3" s="55" t="s">
        <v>3821</v>
      </c>
      <c r="H3" s="295" t="s">
        <v>3822</v>
      </c>
      <c r="I3" s="295"/>
      <c r="J3" s="55">
        <v>2018</v>
      </c>
      <c r="K3" s="55">
        <f>+J3+1</f>
        <v>2019</v>
      </c>
      <c r="L3" s="55">
        <f t="shared" ref="L3:N3" si="0">+K3+1</f>
        <v>2020</v>
      </c>
      <c r="M3" s="55">
        <f t="shared" si="0"/>
        <v>2021</v>
      </c>
      <c r="N3" s="55">
        <f t="shared" si="0"/>
        <v>2022</v>
      </c>
    </row>
    <row r="4" spans="2:14" x14ac:dyDescent="0.2">
      <c r="B4" s="375" t="s">
        <v>3815</v>
      </c>
      <c r="C4" s="85" t="s">
        <v>3810</v>
      </c>
      <c r="D4" s="85">
        <v>0.90200000000000002</v>
      </c>
      <c r="F4" s="4" t="s">
        <v>3818</v>
      </c>
      <c r="G4" s="4" t="s">
        <v>3832</v>
      </c>
      <c r="H4" s="88">
        <v>2.4390000000000001</v>
      </c>
      <c r="I4" s="68" t="s">
        <v>3823</v>
      </c>
      <c r="J4" s="89">
        <v>1440</v>
      </c>
      <c r="K4" s="89">
        <v>1440</v>
      </c>
      <c r="L4" s="89">
        <v>1440</v>
      </c>
      <c r="M4" s="89">
        <v>1440</v>
      </c>
      <c r="N4" s="89">
        <v>1440</v>
      </c>
    </row>
    <row r="5" spans="2:14" x14ac:dyDescent="0.2">
      <c r="B5" s="375"/>
      <c r="C5" s="289" t="s">
        <v>3811</v>
      </c>
      <c r="D5" s="85">
        <v>1.379</v>
      </c>
      <c r="F5" s="4" t="s">
        <v>3819</v>
      </c>
      <c r="G5" s="4" t="s">
        <v>3826</v>
      </c>
      <c r="H5" s="88">
        <v>0.53</v>
      </c>
      <c r="I5" s="68" t="s">
        <v>3824</v>
      </c>
      <c r="J5" s="89">
        <v>9000</v>
      </c>
      <c r="K5" s="89">
        <v>9000</v>
      </c>
      <c r="L5" s="89">
        <v>9000</v>
      </c>
      <c r="M5" s="89">
        <v>9000</v>
      </c>
      <c r="N5" s="89">
        <v>9000</v>
      </c>
    </row>
    <row r="6" spans="2:14" x14ac:dyDescent="0.2">
      <c r="B6" s="375"/>
      <c r="C6" s="289"/>
      <c r="D6" s="87">
        <v>1.77</v>
      </c>
      <c r="F6" s="4" t="s">
        <v>3820</v>
      </c>
      <c r="G6" s="4" t="s">
        <v>4461</v>
      </c>
      <c r="H6" s="89">
        <v>10</v>
      </c>
      <c r="I6" s="68" t="s">
        <v>3825</v>
      </c>
      <c r="J6" s="89">
        <v>120</v>
      </c>
      <c r="K6" s="89">
        <v>120</v>
      </c>
      <c r="L6" s="89">
        <v>120</v>
      </c>
      <c r="M6" s="89">
        <v>120</v>
      </c>
      <c r="N6" s="89">
        <v>120</v>
      </c>
    </row>
    <row r="7" spans="2:14" x14ac:dyDescent="0.2">
      <c r="B7" s="375"/>
      <c r="C7" s="289"/>
      <c r="D7" s="85">
        <v>2.4390000000000001</v>
      </c>
      <c r="F7" s="4" t="s">
        <v>3895</v>
      </c>
      <c r="G7" s="4" t="s">
        <v>3896</v>
      </c>
      <c r="H7" s="89">
        <v>200</v>
      </c>
      <c r="I7" s="68" t="s">
        <v>3825</v>
      </c>
      <c r="J7" s="89">
        <v>7200</v>
      </c>
      <c r="K7" s="89">
        <v>7200</v>
      </c>
      <c r="L7" s="89">
        <v>7200</v>
      </c>
      <c r="M7" s="89">
        <v>7200</v>
      </c>
      <c r="N7" s="89">
        <v>7200</v>
      </c>
    </row>
    <row r="8" spans="2:14" x14ac:dyDescent="0.2">
      <c r="B8" s="375" t="s">
        <v>3816</v>
      </c>
      <c r="C8" s="68" t="s">
        <v>3812</v>
      </c>
      <c r="D8" s="86">
        <v>2.4390000000000001</v>
      </c>
      <c r="F8" s="14" t="s">
        <v>4199</v>
      </c>
      <c r="G8" s="14" t="s">
        <v>3896</v>
      </c>
      <c r="H8" s="89">
        <v>29</v>
      </c>
      <c r="I8" s="151" t="s">
        <v>3825</v>
      </c>
      <c r="J8" s="89">
        <v>8700</v>
      </c>
      <c r="K8" s="89">
        <v>9048</v>
      </c>
      <c r="L8" s="89">
        <v>9396</v>
      </c>
      <c r="M8" s="89">
        <v>9744</v>
      </c>
      <c r="N8" s="89">
        <v>9744</v>
      </c>
    </row>
    <row r="9" spans="2:14" x14ac:dyDescent="0.2">
      <c r="B9" s="375"/>
      <c r="C9" s="68" t="s">
        <v>3813</v>
      </c>
      <c r="D9" s="85">
        <v>2.6619999999999999</v>
      </c>
    </row>
    <row r="10" spans="2:14" x14ac:dyDescent="0.2">
      <c r="B10" s="375"/>
      <c r="C10" s="68" t="s">
        <v>3814</v>
      </c>
      <c r="D10" s="85">
        <v>2.4390000000000001</v>
      </c>
    </row>
  </sheetData>
  <mergeCells count="7">
    <mergeCell ref="B8:B10"/>
    <mergeCell ref="H3:I3"/>
    <mergeCell ref="B2:B3"/>
    <mergeCell ref="C2:C3"/>
    <mergeCell ref="D2:D3"/>
    <mergeCell ref="C5:C7"/>
    <mergeCell ref="B4:B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48"/>
  <sheetViews>
    <sheetView showGridLines="0" topLeftCell="A14" workbookViewId="0">
      <selection activeCell="G44" sqref="G44:L47"/>
    </sheetView>
  </sheetViews>
  <sheetFormatPr baseColWidth="10" defaultRowHeight="16" x14ac:dyDescent="0.2"/>
  <cols>
    <col min="2" max="2" width="17.5" customWidth="1"/>
    <col min="3" max="5" width="11.6640625" customWidth="1"/>
    <col min="6" max="6" width="12.5" customWidth="1"/>
    <col min="7" max="7" width="11.6640625" customWidth="1"/>
    <col min="8" max="12" width="12.5" customWidth="1"/>
    <col min="13" max="19" width="11.6640625" customWidth="1"/>
    <col min="20" max="21" width="12.33203125" bestFit="1" customWidth="1"/>
    <col min="22" max="22" width="13" bestFit="1" customWidth="1"/>
  </cols>
  <sheetData>
    <row r="2" spans="2:22" ht="17" thickBot="1" x14ac:dyDescent="0.25"/>
    <row r="3" spans="2:22" ht="16" customHeight="1" x14ac:dyDescent="0.2">
      <c r="B3" s="382" t="s">
        <v>3947</v>
      </c>
      <c r="C3" s="381" t="s">
        <v>3948</v>
      </c>
      <c r="D3" s="384" t="s">
        <v>4481</v>
      </c>
      <c r="E3" s="384" t="s">
        <v>3949</v>
      </c>
      <c r="F3" s="385" t="s">
        <v>4087</v>
      </c>
      <c r="G3" s="377" t="s">
        <v>3950</v>
      </c>
      <c r="H3" s="379" t="s">
        <v>4075</v>
      </c>
      <c r="I3" s="376" t="s">
        <v>4076</v>
      </c>
      <c r="J3" s="376" t="s">
        <v>4077</v>
      </c>
      <c r="K3" s="376" t="s">
        <v>4078</v>
      </c>
      <c r="L3" s="376" t="s">
        <v>4079</v>
      </c>
      <c r="M3" s="376" t="s">
        <v>4080</v>
      </c>
      <c r="N3" s="376" t="s">
        <v>4081</v>
      </c>
      <c r="O3" s="376" t="s">
        <v>4082</v>
      </c>
      <c r="P3" s="376" t="s">
        <v>4083</v>
      </c>
      <c r="Q3" s="376" t="s">
        <v>4084</v>
      </c>
      <c r="R3" s="376" t="s">
        <v>4085</v>
      </c>
      <c r="S3" s="376" t="s">
        <v>4086</v>
      </c>
    </row>
    <row r="4" spans="2:22" x14ac:dyDescent="0.2">
      <c r="B4" s="383"/>
      <c r="C4" s="296"/>
      <c r="D4" s="290"/>
      <c r="E4" s="290"/>
      <c r="F4" s="386"/>
      <c r="G4" s="378"/>
      <c r="H4" s="38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</row>
    <row r="5" spans="2:22" x14ac:dyDescent="0.2">
      <c r="B5" s="272" t="s">
        <v>3850</v>
      </c>
      <c r="C5" s="4" t="s">
        <v>3954</v>
      </c>
      <c r="D5" s="89">
        <v>4000</v>
      </c>
      <c r="E5" s="89">
        <f>+D5*1.09</f>
        <v>4360</v>
      </c>
      <c r="F5" s="147">
        <f t="shared" ref="F5:F10" si="0">+D5*7/12</f>
        <v>2333.3333333333335</v>
      </c>
      <c r="G5" s="278"/>
      <c r="H5" s="157">
        <f t="shared" ref="H5:H10" si="1">+D5+G5</f>
        <v>4000</v>
      </c>
      <c r="I5" s="89">
        <f>+H5</f>
        <v>4000</v>
      </c>
      <c r="J5" s="89">
        <f>+I5</f>
        <v>4000</v>
      </c>
      <c r="K5" s="89">
        <f>+J5</f>
        <v>4000</v>
      </c>
      <c r="L5" s="89">
        <f>+F5+D5</f>
        <v>6333.3333333333339</v>
      </c>
      <c r="M5" s="89">
        <f>+K5</f>
        <v>4000</v>
      </c>
      <c r="N5" s="89">
        <f>+E5+D5</f>
        <v>8360</v>
      </c>
      <c r="O5" s="89">
        <f>+M5</f>
        <v>4000</v>
      </c>
      <c r="P5" s="89">
        <f>+O5</f>
        <v>4000</v>
      </c>
      <c r="Q5" s="89">
        <f>+P5</f>
        <v>4000</v>
      </c>
      <c r="R5" s="89">
        <f>+L5</f>
        <v>6333.3333333333339</v>
      </c>
      <c r="S5" s="89">
        <f>+N5</f>
        <v>8360</v>
      </c>
    </row>
    <row r="6" spans="2:22" x14ac:dyDescent="0.2">
      <c r="B6" s="272" t="s">
        <v>3881</v>
      </c>
      <c r="C6" s="4" t="s">
        <v>3955</v>
      </c>
      <c r="D6" s="89">
        <v>2000</v>
      </c>
      <c r="E6" s="89">
        <f t="shared" ref="E6:E10" si="2">+D6*1.09</f>
        <v>2180</v>
      </c>
      <c r="F6" s="147">
        <f t="shared" si="0"/>
        <v>1166.6666666666667</v>
      </c>
      <c r="G6" s="278"/>
      <c r="H6" s="157">
        <f t="shared" si="1"/>
        <v>2000</v>
      </c>
      <c r="I6" s="89">
        <f t="shared" ref="I6:K10" si="3">+H6</f>
        <v>2000</v>
      </c>
      <c r="J6" s="89">
        <f t="shared" si="3"/>
        <v>2000</v>
      </c>
      <c r="K6" s="89">
        <f t="shared" si="3"/>
        <v>2000</v>
      </c>
      <c r="L6" s="89">
        <f t="shared" ref="L6:L10" si="4">+F6+D6</f>
        <v>3166.666666666667</v>
      </c>
      <c r="M6" s="89">
        <f t="shared" ref="M6:M10" si="5">+K6</f>
        <v>2000</v>
      </c>
      <c r="N6" s="89">
        <f t="shared" ref="N6:N10" si="6">+E6+D6</f>
        <v>4180</v>
      </c>
      <c r="O6" s="89">
        <f t="shared" ref="O6:O10" si="7">+M6</f>
        <v>2000</v>
      </c>
      <c r="P6" s="89">
        <f t="shared" ref="P6:Q10" si="8">+O6</f>
        <v>2000</v>
      </c>
      <c r="Q6" s="89">
        <f t="shared" si="8"/>
        <v>2000</v>
      </c>
      <c r="R6" s="89">
        <f t="shared" ref="R6:R10" si="9">+L6</f>
        <v>3166.666666666667</v>
      </c>
      <c r="S6" s="89">
        <f t="shared" ref="S6:S10" si="10">+N6</f>
        <v>4180</v>
      </c>
    </row>
    <row r="7" spans="2:22" x14ac:dyDescent="0.2">
      <c r="B7" s="272" t="s">
        <v>3951</v>
      </c>
      <c r="C7" s="4" t="s">
        <v>3955</v>
      </c>
      <c r="D7" s="89">
        <v>2000</v>
      </c>
      <c r="E7" s="89">
        <f t="shared" si="2"/>
        <v>2180</v>
      </c>
      <c r="F7" s="147">
        <f t="shared" si="0"/>
        <v>1166.6666666666667</v>
      </c>
      <c r="G7" s="278"/>
      <c r="H7" s="157">
        <f t="shared" si="1"/>
        <v>2000</v>
      </c>
      <c r="I7" s="89">
        <f t="shared" si="3"/>
        <v>2000</v>
      </c>
      <c r="J7" s="89">
        <f t="shared" si="3"/>
        <v>2000</v>
      </c>
      <c r="K7" s="89">
        <f t="shared" si="3"/>
        <v>2000</v>
      </c>
      <c r="L7" s="89">
        <f t="shared" si="4"/>
        <v>3166.666666666667</v>
      </c>
      <c r="M7" s="89">
        <f t="shared" si="5"/>
        <v>2000</v>
      </c>
      <c r="N7" s="89">
        <f t="shared" si="6"/>
        <v>4180</v>
      </c>
      <c r="O7" s="89">
        <f t="shared" si="7"/>
        <v>2000</v>
      </c>
      <c r="P7" s="89">
        <f t="shared" si="8"/>
        <v>2000</v>
      </c>
      <c r="Q7" s="89">
        <f t="shared" si="8"/>
        <v>2000</v>
      </c>
      <c r="R7" s="89">
        <f t="shared" si="9"/>
        <v>3166.666666666667</v>
      </c>
      <c r="S7" s="89">
        <f t="shared" si="10"/>
        <v>4180</v>
      </c>
    </row>
    <row r="8" spans="2:22" x14ac:dyDescent="0.2">
      <c r="B8" s="272" t="s">
        <v>3882</v>
      </c>
      <c r="C8" s="4" t="s">
        <v>3556</v>
      </c>
      <c r="D8" s="89">
        <v>1000</v>
      </c>
      <c r="E8" s="89">
        <f t="shared" si="2"/>
        <v>1090</v>
      </c>
      <c r="F8" s="147">
        <f t="shared" si="0"/>
        <v>583.33333333333337</v>
      </c>
      <c r="G8" s="278"/>
      <c r="H8" s="157">
        <f t="shared" si="1"/>
        <v>1000</v>
      </c>
      <c r="I8" s="89">
        <f t="shared" si="3"/>
        <v>1000</v>
      </c>
      <c r="J8" s="89">
        <f t="shared" si="3"/>
        <v>1000</v>
      </c>
      <c r="K8" s="89">
        <f t="shared" si="3"/>
        <v>1000</v>
      </c>
      <c r="L8" s="89">
        <f t="shared" si="4"/>
        <v>1583.3333333333335</v>
      </c>
      <c r="M8" s="89">
        <f t="shared" si="5"/>
        <v>1000</v>
      </c>
      <c r="N8" s="89">
        <f t="shared" si="6"/>
        <v>2090</v>
      </c>
      <c r="O8" s="89">
        <f t="shared" si="7"/>
        <v>1000</v>
      </c>
      <c r="P8" s="89">
        <f t="shared" si="8"/>
        <v>1000</v>
      </c>
      <c r="Q8" s="89">
        <f t="shared" si="8"/>
        <v>1000</v>
      </c>
      <c r="R8" s="89">
        <f t="shared" si="9"/>
        <v>1583.3333333333335</v>
      </c>
      <c r="S8" s="89">
        <f t="shared" si="10"/>
        <v>2090</v>
      </c>
      <c r="T8" s="118">
        <f>+SUM(H8:S8)</f>
        <v>15346.666666666668</v>
      </c>
    </row>
    <row r="9" spans="2:22" x14ac:dyDescent="0.2">
      <c r="B9" s="272" t="s">
        <v>3952</v>
      </c>
      <c r="C9" s="4" t="s">
        <v>3556</v>
      </c>
      <c r="D9" s="89">
        <v>1200</v>
      </c>
      <c r="E9" s="89">
        <f t="shared" si="2"/>
        <v>1308</v>
      </c>
      <c r="F9" s="147">
        <f t="shared" si="0"/>
        <v>700</v>
      </c>
      <c r="G9" s="278"/>
      <c r="H9" s="157">
        <f t="shared" si="1"/>
        <v>1200</v>
      </c>
      <c r="I9" s="89">
        <f t="shared" si="3"/>
        <v>1200</v>
      </c>
      <c r="J9" s="89">
        <f t="shared" si="3"/>
        <v>1200</v>
      </c>
      <c r="K9" s="89">
        <f t="shared" si="3"/>
        <v>1200</v>
      </c>
      <c r="L9" s="89">
        <f t="shared" si="4"/>
        <v>1900</v>
      </c>
      <c r="M9" s="89">
        <f t="shared" si="5"/>
        <v>1200</v>
      </c>
      <c r="N9" s="89">
        <f t="shared" si="6"/>
        <v>2508</v>
      </c>
      <c r="O9" s="89">
        <f t="shared" si="7"/>
        <v>1200</v>
      </c>
      <c r="P9" s="89">
        <f t="shared" si="8"/>
        <v>1200</v>
      </c>
      <c r="Q9" s="89">
        <f t="shared" si="8"/>
        <v>1200</v>
      </c>
      <c r="R9" s="89">
        <f t="shared" si="9"/>
        <v>1900</v>
      </c>
      <c r="S9" s="89">
        <f t="shared" si="10"/>
        <v>2508</v>
      </c>
    </row>
    <row r="10" spans="2:22" ht="17" thickBot="1" x14ac:dyDescent="0.25">
      <c r="B10" s="273" t="s">
        <v>3953</v>
      </c>
      <c r="C10" s="274" t="s">
        <v>3556</v>
      </c>
      <c r="D10" s="149">
        <v>1000</v>
      </c>
      <c r="E10" s="149">
        <f t="shared" si="2"/>
        <v>1090</v>
      </c>
      <c r="F10" s="150">
        <f t="shared" si="0"/>
        <v>583.33333333333337</v>
      </c>
      <c r="G10" s="279"/>
      <c r="H10" s="157">
        <f t="shared" si="1"/>
        <v>1000</v>
      </c>
      <c r="I10" s="89">
        <f t="shared" si="3"/>
        <v>1000</v>
      </c>
      <c r="J10" s="89">
        <f t="shared" si="3"/>
        <v>1000</v>
      </c>
      <c r="K10" s="89">
        <f t="shared" si="3"/>
        <v>1000</v>
      </c>
      <c r="L10" s="89">
        <f t="shared" si="4"/>
        <v>1583.3333333333335</v>
      </c>
      <c r="M10" s="89">
        <f t="shared" si="5"/>
        <v>1000</v>
      </c>
      <c r="N10" s="89">
        <f t="shared" si="6"/>
        <v>2090</v>
      </c>
      <c r="O10" s="89">
        <f t="shared" si="7"/>
        <v>1000</v>
      </c>
      <c r="P10" s="89">
        <f t="shared" si="8"/>
        <v>1000</v>
      </c>
      <c r="Q10" s="89">
        <f t="shared" si="8"/>
        <v>1000</v>
      </c>
      <c r="R10" s="89">
        <f t="shared" si="9"/>
        <v>1583.3333333333335</v>
      </c>
      <c r="S10" s="89">
        <f t="shared" si="10"/>
        <v>2090</v>
      </c>
      <c r="T10" s="130" t="s">
        <v>4173</v>
      </c>
    </row>
    <row r="11" spans="2:22" x14ac:dyDescent="0.2">
      <c r="B11" s="24"/>
      <c r="C11" s="24"/>
      <c r="D11" s="122"/>
      <c r="E11" s="122"/>
      <c r="F11" s="122"/>
      <c r="G11" s="271" t="s">
        <v>4168</v>
      </c>
      <c r="H11" s="89">
        <f>+H5*$C$19+H6*$C$20+H7*$C$21+H8*$C$22+H9*$C$23+H10*$C$24</f>
        <v>42400</v>
      </c>
      <c r="I11" s="89">
        <f t="shared" ref="I11:S11" si="11">+I5*$C$19+I6*$C$20+I7*$C$21+I8*$C$22+I9*$C$23+I10*$C$24</f>
        <v>42400</v>
      </c>
      <c r="J11" s="89">
        <f t="shared" si="11"/>
        <v>42400</v>
      </c>
      <c r="K11" s="89">
        <f t="shared" si="11"/>
        <v>42400</v>
      </c>
      <c r="L11" s="89">
        <f t="shared" si="11"/>
        <v>67133.333333333343</v>
      </c>
      <c r="M11" s="89">
        <f t="shared" si="11"/>
        <v>42400</v>
      </c>
      <c r="N11" s="89">
        <f t="shared" si="11"/>
        <v>88616</v>
      </c>
      <c r="O11" s="89">
        <f t="shared" si="11"/>
        <v>42400</v>
      </c>
      <c r="P11" s="89">
        <f t="shared" si="11"/>
        <v>42400</v>
      </c>
      <c r="Q11" s="89">
        <f t="shared" si="11"/>
        <v>42400</v>
      </c>
      <c r="R11" s="89">
        <f t="shared" si="11"/>
        <v>67133.333333333343</v>
      </c>
      <c r="S11" s="89">
        <f t="shared" si="11"/>
        <v>88616</v>
      </c>
      <c r="T11" s="123">
        <f>SUM(H11:S11)</f>
        <v>650698.66666666674</v>
      </c>
      <c r="U11" s="118">
        <f>+T28+T29</f>
        <v>537133.33333333337</v>
      </c>
      <c r="V11" s="118">
        <f>+U11-T11</f>
        <v>-113565.33333333337</v>
      </c>
    </row>
    <row r="12" spans="2:22" x14ac:dyDescent="0.2">
      <c r="B12" s="24"/>
      <c r="C12" s="24"/>
      <c r="D12" s="122"/>
      <c r="E12" s="122"/>
      <c r="F12" s="122"/>
      <c r="G12" s="55" t="s">
        <v>4169</v>
      </c>
      <c r="H12" s="89">
        <f>SUMPRODUCT($D$19:$D$24,H5:H10)</f>
        <v>43400</v>
      </c>
      <c r="I12" s="89">
        <f t="shared" ref="I12:S12" si="12">SUMPRODUCT($D$19:$D$24,I5:I10)</f>
        <v>43400</v>
      </c>
      <c r="J12" s="89">
        <f t="shared" si="12"/>
        <v>43400</v>
      </c>
      <c r="K12" s="89">
        <f t="shared" si="12"/>
        <v>43400</v>
      </c>
      <c r="L12" s="89">
        <f t="shared" si="12"/>
        <v>68716.666666666672</v>
      </c>
      <c r="M12" s="89">
        <f t="shared" si="12"/>
        <v>43400</v>
      </c>
      <c r="N12" s="89">
        <f t="shared" si="12"/>
        <v>90706</v>
      </c>
      <c r="O12" s="89">
        <f t="shared" si="12"/>
        <v>43400</v>
      </c>
      <c r="P12" s="89">
        <f t="shared" si="12"/>
        <v>43400</v>
      </c>
      <c r="Q12" s="89">
        <f t="shared" si="12"/>
        <v>43400</v>
      </c>
      <c r="R12" s="89">
        <f t="shared" si="12"/>
        <v>68716.666666666672</v>
      </c>
      <c r="S12" s="89">
        <f t="shared" si="12"/>
        <v>90706</v>
      </c>
      <c r="T12" s="123">
        <f t="shared" ref="T12:T15" si="13">SUM(H12:S12)</f>
        <v>666045.33333333337</v>
      </c>
      <c r="U12" s="118">
        <f>+T30+T31</f>
        <v>552480</v>
      </c>
      <c r="V12" s="118">
        <f t="shared" ref="V12:V15" si="14">+U12-T12</f>
        <v>-113565.33333333337</v>
      </c>
    </row>
    <row r="13" spans="2:22" x14ac:dyDescent="0.2">
      <c r="B13" s="24"/>
      <c r="C13" s="24"/>
      <c r="D13" s="122"/>
      <c r="E13" s="122"/>
      <c r="F13" s="122"/>
      <c r="G13" s="55" t="s">
        <v>4170</v>
      </c>
      <c r="H13" s="89">
        <f>SUMPRODUCT($E$19:$E$24,H5:H10)</f>
        <v>44400</v>
      </c>
      <c r="I13" s="89">
        <f t="shared" ref="I13:S13" si="15">SUMPRODUCT($E$19:$E$24,I5:I10)</f>
        <v>44400</v>
      </c>
      <c r="J13" s="89">
        <f t="shared" si="15"/>
        <v>44400</v>
      </c>
      <c r="K13" s="89">
        <f t="shared" si="15"/>
        <v>44400</v>
      </c>
      <c r="L13" s="89">
        <f t="shared" si="15"/>
        <v>70300</v>
      </c>
      <c r="M13" s="89">
        <f t="shared" si="15"/>
        <v>44400</v>
      </c>
      <c r="N13" s="89">
        <f t="shared" si="15"/>
        <v>92796</v>
      </c>
      <c r="O13" s="89">
        <f t="shared" si="15"/>
        <v>44400</v>
      </c>
      <c r="P13" s="89">
        <f t="shared" si="15"/>
        <v>44400</v>
      </c>
      <c r="Q13" s="89">
        <f t="shared" si="15"/>
        <v>44400</v>
      </c>
      <c r="R13" s="89">
        <f t="shared" si="15"/>
        <v>70300</v>
      </c>
      <c r="S13" s="89">
        <f t="shared" si="15"/>
        <v>92796</v>
      </c>
      <c r="T13" s="123">
        <f t="shared" si="13"/>
        <v>681392</v>
      </c>
      <c r="U13" s="118">
        <f>+T32+T33</f>
        <v>567826.66666666674</v>
      </c>
      <c r="V13" s="118">
        <f t="shared" si="14"/>
        <v>-113565.33333333326</v>
      </c>
    </row>
    <row r="14" spans="2:22" x14ac:dyDescent="0.2">
      <c r="B14" s="24"/>
      <c r="C14" s="24"/>
      <c r="D14" s="122"/>
      <c r="E14" s="122"/>
      <c r="F14" s="122"/>
      <c r="G14" s="55" t="s">
        <v>4171</v>
      </c>
      <c r="H14" s="89">
        <f>SUMPRODUCT($F$19:$F$24,H5:H10)</f>
        <v>45400</v>
      </c>
      <c r="I14" s="89">
        <f t="shared" ref="I14:S14" si="16">SUMPRODUCT($F$19:$F$24,I5:I10)</f>
        <v>45400</v>
      </c>
      <c r="J14" s="89">
        <f t="shared" si="16"/>
        <v>45400</v>
      </c>
      <c r="K14" s="89">
        <f t="shared" si="16"/>
        <v>45400</v>
      </c>
      <c r="L14" s="89">
        <f t="shared" si="16"/>
        <v>71883.333333333343</v>
      </c>
      <c r="M14" s="89">
        <f t="shared" si="16"/>
        <v>45400</v>
      </c>
      <c r="N14" s="89">
        <f t="shared" si="16"/>
        <v>94886</v>
      </c>
      <c r="O14" s="89">
        <f t="shared" si="16"/>
        <v>45400</v>
      </c>
      <c r="P14" s="89">
        <f t="shared" si="16"/>
        <v>45400</v>
      </c>
      <c r="Q14" s="89">
        <f t="shared" si="16"/>
        <v>45400</v>
      </c>
      <c r="R14" s="89">
        <f t="shared" si="16"/>
        <v>71883.333333333343</v>
      </c>
      <c r="S14" s="89">
        <f t="shared" si="16"/>
        <v>94886</v>
      </c>
      <c r="T14" s="123">
        <f t="shared" si="13"/>
        <v>696738.66666666674</v>
      </c>
      <c r="U14" s="118">
        <f>+T34+T35</f>
        <v>583173.33333333337</v>
      </c>
      <c r="V14" s="118">
        <f t="shared" si="14"/>
        <v>-113565.33333333337</v>
      </c>
    </row>
    <row r="15" spans="2:22" x14ac:dyDescent="0.2">
      <c r="B15" s="24"/>
      <c r="C15" s="24"/>
      <c r="D15" s="122"/>
      <c r="E15" s="122"/>
      <c r="F15" s="122"/>
      <c r="G15" s="55" t="s">
        <v>4172</v>
      </c>
      <c r="H15" s="89">
        <f>SUMPRODUCT($G$19:$G$24,H5:H10)</f>
        <v>45400</v>
      </c>
      <c r="I15" s="89">
        <f t="shared" ref="I15:S15" si="17">SUMPRODUCT($G$19:$G$24,I5:I10)</f>
        <v>45400</v>
      </c>
      <c r="J15" s="89">
        <f t="shared" si="17"/>
        <v>45400</v>
      </c>
      <c r="K15" s="89">
        <f t="shared" si="17"/>
        <v>45400</v>
      </c>
      <c r="L15" s="89">
        <f t="shared" si="17"/>
        <v>71883.333333333343</v>
      </c>
      <c r="M15" s="89">
        <f t="shared" si="17"/>
        <v>45400</v>
      </c>
      <c r="N15" s="89">
        <f t="shared" si="17"/>
        <v>94886</v>
      </c>
      <c r="O15" s="89">
        <f t="shared" si="17"/>
        <v>45400</v>
      </c>
      <c r="P15" s="89">
        <f t="shared" si="17"/>
        <v>45400</v>
      </c>
      <c r="Q15" s="89">
        <f t="shared" si="17"/>
        <v>45400</v>
      </c>
      <c r="R15" s="89">
        <f t="shared" si="17"/>
        <v>71883.333333333343</v>
      </c>
      <c r="S15" s="89">
        <f t="shared" si="17"/>
        <v>94886</v>
      </c>
      <c r="T15" s="123">
        <f t="shared" si="13"/>
        <v>696738.66666666674</v>
      </c>
      <c r="U15" s="118">
        <f>+T36+T37</f>
        <v>583173.33333333337</v>
      </c>
      <c r="V15" s="118">
        <f t="shared" si="14"/>
        <v>-113565.33333333337</v>
      </c>
    </row>
    <row r="17" spans="2:20" x14ac:dyDescent="0.2">
      <c r="B17" s="290" t="s">
        <v>3947</v>
      </c>
      <c r="C17" s="290" t="s">
        <v>3956</v>
      </c>
      <c r="D17" s="290" t="s">
        <v>3957</v>
      </c>
      <c r="E17" s="290" t="s">
        <v>3958</v>
      </c>
      <c r="F17" s="290" t="s">
        <v>3959</v>
      </c>
      <c r="G17" s="290" t="s">
        <v>3960</v>
      </c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</row>
    <row r="18" spans="2:20" x14ac:dyDescent="0.2">
      <c r="B18" s="290"/>
      <c r="C18" s="290"/>
      <c r="D18" s="290"/>
      <c r="E18" s="290"/>
      <c r="F18" s="290"/>
      <c r="G18" s="290"/>
    </row>
    <row r="19" spans="2:20" x14ac:dyDescent="0.2">
      <c r="B19" s="55" t="s">
        <v>3850</v>
      </c>
      <c r="C19" s="116">
        <v>1</v>
      </c>
      <c r="D19" s="116">
        <v>1</v>
      </c>
      <c r="E19" s="116">
        <v>1</v>
      </c>
      <c r="F19" s="116">
        <v>1</v>
      </c>
      <c r="G19" s="116">
        <v>1</v>
      </c>
    </row>
    <row r="20" spans="2:20" x14ac:dyDescent="0.2">
      <c r="B20" s="55" t="s">
        <v>3881</v>
      </c>
      <c r="C20" s="4">
        <v>4</v>
      </c>
      <c r="D20" s="4">
        <v>4</v>
      </c>
      <c r="E20" s="4">
        <v>4</v>
      </c>
      <c r="F20" s="4">
        <v>4</v>
      </c>
      <c r="G20" s="4">
        <v>4</v>
      </c>
    </row>
    <row r="21" spans="2:20" x14ac:dyDescent="0.2">
      <c r="B21" s="55" t="s">
        <v>3951</v>
      </c>
      <c r="C21" s="4">
        <v>2</v>
      </c>
      <c r="D21" s="4">
        <v>2</v>
      </c>
      <c r="E21" s="4">
        <v>2</v>
      </c>
      <c r="F21" s="4">
        <v>2</v>
      </c>
      <c r="G21" s="4">
        <v>2</v>
      </c>
    </row>
    <row r="22" spans="2:20" x14ac:dyDescent="0.2">
      <c r="B22" s="55" t="s">
        <v>3882</v>
      </c>
      <c r="C22" s="4">
        <v>19</v>
      </c>
      <c r="D22" s="4">
        <f>+C22+1</f>
        <v>20</v>
      </c>
      <c r="E22" s="4">
        <f t="shared" ref="E22:F22" si="18">+D22+1</f>
        <v>21</v>
      </c>
      <c r="F22" s="4">
        <f t="shared" si="18"/>
        <v>22</v>
      </c>
      <c r="G22" s="4">
        <f t="shared" ref="G22" si="19">+F22</f>
        <v>22</v>
      </c>
    </row>
    <row r="23" spans="2:20" x14ac:dyDescent="0.2">
      <c r="B23" s="55" t="s">
        <v>3952</v>
      </c>
      <c r="C23" s="4">
        <v>2</v>
      </c>
      <c r="D23" s="4">
        <v>2</v>
      </c>
      <c r="E23" s="4">
        <v>2</v>
      </c>
      <c r="F23" s="4">
        <v>2</v>
      </c>
      <c r="G23" s="4">
        <v>2</v>
      </c>
    </row>
    <row r="24" spans="2:20" x14ac:dyDescent="0.2">
      <c r="B24" s="55" t="s">
        <v>3953</v>
      </c>
      <c r="C24" s="4">
        <v>5</v>
      </c>
      <c r="D24" s="4">
        <v>5</v>
      </c>
      <c r="E24" s="4">
        <v>5</v>
      </c>
      <c r="F24" s="4">
        <v>5</v>
      </c>
      <c r="G24" s="4">
        <v>5</v>
      </c>
    </row>
    <row r="25" spans="2:20" x14ac:dyDescent="0.2">
      <c r="B25" s="199" t="s">
        <v>3572</v>
      </c>
      <c r="C25" s="31">
        <f>SUM(C19:C24)</f>
        <v>33</v>
      </c>
      <c r="D25" s="31">
        <f t="shared" ref="D25:G25" si="20">SUM(D19:D24)</f>
        <v>34</v>
      </c>
      <c r="E25" s="31">
        <f t="shared" si="20"/>
        <v>35</v>
      </c>
      <c r="F25" s="31">
        <f t="shared" si="20"/>
        <v>36</v>
      </c>
      <c r="G25" s="31">
        <f t="shared" si="20"/>
        <v>36</v>
      </c>
    </row>
    <row r="26" spans="2:20" x14ac:dyDescent="0.2">
      <c r="C26">
        <f>SUM(C22:C23)+C20</f>
        <v>25</v>
      </c>
      <c r="D26">
        <f t="shared" ref="D26:G26" si="21">SUM(D22:D23)+D20</f>
        <v>26</v>
      </c>
      <c r="E26">
        <f t="shared" si="21"/>
        <v>27</v>
      </c>
      <c r="F26">
        <f t="shared" si="21"/>
        <v>28</v>
      </c>
      <c r="G26">
        <f t="shared" si="21"/>
        <v>28</v>
      </c>
    </row>
    <row r="27" spans="2:20" x14ac:dyDescent="0.2">
      <c r="T27" s="130" t="s">
        <v>4173</v>
      </c>
    </row>
    <row r="28" spans="2:20" x14ac:dyDescent="0.2">
      <c r="G28" s="55" t="s">
        <v>4238</v>
      </c>
      <c r="H28" s="89">
        <f>SUMPRODUCT($C$19:$C$21,H5:H7)</f>
        <v>16000</v>
      </c>
      <c r="I28" s="89">
        <f t="shared" ref="I28:S28" si="22">SUMPRODUCT($C$19:$C$21,I5:I7)</f>
        <v>16000</v>
      </c>
      <c r="J28" s="89">
        <f t="shared" si="22"/>
        <v>16000</v>
      </c>
      <c r="K28" s="89">
        <f t="shared" si="22"/>
        <v>16000</v>
      </c>
      <c r="L28" s="89">
        <f t="shared" si="22"/>
        <v>25333.333333333336</v>
      </c>
      <c r="M28" s="89">
        <f t="shared" si="22"/>
        <v>16000</v>
      </c>
      <c r="N28" s="89">
        <f t="shared" si="22"/>
        <v>33440</v>
      </c>
      <c r="O28" s="89">
        <f t="shared" si="22"/>
        <v>16000</v>
      </c>
      <c r="P28" s="89">
        <f t="shared" si="22"/>
        <v>16000</v>
      </c>
      <c r="Q28" s="89">
        <f t="shared" si="22"/>
        <v>16000</v>
      </c>
      <c r="R28" s="89">
        <f t="shared" si="22"/>
        <v>25333.333333333336</v>
      </c>
      <c r="S28" s="89">
        <f t="shared" si="22"/>
        <v>33440</v>
      </c>
      <c r="T28" s="123">
        <f>SUM(H28:S28)</f>
        <v>245546.66666666669</v>
      </c>
    </row>
    <row r="29" spans="2:20" x14ac:dyDescent="0.2">
      <c r="G29" s="55" t="s">
        <v>4174</v>
      </c>
      <c r="H29" s="89">
        <f>+$C$22*H8</f>
        <v>19000</v>
      </c>
      <c r="I29" s="89">
        <f t="shared" ref="I29:S29" si="23">+$C$22*I8</f>
        <v>19000</v>
      </c>
      <c r="J29" s="89">
        <f t="shared" si="23"/>
        <v>19000</v>
      </c>
      <c r="K29" s="89">
        <f t="shared" si="23"/>
        <v>19000</v>
      </c>
      <c r="L29" s="89">
        <f t="shared" si="23"/>
        <v>30083.333333333336</v>
      </c>
      <c r="M29" s="89">
        <f t="shared" si="23"/>
        <v>19000</v>
      </c>
      <c r="N29" s="89">
        <f t="shared" si="23"/>
        <v>39710</v>
      </c>
      <c r="O29" s="89">
        <f t="shared" si="23"/>
        <v>19000</v>
      </c>
      <c r="P29" s="89">
        <f t="shared" si="23"/>
        <v>19000</v>
      </c>
      <c r="Q29" s="89">
        <f t="shared" si="23"/>
        <v>19000</v>
      </c>
      <c r="R29" s="89">
        <f t="shared" si="23"/>
        <v>30083.333333333336</v>
      </c>
      <c r="S29" s="89">
        <f t="shared" si="23"/>
        <v>39710</v>
      </c>
      <c r="T29" s="123">
        <f t="shared" ref="T29:T42" si="24">SUM(H29:S29)</f>
        <v>291586.66666666669</v>
      </c>
    </row>
    <row r="30" spans="2:20" x14ac:dyDescent="0.2">
      <c r="G30" s="55" t="s">
        <v>4239</v>
      </c>
      <c r="H30" s="89">
        <f>SUMPRODUCT($D$19:$D$21,H5:H7)</f>
        <v>16000</v>
      </c>
      <c r="I30" s="89">
        <f t="shared" ref="I30:S30" si="25">SUMPRODUCT($D$19:$D$21,I5:I7)</f>
        <v>16000</v>
      </c>
      <c r="J30" s="89">
        <f t="shared" si="25"/>
        <v>16000</v>
      </c>
      <c r="K30" s="89">
        <f t="shared" si="25"/>
        <v>16000</v>
      </c>
      <c r="L30" s="89">
        <f t="shared" si="25"/>
        <v>25333.333333333336</v>
      </c>
      <c r="M30" s="89">
        <f t="shared" si="25"/>
        <v>16000</v>
      </c>
      <c r="N30" s="89">
        <f t="shared" si="25"/>
        <v>33440</v>
      </c>
      <c r="O30" s="89">
        <f t="shared" si="25"/>
        <v>16000</v>
      </c>
      <c r="P30" s="89">
        <f t="shared" si="25"/>
        <v>16000</v>
      </c>
      <c r="Q30" s="89">
        <f t="shared" si="25"/>
        <v>16000</v>
      </c>
      <c r="R30" s="89">
        <f t="shared" si="25"/>
        <v>25333.333333333336</v>
      </c>
      <c r="S30" s="89">
        <f t="shared" si="25"/>
        <v>33440</v>
      </c>
      <c r="T30" s="123">
        <f t="shared" si="24"/>
        <v>245546.66666666669</v>
      </c>
    </row>
    <row r="31" spans="2:20" x14ac:dyDescent="0.2">
      <c r="G31" s="55" t="s">
        <v>4176</v>
      </c>
      <c r="H31" s="89">
        <f>+$D$22*H8</f>
        <v>20000</v>
      </c>
      <c r="I31" s="89">
        <f t="shared" ref="I31:S31" si="26">+$D$22*I8</f>
        <v>20000</v>
      </c>
      <c r="J31" s="89">
        <f t="shared" si="26"/>
        <v>20000</v>
      </c>
      <c r="K31" s="89">
        <f t="shared" si="26"/>
        <v>20000</v>
      </c>
      <c r="L31" s="89">
        <f t="shared" si="26"/>
        <v>31666.666666666672</v>
      </c>
      <c r="M31" s="89">
        <f t="shared" si="26"/>
        <v>20000</v>
      </c>
      <c r="N31" s="89">
        <f t="shared" si="26"/>
        <v>41800</v>
      </c>
      <c r="O31" s="89">
        <f t="shared" si="26"/>
        <v>20000</v>
      </c>
      <c r="P31" s="89">
        <f t="shared" si="26"/>
        <v>20000</v>
      </c>
      <c r="Q31" s="89">
        <f t="shared" si="26"/>
        <v>20000</v>
      </c>
      <c r="R31" s="89">
        <f t="shared" si="26"/>
        <v>31666.666666666672</v>
      </c>
      <c r="S31" s="89">
        <f t="shared" si="26"/>
        <v>41800</v>
      </c>
      <c r="T31" s="123">
        <f t="shared" si="24"/>
        <v>306933.33333333337</v>
      </c>
    </row>
    <row r="32" spans="2:20" x14ac:dyDescent="0.2">
      <c r="G32" s="55" t="s">
        <v>4240</v>
      </c>
      <c r="H32" s="89">
        <f>SUMPRODUCT($E$19:$E$21,H5:H7)</f>
        <v>16000</v>
      </c>
      <c r="I32" s="89">
        <f t="shared" ref="I32:S32" si="27">SUMPRODUCT($E$19:$E$21,I5:I7)</f>
        <v>16000</v>
      </c>
      <c r="J32" s="89">
        <f t="shared" si="27"/>
        <v>16000</v>
      </c>
      <c r="K32" s="89">
        <f t="shared" si="27"/>
        <v>16000</v>
      </c>
      <c r="L32" s="89">
        <f t="shared" si="27"/>
        <v>25333.333333333336</v>
      </c>
      <c r="M32" s="89">
        <f t="shared" si="27"/>
        <v>16000</v>
      </c>
      <c r="N32" s="89">
        <f t="shared" si="27"/>
        <v>33440</v>
      </c>
      <c r="O32" s="89">
        <f t="shared" si="27"/>
        <v>16000</v>
      </c>
      <c r="P32" s="89">
        <f t="shared" si="27"/>
        <v>16000</v>
      </c>
      <c r="Q32" s="89">
        <f t="shared" si="27"/>
        <v>16000</v>
      </c>
      <c r="R32" s="89">
        <f t="shared" si="27"/>
        <v>25333.333333333336</v>
      </c>
      <c r="S32" s="89">
        <f t="shared" si="27"/>
        <v>33440</v>
      </c>
      <c r="T32" s="123">
        <f t="shared" si="24"/>
        <v>245546.66666666669</v>
      </c>
    </row>
    <row r="33" spans="7:20" x14ac:dyDescent="0.2">
      <c r="G33" s="55" t="s">
        <v>4178</v>
      </c>
      <c r="H33" s="89">
        <f>+$E$22*H8</f>
        <v>21000</v>
      </c>
      <c r="I33" s="89">
        <f t="shared" ref="I33:S33" si="28">+$E$22*I8</f>
        <v>21000</v>
      </c>
      <c r="J33" s="89">
        <f t="shared" si="28"/>
        <v>21000</v>
      </c>
      <c r="K33" s="89">
        <f t="shared" si="28"/>
        <v>21000</v>
      </c>
      <c r="L33" s="89">
        <f t="shared" si="28"/>
        <v>33250</v>
      </c>
      <c r="M33" s="89">
        <f t="shared" si="28"/>
        <v>21000</v>
      </c>
      <c r="N33" s="89">
        <f t="shared" si="28"/>
        <v>43890</v>
      </c>
      <c r="O33" s="89">
        <f t="shared" si="28"/>
        <v>21000</v>
      </c>
      <c r="P33" s="89">
        <f t="shared" si="28"/>
        <v>21000</v>
      </c>
      <c r="Q33" s="89">
        <f t="shared" si="28"/>
        <v>21000</v>
      </c>
      <c r="R33" s="89">
        <f t="shared" si="28"/>
        <v>33250</v>
      </c>
      <c r="S33" s="89">
        <f t="shared" si="28"/>
        <v>43890</v>
      </c>
      <c r="T33" s="123">
        <f t="shared" si="24"/>
        <v>322280</v>
      </c>
    </row>
    <row r="34" spans="7:20" x14ac:dyDescent="0.2">
      <c r="G34" s="55" t="s">
        <v>4241</v>
      </c>
      <c r="H34" s="89">
        <f>SUMPRODUCT($F$19:$F$21,H5:H7)</f>
        <v>16000</v>
      </c>
      <c r="I34" s="89">
        <f t="shared" ref="I34:S34" si="29">SUMPRODUCT($F$19:$F$21,I5:I7)</f>
        <v>16000</v>
      </c>
      <c r="J34" s="89">
        <f t="shared" si="29"/>
        <v>16000</v>
      </c>
      <c r="K34" s="89">
        <f t="shared" si="29"/>
        <v>16000</v>
      </c>
      <c r="L34" s="89">
        <f t="shared" si="29"/>
        <v>25333.333333333336</v>
      </c>
      <c r="M34" s="89">
        <f t="shared" si="29"/>
        <v>16000</v>
      </c>
      <c r="N34" s="89">
        <f t="shared" si="29"/>
        <v>33440</v>
      </c>
      <c r="O34" s="89">
        <f t="shared" si="29"/>
        <v>16000</v>
      </c>
      <c r="P34" s="89">
        <f t="shared" si="29"/>
        <v>16000</v>
      </c>
      <c r="Q34" s="89">
        <f t="shared" si="29"/>
        <v>16000</v>
      </c>
      <c r="R34" s="89">
        <f t="shared" si="29"/>
        <v>25333.333333333336</v>
      </c>
      <c r="S34" s="89">
        <f t="shared" si="29"/>
        <v>33440</v>
      </c>
      <c r="T34" s="123">
        <f t="shared" si="24"/>
        <v>245546.66666666669</v>
      </c>
    </row>
    <row r="35" spans="7:20" x14ac:dyDescent="0.2">
      <c r="G35" s="55" t="s">
        <v>4180</v>
      </c>
      <c r="H35" s="89">
        <f>+$F$22*H8</f>
        <v>22000</v>
      </c>
      <c r="I35" s="89">
        <f t="shared" ref="I35:S35" si="30">+$F$22*I8</f>
        <v>22000</v>
      </c>
      <c r="J35" s="89">
        <f t="shared" si="30"/>
        <v>22000</v>
      </c>
      <c r="K35" s="89">
        <f t="shared" si="30"/>
        <v>22000</v>
      </c>
      <c r="L35" s="89">
        <f t="shared" si="30"/>
        <v>34833.333333333336</v>
      </c>
      <c r="M35" s="89">
        <f t="shared" si="30"/>
        <v>22000</v>
      </c>
      <c r="N35" s="89">
        <f t="shared" si="30"/>
        <v>45980</v>
      </c>
      <c r="O35" s="89">
        <f t="shared" si="30"/>
        <v>22000</v>
      </c>
      <c r="P35" s="89">
        <f t="shared" si="30"/>
        <v>22000</v>
      </c>
      <c r="Q35" s="89">
        <f t="shared" si="30"/>
        <v>22000</v>
      </c>
      <c r="R35" s="89">
        <f t="shared" si="30"/>
        <v>34833.333333333336</v>
      </c>
      <c r="S35" s="89">
        <f t="shared" si="30"/>
        <v>45980</v>
      </c>
      <c r="T35" s="123">
        <f t="shared" si="24"/>
        <v>337626.66666666669</v>
      </c>
    </row>
    <row r="36" spans="7:20" x14ac:dyDescent="0.2">
      <c r="G36" s="55" t="s">
        <v>4242</v>
      </c>
      <c r="H36" s="89">
        <f>SUMPRODUCT($G$19:$G$21,H5:H7)</f>
        <v>16000</v>
      </c>
      <c r="I36" s="89">
        <f t="shared" ref="I36:S36" si="31">SUMPRODUCT($G$19:$G$21,I5:I7)</f>
        <v>16000</v>
      </c>
      <c r="J36" s="89">
        <f t="shared" si="31"/>
        <v>16000</v>
      </c>
      <c r="K36" s="89">
        <f t="shared" si="31"/>
        <v>16000</v>
      </c>
      <c r="L36" s="89">
        <f t="shared" si="31"/>
        <v>25333.333333333336</v>
      </c>
      <c r="M36" s="89">
        <f t="shared" si="31"/>
        <v>16000</v>
      </c>
      <c r="N36" s="89">
        <f t="shared" si="31"/>
        <v>33440</v>
      </c>
      <c r="O36" s="89">
        <f t="shared" si="31"/>
        <v>16000</v>
      </c>
      <c r="P36" s="89">
        <f t="shared" si="31"/>
        <v>16000</v>
      </c>
      <c r="Q36" s="89">
        <f t="shared" si="31"/>
        <v>16000</v>
      </c>
      <c r="R36" s="89">
        <f t="shared" si="31"/>
        <v>25333.333333333336</v>
      </c>
      <c r="S36" s="89">
        <f t="shared" si="31"/>
        <v>33440</v>
      </c>
      <c r="T36" s="123">
        <f t="shared" si="24"/>
        <v>245546.66666666669</v>
      </c>
    </row>
    <row r="37" spans="7:20" x14ac:dyDescent="0.2">
      <c r="G37" s="55" t="s">
        <v>4182</v>
      </c>
      <c r="H37" s="89">
        <f>+$G$22*H8</f>
        <v>22000</v>
      </c>
      <c r="I37" s="89">
        <f t="shared" ref="I37:S37" si="32">+$G$22*I8</f>
        <v>22000</v>
      </c>
      <c r="J37" s="89">
        <f t="shared" si="32"/>
        <v>22000</v>
      </c>
      <c r="K37" s="89">
        <f t="shared" si="32"/>
        <v>22000</v>
      </c>
      <c r="L37" s="89">
        <f t="shared" si="32"/>
        <v>34833.333333333336</v>
      </c>
      <c r="M37" s="89">
        <f t="shared" si="32"/>
        <v>22000</v>
      </c>
      <c r="N37" s="89">
        <f t="shared" si="32"/>
        <v>45980</v>
      </c>
      <c r="O37" s="89">
        <f t="shared" si="32"/>
        <v>22000</v>
      </c>
      <c r="P37" s="89">
        <f t="shared" si="32"/>
        <v>22000</v>
      </c>
      <c r="Q37" s="89">
        <f t="shared" si="32"/>
        <v>22000</v>
      </c>
      <c r="R37" s="89">
        <f t="shared" si="32"/>
        <v>34833.333333333336</v>
      </c>
      <c r="S37" s="89">
        <f t="shared" si="32"/>
        <v>45980</v>
      </c>
      <c r="T37" s="123">
        <f t="shared" si="24"/>
        <v>337626.66666666669</v>
      </c>
    </row>
    <row r="38" spans="7:20" x14ac:dyDescent="0.2">
      <c r="G38" s="55" t="s">
        <v>4175</v>
      </c>
      <c r="H38" s="89">
        <f>SUMPRODUCT($C$23:$C$24,H9:H10)</f>
        <v>7400</v>
      </c>
      <c r="I38" s="89">
        <f t="shared" ref="I38:S38" si="33">SUMPRODUCT($C$23:$C$24,I9:I10)</f>
        <v>7400</v>
      </c>
      <c r="J38" s="89">
        <f t="shared" si="33"/>
        <v>7400</v>
      </c>
      <c r="K38" s="89">
        <f t="shared" si="33"/>
        <v>7400</v>
      </c>
      <c r="L38" s="89">
        <f t="shared" si="33"/>
        <v>11716.666666666668</v>
      </c>
      <c r="M38" s="89">
        <f t="shared" si="33"/>
        <v>7400</v>
      </c>
      <c r="N38" s="89">
        <f t="shared" si="33"/>
        <v>15466</v>
      </c>
      <c r="O38" s="89">
        <f t="shared" si="33"/>
        <v>7400</v>
      </c>
      <c r="P38" s="89">
        <f t="shared" si="33"/>
        <v>7400</v>
      </c>
      <c r="Q38" s="89">
        <f t="shared" si="33"/>
        <v>7400</v>
      </c>
      <c r="R38" s="89">
        <f t="shared" si="33"/>
        <v>11716.666666666668</v>
      </c>
      <c r="S38" s="89">
        <f t="shared" si="33"/>
        <v>15466</v>
      </c>
      <c r="T38" s="123">
        <f t="shared" si="24"/>
        <v>113565.33333333334</v>
      </c>
    </row>
    <row r="39" spans="7:20" x14ac:dyDescent="0.2">
      <c r="G39" s="55" t="s">
        <v>4177</v>
      </c>
      <c r="H39" s="89">
        <f>SUMPRODUCT($D$23:$D$24,H9:H10)</f>
        <v>7400</v>
      </c>
      <c r="I39" s="89">
        <f t="shared" ref="I39:S39" si="34">SUMPRODUCT($D$23:$D$24,I9:I10)</f>
        <v>7400</v>
      </c>
      <c r="J39" s="89">
        <f t="shared" si="34"/>
        <v>7400</v>
      </c>
      <c r="K39" s="89">
        <f t="shared" si="34"/>
        <v>7400</v>
      </c>
      <c r="L39" s="89">
        <f t="shared" si="34"/>
        <v>11716.666666666668</v>
      </c>
      <c r="M39" s="89">
        <f t="shared" si="34"/>
        <v>7400</v>
      </c>
      <c r="N39" s="89">
        <f t="shared" si="34"/>
        <v>15466</v>
      </c>
      <c r="O39" s="89">
        <f t="shared" si="34"/>
        <v>7400</v>
      </c>
      <c r="P39" s="89">
        <f t="shared" si="34"/>
        <v>7400</v>
      </c>
      <c r="Q39" s="89">
        <f t="shared" si="34"/>
        <v>7400</v>
      </c>
      <c r="R39" s="89">
        <f t="shared" si="34"/>
        <v>11716.666666666668</v>
      </c>
      <c r="S39" s="89">
        <f t="shared" si="34"/>
        <v>15466</v>
      </c>
      <c r="T39" s="123">
        <f t="shared" si="24"/>
        <v>113565.33333333334</v>
      </c>
    </row>
    <row r="40" spans="7:20" x14ac:dyDescent="0.2">
      <c r="G40" s="55" t="s">
        <v>4179</v>
      </c>
      <c r="H40" s="89">
        <f>SUMPRODUCT($E$23:$E$24,H9:H10)</f>
        <v>7400</v>
      </c>
      <c r="I40" s="89">
        <f t="shared" ref="I40:S40" si="35">SUMPRODUCT($E$23:$E$24,I9:I10)</f>
        <v>7400</v>
      </c>
      <c r="J40" s="89">
        <f t="shared" si="35"/>
        <v>7400</v>
      </c>
      <c r="K40" s="89">
        <f t="shared" si="35"/>
        <v>7400</v>
      </c>
      <c r="L40" s="89">
        <f t="shared" si="35"/>
        <v>11716.666666666668</v>
      </c>
      <c r="M40" s="89">
        <f t="shared" si="35"/>
        <v>7400</v>
      </c>
      <c r="N40" s="89">
        <f t="shared" si="35"/>
        <v>15466</v>
      </c>
      <c r="O40" s="89">
        <f t="shared" si="35"/>
        <v>7400</v>
      </c>
      <c r="P40" s="89">
        <f t="shared" si="35"/>
        <v>7400</v>
      </c>
      <c r="Q40" s="89">
        <f t="shared" si="35"/>
        <v>7400</v>
      </c>
      <c r="R40" s="89">
        <f t="shared" si="35"/>
        <v>11716.666666666668</v>
      </c>
      <c r="S40" s="89">
        <f t="shared" si="35"/>
        <v>15466</v>
      </c>
      <c r="T40" s="123">
        <f t="shared" si="24"/>
        <v>113565.33333333334</v>
      </c>
    </row>
    <row r="41" spans="7:20" x14ac:dyDescent="0.2">
      <c r="G41" s="55" t="s">
        <v>4181</v>
      </c>
      <c r="H41" s="89">
        <f>SUMPRODUCT($F$23:$F$24,H9:H10)</f>
        <v>7400</v>
      </c>
      <c r="I41" s="89">
        <f t="shared" ref="I41:S41" si="36">SUMPRODUCT($F$23:$F$24,I9:I10)</f>
        <v>7400</v>
      </c>
      <c r="J41" s="89">
        <f t="shared" si="36"/>
        <v>7400</v>
      </c>
      <c r="K41" s="89">
        <f t="shared" si="36"/>
        <v>7400</v>
      </c>
      <c r="L41" s="89">
        <f t="shared" si="36"/>
        <v>11716.666666666668</v>
      </c>
      <c r="M41" s="89">
        <f t="shared" si="36"/>
        <v>7400</v>
      </c>
      <c r="N41" s="89">
        <f t="shared" si="36"/>
        <v>15466</v>
      </c>
      <c r="O41" s="89">
        <f t="shared" si="36"/>
        <v>7400</v>
      </c>
      <c r="P41" s="89">
        <f t="shared" si="36"/>
        <v>7400</v>
      </c>
      <c r="Q41" s="89">
        <f t="shared" si="36"/>
        <v>7400</v>
      </c>
      <c r="R41" s="89">
        <f t="shared" si="36"/>
        <v>11716.666666666668</v>
      </c>
      <c r="S41" s="89">
        <f t="shared" si="36"/>
        <v>15466</v>
      </c>
      <c r="T41" s="123">
        <f t="shared" si="24"/>
        <v>113565.33333333334</v>
      </c>
    </row>
    <row r="42" spans="7:20" x14ac:dyDescent="0.2">
      <c r="G42" s="55" t="s">
        <v>4183</v>
      </c>
      <c r="H42" s="89">
        <f>SUMPRODUCT($G$23:$G$24,H9:H10)</f>
        <v>7400</v>
      </c>
      <c r="I42" s="89">
        <f t="shared" ref="I42:S42" si="37">SUMPRODUCT($G$23:$G$24,I9:I10)</f>
        <v>7400</v>
      </c>
      <c r="J42" s="89">
        <f t="shared" si="37"/>
        <v>7400</v>
      </c>
      <c r="K42" s="89">
        <f t="shared" si="37"/>
        <v>7400</v>
      </c>
      <c r="L42" s="89">
        <f t="shared" si="37"/>
        <v>11716.666666666668</v>
      </c>
      <c r="M42" s="89">
        <f t="shared" si="37"/>
        <v>7400</v>
      </c>
      <c r="N42" s="89">
        <f t="shared" si="37"/>
        <v>15466</v>
      </c>
      <c r="O42" s="89">
        <f t="shared" si="37"/>
        <v>7400</v>
      </c>
      <c r="P42" s="89">
        <f t="shared" si="37"/>
        <v>7400</v>
      </c>
      <c r="Q42" s="89">
        <f t="shared" si="37"/>
        <v>7400</v>
      </c>
      <c r="R42" s="89">
        <f t="shared" si="37"/>
        <v>11716.666666666668</v>
      </c>
      <c r="S42" s="89">
        <f t="shared" si="37"/>
        <v>15466</v>
      </c>
      <c r="T42" s="123">
        <f t="shared" si="24"/>
        <v>113565.33333333334</v>
      </c>
    </row>
    <row r="44" spans="7:20" x14ac:dyDescent="0.2">
      <c r="H44" s="130">
        <v>2018</v>
      </c>
      <c r="I44" s="130">
        <v>2019</v>
      </c>
      <c r="J44" s="130">
        <v>2020</v>
      </c>
      <c r="K44" s="130">
        <v>2021</v>
      </c>
      <c r="L44" s="130">
        <v>2022</v>
      </c>
    </row>
    <row r="45" spans="7:20" x14ac:dyDescent="0.2">
      <c r="G45" s="159" t="s">
        <v>4243</v>
      </c>
      <c r="H45" s="89">
        <f>+T28</f>
        <v>245546.66666666669</v>
      </c>
      <c r="I45" s="89">
        <f>+T30</f>
        <v>245546.66666666669</v>
      </c>
      <c r="J45" s="89">
        <f>+T32</f>
        <v>245546.66666666669</v>
      </c>
      <c r="K45" s="89">
        <f>+T34</f>
        <v>245546.66666666669</v>
      </c>
      <c r="L45" s="89">
        <f>+T36</f>
        <v>245546.66666666669</v>
      </c>
    </row>
    <row r="46" spans="7:20" x14ac:dyDescent="0.2">
      <c r="G46" s="159" t="s">
        <v>4184</v>
      </c>
      <c r="H46" s="89">
        <f>+T29</f>
        <v>291586.66666666669</v>
      </c>
      <c r="I46" s="89">
        <f>+T31</f>
        <v>306933.33333333337</v>
      </c>
      <c r="J46" s="89">
        <f>+T33</f>
        <v>322280</v>
      </c>
      <c r="K46" s="89">
        <f>+T35</f>
        <v>337626.66666666669</v>
      </c>
      <c r="L46" s="89">
        <f>+T37</f>
        <v>337626.66666666669</v>
      </c>
    </row>
    <row r="47" spans="7:20" x14ac:dyDescent="0.2">
      <c r="G47" s="55" t="s">
        <v>4185</v>
      </c>
      <c r="H47" s="89">
        <f>+T38</f>
        <v>113565.33333333334</v>
      </c>
      <c r="I47" s="89">
        <f>+T39</f>
        <v>113565.33333333334</v>
      </c>
      <c r="J47" s="89">
        <f>+T40</f>
        <v>113565.33333333334</v>
      </c>
      <c r="K47" s="89">
        <f>+T41</f>
        <v>113565.33333333334</v>
      </c>
      <c r="L47" s="89">
        <f>+T42</f>
        <v>113565.33333333334</v>
      </c>
    </row>
    <row r="48" spans="7:20" x14ac:dyDescent="0.2">
      <c r="H48" s="118">
        <f>+H46+H45+H47</f>
        <v>650698.66666666674</v>
      </c>
      <c r="I48" s="118">
        <f t="shared" ref="I48:L48" si="38">+I46+I45+I47</f>
        <v>666045.33333333337</v>
      </c>
      <c r="J48" s="118">
        <f t="shared" si="38"/>
        <v>681392.00000000012</v>
      </c>
      <c r="K48" s="118">
        <f t="shared" si="38"/>
        <v>696738.66666666674</v>
      </c>
      <c r="L48" s="118">
        <f t="shared" si="38"/>
        <v>696738.66666666674</v>
      </c>
    </row>
  </sheetData>
  <mergeCells count="24">
    <mergeCell ref="G17:G18"/>
    <mergeCell ref="B17:B18"/>
    <mergeCell ref="C17:C18"/>
    <mergeCell ref="D17:D18"/>
    <mergeCell ref="E17:E18"/>
    <mergeCell ref="F17:F18"/>
    <mergeCell ref="C3:C4"/>
    <mergeCell ref="B3:B4"/>
    <mergeCell ref="D3:D4"/>
    <mergeCell ref="E3:E4"/>
    <mergeCell ref="F3:F4"/>
    <mergeCell ref="G3:G4"/>
    <mergeCell ref="H3:H4"/>
    <mergeCell ref="I3:I4"/>
    <mergeCell ref="J3:J4"/>
    <mergeCell ref="K3:K4"/>
    <mergeCell ref="Q3:Q4"/>
    <mergeCell ref="R3:R4"/>
    <mergeCell ref="S3:S4"/>
    <mergeCell ref="L3:L4"/>
    <mergeCell ref="M3:M4"/>
    <mergeCell ref="N3:N4"/>
    <mergeCell ref="O3:O4"/>
    <mergeCell ref="P3:P4"/>
  </mergeCells>
  <pageMargins left="0.7" right="0.7" top="0.75" bottom="0.75" header="0.3" footer="0.3"/>
  <ignoredErrors>
    <ignoredError sqref="H30 H32 N5:N10" formula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130"/>
  <sheetViews>
    <sheetView topLeftCell="A97" workbookViewId="0">
      <selection activeCell="E126" sqref="E126:F128"/>
    </sheetView>
  </sheetViews>
  <sheetFormatPr baseColWidth="10" defaultRowHeight="16" x14ac:dyDescent="0.2"/>
  <cols>
    <col min="2" max="3" width="4.1640625" customWidth="1"/>
    <col min="4" max="4" width="31.33203125" bestFit="1" customWidth="1"/>
    <col min="5" max="5" width="7" bestFit="1" customWidth="1"/>
    <col min="6" max="6" width="12.5" customWidth="1"/>
    <col min="7" max="7" width="8.33203125" bestFit="1" customWidth="1"/>
    <col min="8" max="8" width="12.33203125" bestFit="1" customWidth="1"/>
    <col min="11" max="13" width="7.5" customWidth="1"/>
    <col min="14" max="14" width="10.6640625" customWidth="1"/>
    <col min="15" max="16" width="10.83203125" customWidth="1"/>
    <col min="17" max="17" width="8.33203125" customWidth="1"/>
    <col min="18" max="19" width="10" customWidth="1"/>
  </cols>
  <sheetData>
    <row r="2" spans="2:20" x14ac:dyDescent="0.2">
      <c r="B2" s="295" t="s">
        <v>3961</v>
      </c>
      <c r="C2" s="295"/>
      <c r="D2" s="295"/>
      <c r="E2" s="113" t="s">
        <v>3996</v>
      </c>
      <c r="F2" s="113" t="s">
        <v>4005</v>
      </c>
      <c r="G2" s="112" t="s">
        <v>4006</v>
      </c>
      <c r="H2" s="113" t="s">
        <v>4007</v>
      </c>
      <c r="K2" s="290" t="s">
        <v>4100</v>
      </c>
      <c r="L2" s="290"/>
      <c r="M2" s="290"/>
      <c r="N2" s="290" t="s">
        <v>34</v>
      </c>
      <c r="O2" s="290" t="s">
        <v>4101</v>
      </c>
      <c r="P2" s="290" t="s">
        <v>4102</v>
      </c>
      <c r="Q2" s="290" t="s">
        <v>4103</v>
      </c>
      <c r="R2" s="290" t="s">
        <v>4104</v>
      </c>
      <c r="S2" s="290" t="s">
        <v>4009</v>
      </c>
      <c r="T2" s="290" t="s">
        <v>4105</v>
      </c>
    </row>
    <row r="3" spans="2:20" x14ac:dyDescent="0.2">
      <c r="B3" s="119">
        <v>2</v>
      </c>
      <c r="C3" s="394" t="s">
        <v>3962</v>
      </c>
      <c r="D3" s="394"/>
      <c r="E3" s="392"/>
      <c r="F3" s="392"/>
      <c r="G3" s="392"/>
      <c r="H3" s="392"/>
      <c r="K3" s="290"/>
      <c r="L3" s="290"/>
      <c r="M3" s="290"/>
      <c r="N3" s="290"/>
      <c r="O3" s="290"/>
      <c r="P3" s="290"/>
      <c r="Q3" s="290"/>
      <c r="R3" s="290"/>
      <c r="S3" s="290"/>
      <c r="T3" s="290"/>
    </row>
    <row r="4" spans="2:20" x14ac:dyDescent="0.2">
      <c r="B4" s="392"/>
      <c r="C4" s="113" t="s">
        <v>4033</v>
      </c>
      <c r="D4" s="55" t="s">
        <v>3964</v>
      </c>
      <c r="E4" s="393"/>
      <c r="F4" s="393"/>
      <c r="G4" s="393"/>
      <c r="H4" s="393"/>
      <c r="K4" s="391" t="s">
        <v>3766</v>
      </c>
      <c r="L4" s="391"/>
      <c r="M4" s="391"/>
      <c r="N4" s="68" t="s">
        <v>3533</v>
      </c>
      <c r="O4" s="114" t="s">
        <v>3767</v>
      </c>
      <c r="P4" s="89">
        <v>1300</v>
      </c>
      <c r="Q4" s="4">
        <v>4</v>
      </c>
      <c r="R4" s="89">
        <v>22</v>
      </c>
      <c r="S4" s="89">
        <v>200</v>
      </c>
      <c r="T4" s="123">
        <f>+S4+R4*Q4+P4</f>
        <v>1588</v>
      </c>
    </row>
    <row r="5" spans="2:20" x14ac:dyDescent="0.2">
      <c r="B5" s="395"/>
      <c r="C5" s="392"/>
      <c r="D5" s="4" t="s">
        <v>3965</v>
      </c>
      <c r="E5" s="68" t="s">
        <v>3997</v>
      </c>
      <c r="F5" s="89">
        <v>24</v>
      </c>
      <c r="G5" s="2">
        <v>1350</v>
      </c>
      <c r="H5" s="89">
        <f>+G5*F5</f>
        <v>32400</v>
      </c>
      <c r="K5" s="391" t="s">
        <v>3775</v>
      </c>
      <c r="L5" s="391"/>
      <c r="M5" s="391"/>
      <c r="N5" s="68" t="s">
        <v>3528</v>
      </c>
      <c r="O5" s="114" t="s">
        <v>3774</v>
      </c>
      <c r="P5" s="89">
        <v>1200</v>
      </c>
      <c r="Q5" s="4">
        <v>4</v>
      </c>
      <c r="R5" s="89">
        <v>22</v>
      </c>
      <c r="S5" s="89">
        <v>200</v>
      </c>
      <c r="T5" s="123">
        <f>+S5+R5*Q5+P5</f>
        <v>1488</v>
      </c>
    </row>
    <row r="6" spans="2:20" x14ac:dyDescent="0.2">
      <c r="B6" s="395"/>
      <c r="C6" s="395"/>
      <c r="D6" s="4" t="s">
        <v>3993</v>
      </c>
      <c r="E6" s="68" t="s">
        <v>3823</v>
      </c>
      <c r="F6" s="89">
        <v>60</v>
      </c>
      <c r="G6" s="2">
        <v>130</v>
      </c>
      <c r="H6" s="89">
        <f t="shared" ref="H6:H47" si="0">+G6*F6</f>
        <v>7800</v>
      </c>
    </row>
    <row r="7" spans="2:20" x14ac:dyDescent="0.2">
      <c r="B7" s="395"/>
      <c r="C7" s="395"/>
      <c r="D7" s="4" t="s">
        <v>3994</v>
      </c>
      <c r="E7" s="68" t="s">
        <v>3823</v>
      </c>
      <c r="F7" s="89">
        <v>70</v>
      </c>
      <c r="G7" s="2">
        <v>50</v>
      </c>
      <c r="H7" s="89">
        <f t="shared" si="0"/>
        <v>3500</v>
      </c>
    </row>
    <row r="8" spans="2:20" x14ac:dyDescent="0.2">
      <c r="B8" s="395"/>
      <c r="C8" s="395"/>
      <c r="D8" s="4" t="s">
        <v>3966</v>
      </c>
      <c r="E8" s="68" t="s">
        <v>3823</v>
      </c>
      <c r="F8" s="89">
        <v>60</v>
      </c>
      <c r="G8" s="2">
        <v>100</v>
      </c>
      <c r="H8" s="89">
        <f t="shared" si="0"/>
        <v>6000</v>
      </c>
    </row>
    <row r="9" spans="2:20" x14ac:dyDescent="0.2">
      <c r="B9" s="395"/>
      <c r="C9" s="395"/>
      <c r="D9" s="4" t="s">
        <v>3967</v>
      </c>
      <c r="E9" s="68" t="s">
        <v>3823</v>
      </c>
      <c r="F9" s="89">
        <v>60</v>
      </c>
      <c r="G9" s="2">
        <v>20</v>
      </c>
      <c r="H9" s="89">
        <f t="shared" si="0"/>
        <v>1200</v>
      </c>
    </row>
    <row r="10" spans="2:20" x14ac:dyDescent="0.2">
      <c r="B10" s="395"/>
      <c r="C10" s="395"/>
      <c r="D10" s="4" t="s">
        <v>3968</v>
      </c>
      <c r="E10" s="68" t="s">
        <v>3823</v>
      </c>
      <c r="F10" s="89">
        <v>60</v>
      </c>
      <c r="G10" s="2">
        <v>15</v>
      </c>
      <c r="H10" s="89">
        <f t="shared" si="0"/>
        <v>900</v>
      </c>
    </row>
    <row r="11" spans="2:20" x14ac:dyDescent="0.2">
      <c r="B11" s="395"/>
      <c r="C11" s="395"/>
      <c r="D11" s="4" t="s">
        <v>3969</v>
      </c>
      <c r="E11" s="68" t="s">
        <v>4002</v>
      </c>
      <c r="F11" s="89">
        <v>20.7</v>
      </c>
      <c r="G11" s="2">
        <v>750</v>
      </c>
      <c r="H11" s="89">
        <f t="shared" si="0"/>
        <v>15525</v>
      </c>
    </row>
    <row r="12" spans="2:20" x14ac:dyDescent="0.2">
      <c r="B12" s="395"/>
      <c r="C12" s="395"/>
      <c r="D12" s="4" t="s">
        <v>3970</v>
      </c>
      <c r="E12" s="68" t="s">
        <v>4002</v>
      </c>
      <c r="F12" s="89">
        <v>12.7</v>
      </c>
      <c r="G12" s="2">
        <v>85</v>
      </c>
      <c r="H12" s="89">
        <f t="shared" si="0"/>
        <v>1079.5</v>
      </c>
    </row>
    <row r="13" spans="2:20" x14ac:dyDescent="0.2">
      <c r="B13" s="395"/>
      <c r="C13" s="395"/>
      <c r="D13" s="4" t="s">
        <v>3971</v>
      </c>
      <c r="E13" s="68" t="s">
        <v>4002</v>
      </c>
      <c r="F13" s="89">
        <v>9.1999999999999993</v>
      </c>
      <c r="G13" s="2">
        <v>450</v>
      </c>
      <c r="H13" s="89">
        <f t="shared" si="0"/>
        <v>4140</v>
      </c>
    </row>
    <row r="14" spans="2:20" x14ac:dyDescent="0.2">
      <c r="B14" s="395"/>
      <c r="C14" s="395"/>
      <c r="D14" s="4" t="s">
        <v>3972</v>
      </c>
      <c r="E14" s="68" t="s">
        <v>4002</v>
      </c>
      <c r="F14" s="89">
        <v>5.2</v>
      </c>
      <c r="G14" s="2">
        <v>100</v>
      </c>
      <c r="H14" s="89">
        <f t="shared" si="0"/>
        <v>520</v>
      </c>
    </row>
    <row r="15" spans="2:20" x14ac:dyDescent="0.2">
      <c r="B15" s="395"/>
      <c r="C15" s="395"/>
      <c r="D15" s="4" t="s">
        <v>3973</v>
      </c>
      <c r="E15" s="68" t="s">
        <v>4004</v>
      </c>
      <c r="F15" s="89">
        <v>3</v>
      </c>
      <c r="G15" s="2">
        <v>300</v>
      </c>
      <c r="H15" s="89">
        <f t="shared" si="0"/>
        <v>900</v>
      </c>
    </row>
    <row r="16" spans="2:20" x14ac:dyDescent="0.2">
      <c r="B16" s="395"/>
      <c r="C16" s="395"/>
      <c r="D16" s="4" t="s">
        <v>3974</v>
      </c>
      <c r="E16" s="68" t="s">
        <v>4004</v>
      </c>
      <c r="F16" s="89">
        <v>3</v>
      </c>
      <c r="G16" s="2">
        <v>300</v>
      </c>
      <c r="H16" s="89">
        <f t="shared" si="0"/>
        <v>900</v>
      </c>
    </row>
    <row r="17" spans="2:8" x14ac:dyDescent="0.2">
      <c r="B17" s="395"/>
      <c r="C17" s="395"/>
      <c r="D17" s="4" t="s">
        <v>3975</v>
      </c>
      <c r="E17" s="68" t="s">
        <v>4004</v>
      </c>
      <c r="F17" s="89">
        <v>3</v>
      </c>
      <c r="G17" s="2">
        <v>120</v>
      </c>
      <c r="H17" s="89">
        <f t="shared" si="0"/>
        <v>360</v>
      </c>
    </row>
    <row r="18" spans="2:8" x14ac:dyDescent="0.2">
      <c r="B18" s="395"/>
      <c r="C18" s="395"/>
      <c r="D18" s="4" t="s">
        <v>3976</v>
      </c>
      <c r="E18" s="68" t="s">
        <v>4003</v>
      </c>
      <c r="F18" s="89">
        <v>2.4</v>
      </c>
      <c r="G18" s="2">
        <v>10000</v>
      </c>
      <c r="H18" s="89">
        <f t="shared" si="0"/>
        <v>24000</v>
      </c>
    </row>
    <row r="19" spans="2:8" x14ac:dyDescent="0.2">
      <c r="B19" s="395"/>
      <c r="C19" s="395"/>
      <c r="D19" s="4" t="s">
        <v>3977</v>
      </c>
      <c r="E19" s="68" t="s">
        <v>4001</v>
      </c>
      <c r="F19" s="89">
        <v>300</v>
      </c>
      <c r="G19" s="2">
        <v>58</v>
      </c>
      <c r="H19" s="89">
        <f t="shared" si="0"/>
        <v>17400</v>
      </c>
    </row>
    <row r="20" spans="2:8" x14ac:dyDescent="0.2">
      <c r="B20" s="395"/>
      <c r="C20" s="395"/>
      <c r="D20" s="4" t="s">
        <v>3978</v>
      </c>
      <c r="E20" s="68" t="s">
        <v>4003</v>
      </c>
      <c r="F20" s="89">
        <v>1.5</v>
      </c>
      <c r="G20" s="2">
        <v>26</v>
      </c>
      <c r="H20" s="89">
        <f t="shared" si="0"/>
        <v>39</v>
      </c>
    </row>
    <row r="21" spans="2:8" x14ac:dyDescent="0.2">
      <c r="B21" s="395"/>
      <c r="C21" s="395"/>
      <c r="D21" s="4" t="s">
        <v>3979</v>
      </c>
      <c r="E21" s="68" t="s">
        <v>4003</v>
      </c>
      <c r="F21" s="89">
        <v>1.5</v>
      </c>
      <c r="G21" s="2">
        <v>20</v>
      </c>
      <c r="H21" s="89">
        <f t="shared" si="0"/>
        <v>30</v>
      </c>
    </row>
    <row r="22" spans="2:8" x14ac:dyDescent="0.2">
      <c r="B22" s="395"/>
      <c r="C22" s="395"/>
      <c r="D22" s="4" t="s">
        <v>3980</v>
      </c>
      <c r="E22" s="68" t="s">
        <v>4003</v>
      </c>
      <c r="F22" s="89">
        <v>3</v>
      </c>
      <c r="G22" s="2">
        <v>80</v>
      </c>
      <c r="H22" s="89">
        <f t="shared" si="0"/>
        <v>240</v>
      </c>
    </row>
    <row r="23" spans="2:8" x14ac:dyDescent="0.2">
      <c r="B23" s="395"/>
      <c r="C23" s="395"/>
      <c r="D23" s="4" t="s">
        <v>3981</v>
      </c>
      <c r="E23" s="68" t="s">
        <v>4003</v>
      </c>
      <c r="F23" s="89">
        <v>0.5</v>
      </c>
      <c r="G23" s="2">
        <v>50</v>
      </c>
      <c r="H23" s="89">
        <f t="shared" si="0"/>
        <v>25</v>
      </c>
    </row>
    <row r="24" spans="2:8" x14ac:dyDescent="0.2">
      <c r="B24" s="395"/>
      <c r="C24" s="395"/>
      <c r="D24" s="4" t="s">
        <v>3982</v>
      </c>
      <c r="E24" s="68" t="s">
        <v>3998</v>
      </c>
      <c r="F24" s="89">
        <v>50</v>
      </c>
      <c r="G24" s="2">
        <v>1</v>
      </c>
      <c r="H24" s="89">
        <f t="shared" si="0"/>
        <v>50</v>
      </c>
    </row>
    <row r="25" spans="2:8" x14ac:dyDescent="0.2">
      <c r="B25" s="395"/>
      <c r="C25" s="395"/>
      <c r="D25" s="4" t="s">
        <v>3983</v>
      </c>
      <c r="E25" s="68" t="s">
        <v>4003</v>
      </c>
      <c r="F25" s="89">
        <v>25</v>
      </c>
      <c r="G25" s="2">
        <v>26</v>
      </c>
      <c r="H25" s="89">
        <f t="shared" si="0"/>
        <v>650</v>
      </c>
    </row>
    <row r="26" spans="2:8" x14ac:dyDescent="0.2">
      <c r="B26" s="395"/>
      <c r="C26" s="395"/>
      <c r="D26" s="4" t="s">
        <v>3984</v>
      </c>
      <c r="E26" s="68" t="s">
        <v>4003</v>
      </c>
      <c r="F26" s="89">
        <v>10</v>
      </c>
      <c r="G26" s="2">
        <v>13</v>
      </c>
      <c r="H26" s="89">
        <f t="shared" si="0"/>
        <v>130</v>
      </c>
    </row>
    <row r="27" spans="2:8" x14ac:dyDescent="0.2">
      <c r="B27" s="395"/>
      <c r="C27" s="395"/>
      <c r="D27" s="4" t="s">
        <v>3985</v>
      </c>
      <c r="E27" s="68" t="s">
        <v>4003</v>
      </c>
      <c r="F27" s="89">
        <v>10</v>
      </c>
      <c r="G27" s="2">
        <v>6</v>
      </c>
      <c r="H27" s="89">
        <f t="shared" si="0"/>
        <v>60</v>
      </c>
    </row>
    <row r="28" spans="2:8" x14ac:dyDescent="0.2">
      <c r="B28" s="395"/>
      <c r="C28" s="395"/>
      <c r="D28" s="4" t="s">
        <v>3986</v>
      </c>
      <c r="E28" s="68" t="s">
        <v>3999</v>
      </c>
      <c r="F28" s="89">
        <v>270</v>
      </c>
      <c r="G28" s="2">
        <v>1</v>
      </c>
      <c r="H28" s="89">
        <f t="shared" si="0"/>
        <v>270</v>
      </c>
    </row>
    <row r="29" spans="2:8" x14ac:dyDescent="0.2">
      <c r="B29" s="395"/>
      <c r="C29" s="395"/>
      <c r="D29" s="4" t="s">
        <v>3987</v>
      </c>
      <c r="E29" s="68" t="s">
        <v>3999</v>
      </c>
      <c r="F29" s="89">
        <v>150</v>
      </c>
      <c r="G29" s="2">
        <v>6</v>
      </c>
      <c r="H29" s="89">
        <f t="shared" si="0"/>
        <v>900</v>
      </c>
    </row>
    <row r="30" spans="2:8" x14ac:dyDescent="0.2">
      <c r="B30" s="395"/>
      <c r="C30" s="395"/>
      <c r="D30" s="4" t="s">
        <v>3988</v>
      </c>
      <c r="E30" s="68" t="s">
        <v>3999</v>
      </c>
      <c r="F30" s="89">
        <v>95</v>
      </c>
      <c r="G30" s="2">
        <v>6</v>
      </c>
      <c r="H30" s="89">
        <f t="shared" si="0"/>
        <v>570</v>
      </c>
    </row>
    <row r="31" spans="2:8" x14ac:dyDescent="0.2">
      <c r="B31" s="395"/>
      <c r="C31" s="395"/>
      <c r="D31" s="4" t="s">
        <v>3989</v>
      </c>
      <c r="E31" s="68" t="s">
        <v>4003</v>
      </c>
      <c r="F31" s="89">
        <v>500</v>
      </c>
      <c r="G31" s="2">
        <v>1</v>
      </c>
      <c r="H31" s="89">
        <f t="shared" si="0"/>
        <v>500</v>
      </c>
    </row>
    <row r="32" spans="2:8" x14ac:dyDescent="0.2">
      <c r="B32" s="395"/>
      <c r="C32" s="395"/>
      <c r="D32" s="4" t="s">
        <v>3995</v>
      </c>
      <c r="E32" s="68" t="s">
        <v>4003</v>
      </c>
      <c r="F32" s="89">
        <v>220</v>
      </c>
      <c r="G32" s="2">
        <v>1</v>
      </c>
      <c r="H32" s="89">
        <f t="shared" si="0"/>
        <v>220</v>
      </c>
    </row>
    <row r="33" spans="2:17" x14ac:dyDescent="0.2">
      <c r="B33" s="395"/>
      <c r="C33" s="395"/>
      <c r="D33" s="4" t="s">
        <v>3990</v>
      </c>
      <c r="E33" s="68" t="s">
        <v>4003</v>
      </c>
      <c r="F33" s="89">
        <v>45</v>
      </c>
      <c r="G33" s="2">
        <v>5</v>
      </c>
      <c r="H33" s="89">
        <f t="shared" si="0"/>
        <v>225</v>
      </c>
    </row>
    <row r="34" spans="2:17" x14ac:dyDescent="0.2">
      <c r="B34" s="395"/>
      <c r="C34" s="395"/>
      <c r="D34" s="4" t="s">
        <v>3991</v>
      </c>
      <c r="E34" s="68" t="s">
        <v>4003</v>
      </c>
      <c r="F34" s="89">
        <v>603</v>
      </c>
      <c r="G34" s="2">
        <v>1</v>
      </c>
      <c r="H34" s="89">
        <f t="shared" si="0"/>
        <v>603</v>
      </c>
    </row>
    <row r="35" spans="2:17" x14ac:dyDescent="0.2">
      <c r="B35" s="395"/>
      <c r="C35" s="393"/>
      <c r="D35" s="4" t="s">
        <v>3992</v>
      </c>
      <c r="E35" s="68" t="s">
        <v>4000</v>
      </c>
      <c r="F35" s="89">
        <v>500</v>
      </c>
      <c r="G35" s="2">
        <v>1</v>
      </c>
      <c r="H35" s="89">
        <f t="shared" si="0"/>
        <v>500</v>
      </c>
    </row>
    <row r="36" spans="2:17" x14ac:dyDescent="0.2">
      <c r="B36" s="395"/>
      <c r="C36" s="55" t="s">
        <v>4034</v>
      </c>
      <c r="D36" s="55" t="s">
        <v>4009</v>
      </c>
      <c r="E36" s="59"/>
      <c r="F36" s="59"/>
      <c r="G36" s="59"/>
      <c r="H36" s="59"/>
      <c r="N36" t="s">
        <v>4022</v>
      </c>
      <c r="O36" t="s">
        <v>4023</v>
      </c>
      <c r="P36" t="s">
        <v>4024</v>
      </c>
      <c r="Q36" t="s">
        <v>4025</v>
      </c>
    </row>
    <row r="37" spans="2:17" x14ac:dyDescent="0.2">
      <c r="B37" s="395"/>
      <c r="C37" s="392"/>
      <c r="D37" s="4" t="s">
        <v>4010</v>
      </c>
      <c r="E37" s="115" t="s">
        <v>4020</v>
      </c>
      <c r="F37" s="89">
        <v>50</v>
      </c>
      <c r="G37" s="4">
        <f>+N37+O37+P37+Q37</f>
        <v>200</v>
      </c>
      <c r="H37" s="89">
        <f t="shared" si="0"/>
        <v>10000</v>
      </c>
      <c r="N37">
        <v>50</v>
      </c>
      <c r="O37">
        <v>50</v>
      </c>
      <c r="P37">
        <v>50</v>
      </c>
      <c r="Q37">
        <v>50</v>
      </c>
    </row>
    <row r="38" spans="2:17" x14ac:dyDescent="0.2">
      <c r="B38" s="395"/>
      <c r="C38" s="395"/>
      <c r="D38" s="4" t="s">
        <v>4011</v>
      </c>
      <c r="E38" s="115" t="s">
        <v>4020</v>
      </c>
      <c r="F38" s="89">
        <v>35</v>
      </c>
      <c r="G38" s="4">
        <f>SUM(N37:Q37)</f>
        <v>200</v>
      </c>
      <c r="H38" s="89">
        <f t="shared" si="0"/>
        <v>7000</v>
      </c>
      <c r="N38">
        <f>+SUM(N37:Q37)-10</f>
        <v>190</v>
      </c>
    </row>
    <row r="39" spans="2:17" x14ac:dyDescent="0.2">
      <c r="B39" s="395"/>
      <c r="C39" s="395"/>
      <c r="D39" s="4" t="s">
        <v>4021</v>
      </c>
      <c r="E39" s="115" t="s">
        <v>4003</v>
      </c>
      <c r="F39" s="89">
        <v>120</v>
      </c>
      <c r="G39" s="4">
        <v>60</v>
      </c>
      <c r="H39" s="89">
        <f t="shared" si="0"/>
        <v>7200</v>
      </c>
      <c r="N39">
        <f>+N38*5.8</f>
        <v>1102</v>
      </c>
    </row>
    <row r="40" spans="2:17" x14ac:dyDescent="0.2">
      <c r="B40" s="395"/>
      <c r="C40" s="395"/>
      <c r="D40" s="4" t="s">
        <v>4012</v>
      </c>
      <c r="E40" s="115" t="s">
        <v>4003</v>
      </c>
      <c r="F40" s="89">
        <v>180</v>
      </c>
      <c r="G40" s="4">
        <v>64</v>
      </c>
      <c r="H40" s="89">
        <f t="shared" si="0"/>
        <v>11520</v>
      </c>
    </row>
    <row r="41" spans="2:17" x14ac:dyDescent="0.2">
      <c r="B41" s="395"/>
      <c r="C41" s="395"/>
      <c r="D41" s="4" t="s">
        <v>4013</v>
      </c>
      <c r="E41" s="115" t="s">
        <v>4003</v>
      </c>
      <c r="F41" s="89">
        <v>200</v>
      </c>
      <c r="G41" s="4">
        <v>64</v>
      </c>
      <c r="H41" s="89">
        <f t="shared" si="0"/>
        <v>12800</v>
      </c>
    </row>
    <row r="42" spans="2:17" x14ac:dyDescent="0.2">
      <c r="B42" s="395"/>
      <c r="C42" s="395"/>
      <c r="D42" s="4" t="s">
        <v>4014</v>
      </c>
      <c r="E42" s="115" t="s">
        <v>4020</v>
      </c>
      <c r="F42" s="89">
        <v>40</v>
      </c>
      <c r="G42" s="4">
        <f>+SUM(N37:Q37)</f>
        <v>200</v>
      </c>
      <c r="H42" s="89">
        <f t="shared" si="0"/>
        <v>8000</v>
      </c>
    </row>
    <row r="43" spans="2:17" x14ac:dyDescent="0.2">
      <c r="B43" s="395"/>
      <c r="C43" s="395"/>
      <c r="D43" s="4" t="s">
        <v>4015</v>
      </c>
      <c r="E43" s="115" t="s">
        <v>4020</v>
      </c>
      <c r="F43" s="89">
        <v>50</v>
      </c>
      <c r="G43" s="4">
        <f>SUM(N37:Q37)</f>
        <v>200</v>
      </c>
      <c r="H43" s="89">
        <f t="shared" si="0"/>
        <v>10000</v>
      </c>
    </row>
    <row r="44" spans="2:17" x14ac:dyDescent="0.2">
      <c r="B44" s="395"/>
      <c r="C44" s="395"/>
      <c r="D44" s="4" t="s">
        <v>4026</v>
      </c>
      <c r="E44" s="115" t="s">
        <v>4001</v>
      </c>
      <c r="F44" s="89">
        <v>12</v>
      </c>
      <c r="G44" s="4">
        <f>(SUM(N37:Q37)-10)*5.8</f>
        <v>1102</v>
      </c>
      <c r="H44" s="89">
        <f t="shared" si="0"/>
        <v>13224</v>
      </c>
    </row>
    <row r="45" spans="2:17" x14ac:dyDescent="0.2">
      <c r="B45" s="395"/>
      <c r="C45" s="395"/>
      <c r="D45" s="4" t="s">
        <v>4017</v>
      </c>
      <c r="E45" s="115" t="s">
        <v>4020</v>
      </c>
      <c r="F45" s="89">
        <v>10</v>
      </c>
      <c r="G45" s="4">
        <f>3*5.8*G41</f>
        <v>1113.5999999999999</v>
      </c>
      <c r="H45" s="89">
        <f t="shared" si="0"/>
        <v>11136</v>
      </c>
    </row>
    <row r="46" spans="2:17" x14ac:dyDescent="0.2">
      <c r="B46" s="395"/>
      <c r="C46" s="395"/>
      <c r="D46" s="4" t="s">
        <v>4018</v>
      </c>
      <c r="E46" s="115" t="s">
        <v>4020</v>
      </c>
      <c r="F46" s="89">
        <v>10</v>
      </c>
      <c r="G46" s="4">
        <f>+G37*3</f>
        <v>600</v>
      </c>
      <c r="H46" s="89">
        <f t="shared" si="0"/>
        <v>6000</v>
      </c>
    </row>
    <row r="47" spans="2:17" x14ac:dyDescent="0.2">
      <c r="B47" s="393"/>
      <c r="C47" s="393"/>
      <c r="D47" s="4" t="s">
        <v>4019</v>
      </c>
      <c r="E47" s="115" t="s">
        <v>4000</v>
      </c>
      <c r="F47" s="89">
        <v>1500</v>
      </c>
      <c r="G47" s="4">
        <v>1</v>
      </c>
      <c r="H47" s="89">
        <f t="shared" si="0"/>
        <v>1500</v>
      </c>
    </row>
    <row r="48" spans="2:17" x14ac:dyDescent="0.2">
      <c r="B48" s="295" t="s">
        <v>3961</v>
      </c>
      <c r="C48" s="295"/>
      <c r="D48" s="295"/>
      <c r="E48" s="113" t="s">
        <v>3996</v>
      </c>
      <c r="F48" s="113" t="s">
        <v>4005</v>
      </c>
      <c r="G48" s="112" t="s">
        <v>4006</v>
      </c>
      <c r="H48" s="113" t="s">
        <v>4007</v>
      </c>
    </row>
    <row r="49" spans="2:8" x14ac:dyDescent="0.2">
      <c r="B49" s="119">
        <v>1</v>
      </c>
      <c r="C49" s="394" t="s">
        <v>4027</v>
      </c>
      <c r="D49" s="394"/>
      <c r="E49" s="392"/>
      <c r="F49" s="392"/>
      <c r="G49" s="392"/>
      <c r="H49" s="392"/>
    </row>
    <row r="50" spans="2:8" x14ac:dyDescent="0.2">
      <c r="B50" s="392"/>
      <c r="C50" s="55" t="s">
        <v>3963</v>
      </c>
      <c r="D50" s="55" t="s">
        <v>3964</v>
      </c>
      <c r="E50" s="393"/>
      <c r="F50" s="393"/>
      <c r="G50" s="393"/>
      <c r="H50" s="393"/>
    </row>
    <row r="51" spans="2:8" x14ac:dyDescent="0.2">
      <c r="B51" s="395"/>
      <c r="C51" s="392"/>
      <c r="D51" s="4" t="s">
        <v>3965</v>
      </c>
      <c r="E51" s="115" t="s">
        <v>3997</v>
      </c>
      <c r="F51" s="89">
        <v>24</v>
      </c>
      <c r="G51" s="4">
        <v>600</v>
      </c>
      <c r="H51" s="89">
        <f t="shared" ref="H51:H55" si="1">+G51*F51</f>
        <v>14400</v>
      </c>
    </row>
    <row r="52" spans="2:8" x14ac:dyDescent="0.2">
      <c r="B52" s="395"/>
      <c r="C52" s="395"/>
      <c r="D52" s="4" t="s">
        <v>3994</v>
      </c>
      <c r="E52" s="68" t="s">
        <v>3823</v>
      </c>
      <c r="F52" s="89">
        <v>70</v>
      </c>
      <c r="G52" s="4">
        <v>50</v>
      </c>
      <c r="H52" s="89">
        <f t="shared" si="1"/>
        <v>3500</v>
      </c>
    </row>
    <row r="53" spans="2:8" x14ac:dyDescent="0.2">
      <c r="B53" s="395"/>
      <c r="C53" s="395"/>
      <c r="D53" s="4" t="s">
        <v>3966</v>
      </c>
      <c r="E53" s="68" t="s">
        <v>3823</v>
      </c>
      <c r="F53" s="89">
        <v>60</v>
      </c>
      <c r="G53" s="4">
        <v>65</v>
      </c>
      <c r="H53" s="89">
        <f t="shared" si="1"/>
        <v>3900</v>
      </c>
    </row>
    <row r="54" spans="2:8" x14ac:dyDescent="0.2">
      <c r="B54" s="395"/>
      <c r="C54" s="395"/>
      <c r="D54" s="4" t="s">
        <v>4028</v>
      </c>
      <c r="E54" s="68" t="s">
        <v>3823</v>
      </c>
      <c r="F54" s="89">
        <v>60</v>
      </c>
      <c r="G54" s="4">
        <v>60</v>
      </c>
      <c r="H54" s="89">
        <f t="shared" si="1"/>
        <v>3600</v>
      </c>
    </row>
    <row r="55" spans="2:8" x14ac:dyDescent="0.2">
      <c r="B55" s="395"/>
      <c r="C55" s="393"/>
      <c r="D55" s="4" t="s">
        <v>4325</v>
      </c>
      <c r="E55" s="137" t="s">
        <v>4003</v>
      </c>
      <c r="F55" s="89">
        <v>1650</v>
      </c>
      <c r="G55" s="4">
        <v>1</v>
      </c>
      <c r="H55" s="89">
        <f t="shared" si="1"/>
        <v>1650</v>
      </c>
    </row>
    <row r="56" spans="2:8" x14ac:dyDescent="0.2">
      <c r="B56" s="395"/>
      <c r="C56" s="55" t="s">
        <v>4008</v>
      </c>
      <c r="D56" s="55" t="s">
        <v>4009</v>
      </c>
      <c r="E56" s="59"/>
      <c r="F56" s="59"/>
      <c r="G56" s="59"/>
      <c r="H56" s="59"/>
    </row>
    <row r="57" spans="2:8" x14ac:dyDescent="0.2">
      <c r="B57" s="395"/>
      <c r="C57" s="396"/>
      <c r="D57" s="4" t="s">
        <v>4029</v>
      </c>
      <c r="E57" s="68" t="s">
        <v>4001</v>
      </c>
      <c r="F57" s="89">
        <v>3</v>
      </c>
      <c r="G57" s="4">
        <f>+N37*O37</f>
        <v>2500</v>
      </c>
      <c r="H57" s="89">
        <f t="shared" ref="H57:H58" si="2">+G57*F57</f>
        <v>7500</v>
      </c>
    </row>
    <row r="58" spans="2:8" x14ac:dyDescent="0.2">
      <c r="B58" s="393"/>
      <c r="C58" s="397"/>
      <c r="D58" s="4" t="s">
        <v>4031</v>
      </c>
      <c r="E58" s="68" t="s">
        <v>4001</v>
      </c>
      <c r="F58" s="89">
        <v>5.5</v>
      </c>
      <c r="G58" s="4">
        <f>+N37*O37</f>
        <v>2500</v>
      </c>
      <c r="H58" s="89">
        <f t="shared" si="2"/>
        <v>13750</v>
      </c>
    </row>
    <row r="59" spans="2:8" x14ac:dyDescent="0.2">
      <c r="B59" s="295" t="s">
        <v>3961</v>
      </c>
      <c r="C59" s="295"/>
      <c r="D59" s="295"/>
      <c r="E59" s="113" t="s">
        <v>3996</v>
      </c>
      <c r="F59" s="113" t="s">
        <v>4005</v>
      </c>
      <c r="G59" s="112" t="s">
        <v>4006</v>
      </c>
      <c r="H59" s="113" t="s">
        <v>4007</v>
      </c>
    </row>
    <row r="60" spans="2:8" x14ac:dyDescent="0.2">
      <c r="B60" s="119">
        <v>3</v>
      </c>
      <c r="C60" s="394" t="s">
        <v>4032</v>
      </c>
      <c r="D60" s="394"/>
      <c r="E60" s="392"/>
      <c r="F60" s="392"/>
      <c r="G60" s="392"/>
      <c r="H60" s="392"/>
    </row>
    <row r="61" spans="2:8" x14ac:dyDescent="0.2">
      <c r="B61" s="392"/>
      <c r="C61" s="55" t="s">
        <v>4035</v>
      </c>
      <c r="D61" s="55" t="s">
        <v>3964</v>
      </c>
      <c r="E61" s="393"/>
      <c r="F61" s="393"/>
      <c r="G61" s="393"/>
      <c r="H61" s="393"/>
    </row>
    <row r="62" spans="2:8" x14ac:dyDescent="0.2">
      <c r="B62" s="395"/>
      <c r="C62" s="392"/>
      <c r="D62" s="4" t="s">
        <v>3965</v>
      </c>
      <c r="E62" s="68" t="s">
        <v>3997</v>
      </c>
      <c r="F62" s="89">
        <v>24</v>
      </c>
      <c r="G62" s="4">
        <v>250</v>
      </c>
      <c r="H62" s="89">
        <f t="shared" ref="H62:H102" si="3">+G62*F62</f>
        <v>6000</v>
      </c>
    </row>
    <row r="63" spans="2:8" x14ac:dyDescent="0.2">
      <c r="B63" s="395"/>
      <c r="C63" s="395"/>
      <c r="D63" s="4" t="s">
        <v>3994</v>
      </c>
      <c r="E63" s="68" t="s">
        <v>3823</v>
      </c>
      <c r="F63" s="89">
        <v>60</v>
      </c>
      <c r="G63" s="4">
        <v>10</v>
      </c>
      <c r="H63" s="89">
        <f t="shared" si="3"/>
        <v>600</v>
      </c>
    </row>
    <row r="64" spans="2:8" x14ac:dyDescent="0.2">
      <c r="B64" s="395"/>
      <c r="C64" s="395"/>
      <c r="D64" s="4" t="s">
        <v>3966</v>
      </c>
      <c r="E64" s="68" t="s">
        <v>3823</v>
      </c>
      <c r="F64" s="89">
        <v>60</v>
      </c>
      <c r="G64" s="4">
        <v>15</v>
      </c>
      <c r="H64" s="89">
        <f t="shared" si="3"/>
        <v>900</v>
      </c>
    </row>
    <row r="65" spans="2:8" x14ac:dyDescent="0.2">
      <c r="B65" s="395"/>
      <c r="C65" s="395"/>
      <c r="D65" s="4" t="s">
        <v>3967</v>
      </c>
      <c r="E65" s="68" t="s">
        <v>3823</v>
      </c>
      <c r="F65" s="89">
        <v>60</v>
      </c>
      <c r="G65" s="4">
        <v>15</v>
      </c>
      <c r="H65" s="89">
        <f t="shared" si="3"/>
        <v>900</v>
      </c>
    </row>
    <row r="66" spans="2:8" x14ac:dyDescent="0.2">
      <c r="B66" s="395"/>
      <c r="C66" s="395"/>
      <c r="D66" s="4" t="s">
        <v>4036</v>
      </c>
      <c r="E66" s="68" t="s">
        <v>4002</v>
      </c>
      <c r="F66" s="89">
        <v>22.7</v>
      </c>
      <c r="G66" s="4">
        <v>85</v>
      </c>
      <c r="H66" s="89">
        <f t="shared" si="3"/>
        <v>1929.5</v>
      </c>
    </row>
    <row r="67" spans="2:8" x14ac:dyDescent="0.2">
      <c r="B67" s="395"/>
      <c r="C67" s="395"/>
      <c r="D67" s="4" t="s">
        <v>3971</v>
      </c>
      <c r="E67" s="68" t="s">
        <v>4002</v>
      </c>
      <c r="F67" s="89">
        <v>9.1999999999999993</v>
      </c>
      <c r="G67" s="4">
        <v>35</v>
      </c>
      <c r="H67" s="89">
        <f t="shared" si="3"/>
        <v>322</v>
      </c>
    </row>
    <row r="68" spans="2:8" x14ac:dyDescent="0.2">
      <c r="B68" s="395"/>
      <c r="C68" s="395"/>
      <c r="D68" s="4" t="s">
        <v>3972</v>
      </c>
      <c r="E68" s="68" t="s">
        <v>4002</v>
      </c>
      <c r="F68" s="89">
        <v>5.2</v>
      </c>
      <c r="G68" s="4">
        <v>45</v>
      </c>
      <c r="H68" s="89">
        <f t="shared" si="3"/>
        <v>234</v>
      </c>
    </row>
    <row r="69" spans="2:8" x14ac:dyDescent="0.2">
      <c r="B69" s="395"/>
      <c r="C69" s="395"/>
      <c r="D69" s="4" t="s">
        <v>3973</v>
      </c>
      <c r="E69" s="68" t="s">
        <v>4004</v>
      </c>
      <c r="F69" s="89">
        <v>3</v>
      </c>
      <c r="G69" s="4">
        <v>50</v>
      </c>
      <c r="H69" s="89">
        <f t="shared" si="3"/>
        <v>150</v>
      </c>
    </row>
    <row r="70" spans="2:8" x14ac:dyDescent="0.2">
      <c r="B70" s="395"/>
      <c r="C70" s="395"/>
      <c r="D70" s="4" t="s">
        <v>3974</v>
      </c>
      <c r="E70" s="68" t="s">
        <v>4004</v>
      </c>
      <c r="F70" s="89">
        <v>3</v>
      </c>
      <c r="G70" s="4">
        <v>30</v>
      </c>
      <c r="H70" s="89">
        <f t="shared" si="3"/>
        <v>90</v>
      </c>
    </row>
    <row r="71" spans="2:8" x14ac:dyDescent="0.2">
      <c r="B71" s="395"/>
      <c r="C71" s="395"/>
      <c r="D71" s="4" t="s">
        <v>3975</v>
      </c>
      <c r="E71" s="68" t="s">
        <v>4004</v>
      </c>
      <c r="F71" s="89">
        <v>3</v>
      </c>
      <c r="G71" s="4">
        <v>60</v>
      </c>
      <c r="H71" s="89">
        <f t="shared" si="3"/>
        <v>180</v>
      </c>
    </row>
    <row r="72" spans="2:8" x14ac:dyDescent="0.2">
      <c r="B72" s="395"/>
      <c r="C72" s="395"/>
      <c r="D72" s="4" t="s">
        <v>3976</v>
      </c>
      <c r="E72" s="68" t="s">
        <v>4003</v>
      </c>
      <c r="F72" s="89">
        <v>2.4</v>
      </c>
      <c r="G72" s="4">
        <v>700</v>
      </c>
      <c r="H72" s="89">
        <f t="shared" si="3"/>
        <v>1680</v>
      </c>
    </row>
    <row r="73" spans="2:8" x14ac:dyDescent="0.2">
      <c r="B73" s="395"/>
      <c r="C73" s="395"/>
      <c r="D73" s="4" t="s">
        <v>4037</v>
      </c>
      <c r="E73" s="68" t="s">
        <v>4003</v>
      </c>
      <c r="F73" s="89">
        <v>2.7</v>
      </c>
      <c r="G73" s="4">
        <v>650</v>
      </c>
      <c r="H73" s="89">
        <f t="shared" si="3"/>
        <v>1755.0000000000002</v>
      </c>
    </row>
    <row r="74" spans="2:8" x14ac:dyDescent="0.2">
      <c r="B74" s="395"/>
      <c r="C74" s="395"/>
      <c r="D74" s="4" t="s">
        <v>4038</v>
      </c>
      <c r="E74" s="115" t="s">
        <v>4001</v>
      </c>
      <c r="F74" s="89">
        <v>150</v>
      </c>
      <c r="G74" s="4">
        <v>10</v>
      </c>
      <c r="H74" s="89">
        <f t="shared" si="3"/>
        <v>1500</v>
      </c>
    </row>
    <row r="75" spans="2:8" x14ac:dyDescent="0.2">
      <c r="B75" s="395"/>
      <c r="C75" s="395"/>
      <c r="D75" s="4" t="s">
        <v>4063</v>
      </c>
      <c r="E75" s="115" t="s">
        <v>4001</v>
      </c>
      <c r="F75" s="89">
        <v>110</v>
      </c>
      <c r="G75" s="4">
        <v>22</v>
      </c>
      <c r="H75" s="89">
        <f t="shared" si="3"/>
        <v>2420</v>
      </c>
    </row>
    <row r="76" spans="2:8" x14ac:dyDescent="0.2">
      <c r="B76" s="395"/>
      <c r="C76" s="395"/>
      <c r="D76" s="4" t="s">
        <v>4058</v>
      </c>
      <c r="E76" s="68" t="s">
        <v>3998</v>
      </c>
      <c r="F76" s="89">
        <v>22</v>
      </c>
      <c r="G76" s="4">
        <v>25</v>
      </c>
      <c r="H76" s="89">
        <f t="shared" si="3"/>
        <v>550</v>
      </c>
    </row>
    <row r="77" spans="2:8" x14ac:dyDescent="0.2">
      <c r="B77" s="395"/>
      <c r="C77" s="395"/>
      <c r="D77" s="4" t="s">
        <v>4039</v>
      </c>
      <c r="E77" s="68" t="s">
        <v>4061</v>
      </c>
      <c r="F77" s="89">
        <v>3</v>
      </c>
      <c r="G77" s="4">
        <v>15</v>
      </c>
      <c r="H77" s="89">
        <f t="shared" si="3"/>
        <v>45</v>
      </c>
    </row>
    <row r="78" spans="2:8" x14ac:dyDescent="0.2">
      <c r="B78" s="395"/>
      <c r="C78" s="395"/>
      <c r="D78" s="4" t="s">
        <v>4040</v>
      </c>
      <c r="E78" s="68" t="s">
        <v>4004</v>
      </c>
      <c r="F78" s="89">
        <v>3</v>
      </c>
      <c r="G78" s="4">
        <v>150</v>
      </c>
      <c r="H78" s="89">
        <f t="shared" si="3"/>
        <v>450</v>
      </c>
    </row>
    <row r="79" spans="2:8" x14ac:dyDescent="0.2">
      <c r="B79" s="395"/>
      <c r="C79" s="395"/>
      <c r="D79" s="4" t="s">
        <v>4064</v>
      </c>
      <c r="E79" s="115" t="s">
        <v>4001</v>
      </c>
      <c r="F79" s="89">
        <v>30</v>
      </c>
      <c r="G79" s="4">
        <v>100</v>
      </c>
      <c r="H79" s="89">
        <f t="shared" si="3"/>
        <v>3000</v>
      </c>
    </row>
    <row r="80" spans="2:8" x14ac:dyDescent="0.2">
      <c r="B80" s="395"/>
      <c r="C80" s="395"/>
      <c r="D80" s="4" t="s">
        <v>4041</v>
      </c>
      <c r="E80" s="115" t="s">
        <v>4001</v>
      </c>
      <c r="F80" s="89">
        <v>15</v>
      </c>
      <c r="G80" s="4">
        <v>40</v>
      </c>
      <c r="H80" s="89">
        <f t="shared" si="3"/>
        <v>600</v>
      </c>
    </row>
    <row r="81" spans="2:10" x14ac:dyDescent="0.2">
      <c r="B81" s="395"/>
      <c r="C81" s="395"/>
      <c r="D81" s="4" t="s">
        <v>4042</v>
      </c>
      <c r="E81" s="68" t="s">
        <v>4004</v>
      </c>
      <c r="F81" s="89">
        <v>5</v>
      </c>
      <c r="G81" s="4">
        <v>30</v>
      </c>
      <c r="H81" s="89">
        <f t="shared" si="3"/>
        <v>150</v>
      </c>
      <c r="J81" s="121"/>
    </row>
    <row r="82" spans="2:10" x14ac:dyDescent="0.2">
      <c r="B82" s="395"/>
      <c r="C82" s="395"/>
      <c r="D82" s="4" t="s">
        <v>4043</v>
      </c>
      <c r="E82" s="68" t="s">
        <v>4003</v>
      </c>
      <c r="F82" s="89">
        <v>250</v>
      </c>
      <c r="G82" s="4">
        <v>2</v>
      </c>
      <c r="H82" s="89">
        <f t="shared" si="3"/>
        <v>500</v>
      </c>
      <c r="J82" s="121"/>
    </row>
    <row r="83" spans="2:10" x14ac:dyDescent="0.2">
      <c r="B83" s="395"/>
      <c r="C83" s="395"/>
      <c r="D83" s="4" t="s">
        <v>4044</v>
      </c>
      <c r="E83" s="68" t="s">
        <v>4003</v>
      </c>
      <c r="F83" s="89">
        <v>100</v>
      </c>
      <c r="G83" s="4">
        <v>2</v>
      </c>
      <c r="H83" s="89">
        <f t="shared" si="3"/>
        <v>200</v>
      </c>
      <c r="J83" s="121"/>
    </row>
    <row r="84" spans="2:10" x14ac:dyDescent="0.2">
      <c r="B84" s="395"/>
      <c r="C84" s="395"/>
      <c r="D84" s="4" t="s">
        <v>4045</v>
      </c>
      <c r="E84" s="68" t="s">
        <v>4003</v>
      </c>
      <c r="F84" s="89">
        <v>23.5</v>
      </c>
      <c r="G84" s="4">
        <v>6</v>
      </c>
      <c r="H84" s="89">
        <f t="shared" si="3"/>
        <v>141</v>
      </c>
      <c r="J84" s="121"/>
    </row>
    <row r="85" spans="2:10" x14ac:dyDescent="0.2">
      <c r="B85" s="395"/>
      <c r="C85" s="395"/>
      <c r="D85" s="4" t="s">
        <v>4046</v>
      </c>
      <c r="E85" s="68" t="s">
        <v>4003</v>
      </c>
      <c r="F85" s="89">
        <v>10</v>
      </c>
      <c r="G85" s="4">
        <v>6</v>
      </c>
      <c r="H85" s="89">
        <f t="shared" si="3"/>
        <v>60</v>
      </c>
      <c r="J85" s="121"/>
    </row>
    <row r="86" spans="2:10" x14ac:dyDescent="0.2">
      <c r="B86" s="395"/>
      <c r="C86" s="395"/>
      <c r="D86" s="4" t="s">
        <v>4047</v>
      </c>
      <c r="E86" s="68" t="s">
        <v>4003</v>
      </c>
      <c r="F86" s="89">
        <v>10</v>
      </c>
      <c r="G86" s="4">
        <v>1</v>
      </c>
      <c r="H86" s="89">
        <f t="shared" si="3"/>
        <v>10</v>
      </c>
      <c r="J86" s="121"/>
    </row>
    <row r="87" spans="2:10" x14ac:dyDescent="0.2">
      <c r="B87" s="395"/>
      <c r="C87" s="395"/>
      <c r="D87" s="4" t="s">
        <v>4048</v>
      </c>
      <c r="E87" s="68" t="s">
        <v>4003</v>
      </c>
      <c r="F87" s="89">
        <v>7.2850000000000001</v>
      </c>
      <c r="G87" s="4">
        <v>2</v>
      </c>
      <c r="H87" s="89">
        <f t="shared" si="3"/>
        <v>14.57</v>
      </c>
      <c r="J87" s="121"/>
    </row>
    <row r="88" spans="2:10" x14ac:dyDescent="0.2">
      <c r="B88" s="395"/>
      <c r="C88" s="395"/>
      <c r="D88" s="4" t="s">
        <v>4049</v>
      </c>
      <c r="E88" s="68" t="s">
        <v>4000</v>
      </c>
      <c r="F88" s="89">
        <v>500</v>
      </c>
      <c r="G88" s="4">
        <v>1</v>
      </c>
      <c r="H88" s="89">
        <f t="shared" si="3"/>
        <v>500</v>
      </c>
      <c r="J88" s="121"/>
    </row>
    <row r="89" spans="2:10" x14ac:dyDescent="0.2">
      <c r="B89" s="395"/>
      <c r="C89" s="395"/>
      <c r="D89" s="4" t="s">
        <v>4050</v>
      </c>
      <c r="E89" s="68" t="s">
        <v>4003</v>
      </c>
      <c r="F89" s="89">
        <v>45</v>
      </c>
      <c r="G89" s="4">
        <v>2</v>
      </c>
      <c r="H89" s="89">
        <f t="shared" si="3"/>
        <v>90</v>
      </c>
      <c r="J89" s="121"/>
    </row>
    <row r="90" spans="2:10" x14ac:dyDescent="0.2">
      <c r="B90" s="395"/>
      <c r="C90" s="395"/>
      <c r="D90" s="4" t="s">
        <v>3978</v>
      </c>
      <c r="E90" s="68" t="s">
        <v>4003</v>
      </c>
      <c r="F90" s="89">
        <v>1.5</v>
      </c>
      <c r="G90" s="4">
        <v>10</v>
      </c>
      <c r="H90" s="89">
        <f t="shared" si="3"/>
        <v>15</v>
      </c>
      <c r="J90" s="121"/>
    </row>
    <row r="91" spans="2:10" x14ac:dyDescent="0.2">
      <c r="B91" s="395"/>
      <c r="C91" s="395"/>
      <c r="D91" s="4" t="s">
        <v>3979</v>
      </c>
      <c r="E91" s="68" t="s">
        <v>4003</v>
      </c>
      <c r="F91" s="89">
        <v>1.5</v>
      </c>
      <c r="G91" s="4">
        <v>20</v>
      </c>
      <c r="H91" s="89">
        <f t="shared" si="3"/>
        <v>30</v>
      </c>
      <c r="J91" s="121"/>
    </row>
    <row r="92" spans="2:10" x14ac:dyDescent="0.2">
      <c r="B92" s="395"/>
      <c r="C92" s="395"/>
      <c r="D92" s="4" t="s">
        <v>3980</v>
      </c>
      <c r="E92" s="68" t="s">
        <v>4003</v>
      </c>
      <c r="F92" s="89">
        <v>3</v>
      </c>
      <c r="G92" s="4">
        <v>50</v>
      </c>
      <c r="H92" s="89">
        <f t="shared" si="3"/>
        <v>150</v>
      </c>
      <c r="J92" s="121"/>
    </row>
    <row r="93" spans="2:10" x14ac:dyDescent="0.2">
      <c r="B93" s="395"/>
      <c r="C93" s="395"/>
      <c r="D93" s="4" t="s">
        <v>3981</v>
      </c>
      <c r="E93" s="68" t="s">
        <v>4003</v>
      </c>
      <c r="F93" s="89">
        <v>0.5</v>
      </c>
      <c r="G93" s="4">
        <v>60</v>
      </c>
      <c r="H93" s="89">
        <f t="shared" si="3"/>
        <v>30</v>
      </c>
      <c r="J93" s="121"/>
    </row>
    <row r="94" spans="2:10" x14ac:dyDescent="0.2">
      <c r="B94" s="395"/>
      <c r="C94" s="395"/>
      <c r="D94" s="4" t="s">
        <v>3982</v>
      </c>
      <c r="E94" s="68" t="s">
        <v>3998</v>
      </c>
      <c r="F94" s="89">
        <v>50</v>
      </c>
      <c r="G94" s="4">
        <v>1</v>
      </c>
      <c r="H94" s="89">
        <f t="shared" si="3"/>
        <v>50</v>
      </c>
      <c r="J94" s="121"/>
    </row>
    <row r="95" spans="2:10" x14ac:dyDescent="0.2">
      <c r="B95" s="395"/>
      <c r="C95" s="395"/>
      <c r="D95" s="4" t="s">
        <v>3983</v>
      </c>
      <c r="E95" s="68" t="s">
        <v>4003</v>
      </c>
      <c r="F95" s="89">
        <v>30</v>
      </c>
      <c r="G95" s="4">
        <v>10</v>
      </c>
      <c r="H95" s="89">
        <f t="shared" si="3"/>
        <v>300</v>
      </c>
      <c r="J95" s="121"/>
    </row>
    <row r="96" spans="2:10" x14ac:dyDescent="0.2">
      <c r="B96" s="395"/>
      <c r="C96" s="395"/>
      <c r="D96" s="4" t="s">
        <v>3984</v>
      </c>
      <c r="E96" s="68" t="s">
        <v>4003</v>
      </c>
      <c r="F96" s="89">
        <v>5</v>
      </c>
      <c r="G96" s="4">
        <v>10</v>
      </c>
      <c r="H96" s="89">
        <f t="shared" si="3"/>
        <v>50</v>
      </c>
      <c r="J96" s="121"/>
    </row>
    <row r="97" spans="2:10" x14ac:dyDescent="0.2">
      <c r="B97" s="395"/>
      <c r="C97" s="395"/>
      <c r="D97" s="4" t="s">
        <v>3985</v>
      </c>
      <c r="E97" s="68" t="s">
        <v>4003</v>
      </c>
      <c r="F97" s="89">
        <v>5</v>
      </c>
      <c r="G97" s="4">
        <v>10</v>
      </c>
      <c r="H97" s="89">
        <f t="shared" si="3"/>
        <v>50</v>
      </c>
      <c r="J97" s="121"/>
    </row>
    <row r="98" spans="2:10" x14ac:dyDescent="0.2">
      <c r="B98" s="395"/>
      <c r="C98" s="395"/>
      <c r="D98" s="4" t="s">
        <v>3987</v>
      </c>
      <c r="E98" s="68" t="s">
        <v>3999</v>
      </c>
      <c r="F98" s="89">
        <v>150</v>
      </c>
      <c r="G98" s="4">
        <v>4</v>
      </c>
      <c r="H98" s="89">
        <f t="shared" si="3"/>
        <v>600</v>
      </c>
      <c r="J98" s="121"/>
    </row>
    <row r="99" spans="2:10" x14ac:dyDescent="0.2">
      <c r="B99" s="395"/>
      <c r="C99" s="395"/>
      <c r="D99" s="4" t="s">
        <v>3988</v>
      </c>
      <c r="E99" s="68" t="s">
        <v>3999</v>
      </c>
      <c r="F99" s="89">
        <v>95</v>
      </c>
      <c r="G99" s="4">
        <v>4</v>
      </c>
      <c r="H99" s="89">
        <f t="shared" si="3"/>
        <v>380</v>
      </c>
      <c r="J99" s="121"/>
    </row>
    <row r="100" spans="2:10" x14ac:dyDescent="0.2">
      <c r="B100" s="395"/>
      <c r="C100" s="395"/>
      <c r="D100" s="4" t="s">
        <v>3989</v>
      </c>
      <c r="E100" s="68" t="s">
        <v>3999</v>
      </c>
      <c r="F100" s="89">
        <v>350</v>
      </c>
      <c r="G100" s="4">
        <v>1</v>
      </c>
      <c r="H100" s="89">
        <f t="shared" si="3"/>
        <v>350</v>
      </c>
      <c r="J100" s="121"/>
    </row>
    <row r="101" spans="2:10" x14ac:dyDescent="0.2">
      <c r="B101" s="395"/>
      <c r="C101" s="395"/>
      <c r="D101" s="4" t="s">
        <v>3990</v>
      </c>
      <c r="E101" s="68" t="s">
        <v>4003</v>
      </c>
      <c r="F101" s="89">
        <v>45</v>
      </c>
      <c r="G101" s="4">
        <v>2</v>
      </c>
      <c r="H101" s="89">
        <f t="shared" si="3"/>
        <v>90</v>
      </c>
      <c r="J101" s="121"/>
    </row>
    <row r="102" spans="2:10" x14ac:dyDescent="0.2">
      <c r="B102" s="395"/>
      <c r="C102" s="395"/>
      <c r="D102" s="4" t="s">
        <v>3992</v>
      </c>
      <c r="E102" s="68" t="s">
        <v>4000</v>
      </c>
      <c r="F102" s="89">
        <v>500</v>
      </c>
      <c r="G102" s="4">
        <v>1</v>
      </c>
      <c r="H102" s="89">
        <f t="shared" si="3"/>
        <v>500</v>
      </c>
      <c r="J102" s="121"/>
    </row>
    <row r="103" spans="2:10" x14ac:dyDescent="0.2">
      <c r="B103" s="295" t="s">
        <v>3961</v>
      </c>
      <c r="C103" s="295"/>
      <c r="D103" s="295"/>
      <c r="E103" s="113" t="s">
        <v>3996</v>
      </c>
      <c r="F103" s="113" t="s">
        <v>4005</v>
      </c>
      <c r="G103" s="112" t="s">
        <v>4006</v>
      </c>
      <c r="H103" s="113" t="s">
        <v>4007</v>
      </c>
    </row>
    <row r="104" spans="2:10" x14ac:dyDescent="0.2">
      <c r="B104" s="119">
        <v>3</v>
      </c>
      <c r="C104" s="394" t="s">
        <v>4032</v>
      </c>
      <c r="D104" s="394"/>
      <c r="E104" s="392"/>
      <c r="F104" s="392"/>
      <c r="G104" s="392"/>
      <c r="H104" s="392"/>
    </row>
    <row r="105" spans="2:10" x14ac:dyDescent="0.2">
      <c r="B105" s="120"/>
      <c r="C105" s="55" t="s">
        <v>4051</v>
      </c>
      <c r="D105" s="55" t="s">
        <v>4009</v>
      </c>
      <c r="E105" s="393"/>
      <c r="F105" s="393"/>
      <c r="G105" s="393"/>
      <c r="H105" s="393"/>
    </row>
    <row r="106" spans="2:10" x14ac:dyDescent="0.2">
      <c r="B106" s="120"/>
      <c r="C106" s="392"/>
      <c r="D106" s="4" t="s">
        <v>4052</v>
      </c>
      <c r="E106" s="68" t="s">
        <v>4003</v>
      </c>
      <c r="F106" s="89">
        <v>35</v>
      </c>
      <c r="G106" s="4">
        <v>35</v>
      </c>
      <c r="H106" s="89">
        <f t="shared" ref="H106:H121" si="4">+G106*F106</f>
        <v>1225</v>
      </c>
    </row>
    <row r="107" spans="2:10" x14ac:dyDescent="0.2">
      <c r="B107" s="120"/>
      <c r="C107" s="395"/>
      <c r="D107" s="4" t="s">
        <v>4053</v>
      </c>
      <c r="E107" s="115" t="s">
        <v>4020</v>
      </c>
      <c r="F107" s="89">
        <v>30</v>
      </c>
      <c r="G107" s="4">
        <v>30</v>
      </c>
      <c r="H107" s="89">
        <f t="shared" si="4"/>
        <v>900</v>
      </c>
    </row>
    <row r="108" spans="2:10" x14ac:dyDescent="0.2">
      <c r="B108" s="120"/>
      <c r="C108" s="395"/>
      <c r="D108" s="4" t="s">
        <v>4054</v>
      </c>
      <c r="E108" s="115" t="s">
        <v>4001</v>
      </c>
      <c r="F108" s="89">
        <v>20</v>
      </c>
      <c r="G108" s="4">
        <v>68</v>
      </c>
      <c r="H108" s="89">
        <f t="shared" si="4"/>
        <v>1360</v>
      </c>
    </row>
    <row r="109" spans="2:10" x14ac:dyDescent="0.2">
      <c r="B109" s="120"/>
      <c r="C109" s="395"/>
      <c r="D109" s="4" t="s">
        <v>4055</v>
      </c>
      <c r="E109" s="68" t="s">
        <v>4003</v>
      </c>
      <c r="F109" s="89">
        <v>70</v>
      </c>
      <c r="G109" s="4">
        <v>4</v>
      </c>
      <c r="H109" s="89">
        <f t="shared" si="4"/>
        <v>280</v>
      </c>
    </row>
    <row r="110" spans="2:10" x14ac:dyDescent="0.2">
      <c r="B110" s="120"/>
      <c r="C110" s="395"/>
      <c r="D110" s="4" t="s">
        <v>4016</v>
      </c>
      <c r="E110" s="115" t="s">
        <v>4001</v>
      </c>
      <c r="F110" s="89">
        <v>160</v>
      </c>
      <c r="G110" s="4">
        <v>4</v>
      </c>
      <c r="H110" s="89">
        <f t="shared" si="4"/>
        <v>640</v>
      </c>
    </row>
    <row r="111" spans="2:10" x14ac:dyDescent="0.2">
      <c r="B111" s="120"/>
      <c r="C111" s="395"/>
      <c r="D111" s="4" t="s">
        <v>4056</v>
      </c>
      <c r="E111" s="115" t="s">
        <v>4001</v>
      </c>
      <c r="F111" s="89">
        <v>40</v>
      </c>
      <c r="G111" s="4">
        <v>46</v>
      </c>
      <c r="H111" s="89">
        <f t="shared" si="4"/>
        <v>1840</v>
      </c>
    </row>
    <row r="112" spans="2:10" x14ac:dyDescent="0.2">
      <c r="B112" s="120"/>
      <c r="C112" s="395"/>
      <c r="D112" s="4" t="s">
        <v>4057</v>
      </c>
      <c r="E112" s="115" t="s">
        <v>4001</v>
      </c>
      <c r="F112" s="89">
        <v>60</v>
      </c>
      <c r="G112" s="4">
        <v>68</v>
      </c>
      <c r="H112" s="89">
        <f t="shared" si="4"/>
        <v>4080</v>
      </c>
    </row>
    <row r="113" spans="2:8" x14ac:dyDescent="0.2">
      <c r="B113" s="120"/>
      <c r="C113" s="395"/>
      <c r="D113" s="4" t="s">
        <v>4018</v>
      </c>
      <c r="E113" s="115" t="s">
        <v>4020</v>
      </c>
      <c r="F113" s="89">
        <v>1000</v>
      </c>
      <c r="G113" s="4">
        <v>1</v>
      </c>
      <c r="H113" s="89">
        <f t="shared" si="4"/>
        <v>1000</v>
      </c>
    </row>
    <row r="114" spans="2:8" x14ac:dyDescent="0.2">
      <c r="B114" s="120"/>
      <c r="C114" s="395"/>
      <c r="D114" s="4" t="s">
        <v>4058</v>
      </c>
      <c r="E114" s="115" t="s">
        <v>4001</v>
      </c>
      <c r="F114" s="89">
        <v>12</v>
      </c>
      <c r="G114" s="4">
        <v>60</v>
      </c>
      <c r="H114" s="89">
        <f t="shared" si="4"/>
        <v>720</v>
      </c>
    </row>
    <row r="115" spans="2:8" x14ac:dyDescent="0.2">
      <c r="B115" s="120"/>
      <c r="C115" s="395"/>
      <c r="D115" s="4" t="s">
        <v>4059</v>
      </c>
      <c r="E115" s="115" t="s">
        <v>4001</v>
      </c>
      <c r="F115" s="89">
        <v>15</v>
      </c>
      <c r="G115" s="4">
        <v>68</v>
      </c>
      <c r="H115" s="89">
        <f t="shared" si="4"/>
        <v>1020</v>
      </c>
    </row>
    <row r="116" spans="2:8" x14ac:dyDescent="0.2">
      <c r="B116" s="120"/>
      <c r="C116" s="395"/>
      <c r="D116" s="4" t="s">
        <v>4065</v>
      </c>
      <c r="E116" s="115" t="s">
        <v>4001</v>
      </c>
      <c r="F116" s="89">
        <v>10</v>
      </c>
      <c r="G116" s="4">
        <v>160</v>
      </c>
      <c r="H116" s="89">
        <f t="shared" si="4"/>
        <v>1600</v>
      </c>
    </row>
    <row r="117" spans="2:8" x14ac:dyDescent="0.2">
      <c r="B117" s="120"/>
      <c r="C117" s="395"/>
      <c r="D117" s="4" t="s">
        <v>4019</v>
      </c>
      <c r="E117" s="115" t="s">
        <v>4000</v>
      </c>
      <c r="F117" s="89">
        <v>10</v>
      </c>
      <c r="G117" s="4">
        <v>240</v>
      </c>
      <c r="H117" s="89">
        <f t="shared" si="4"/>
        <v>2400</v>
      </c>
    </row>
    <row r="118" spans="2:8" x14ac:dyDescent="0.2">
      <c r="B118" s="120"/>
      <c r="C118" s="395"/>
      <c r="D118" s="4" t="s">
        <v>4030</v>
      </c>
      <c r="E118" s="115" t="s">
        <v>4000</v>
      </c>
      <c r="F118" s="89">
        <v>6</v>
      </c>
      <c r="G118" s="4">
        <v>400</v>
      </c>
      <c r="H118" s="89">
        <f t="shared" si="4"/>
        <v>2400</v>
      </c>
    </row>
    <row r="119" spans="2:8" x14ac:dyDescent="0.2">
      <c r="B119" s="120"/>
      <c r="C119" s="395"/>
      <c r="D119" s="4" t="s">
        <v>4060</v>
      </c>
      <c r="E119" s="68" t="s">
        <v>4003</v>
      </c>
      <c r="F119" s="89">
        <v>6</v>
      </c>
      <c r="G119" s="4">
        <v>60</v>
      </c>
      <c r="H119" s="89">
        <f t="shared" si="4"/>
        <v>360</v>
      </c>
    </row>
    <row r="120" spans="2:8" x14ac:dyDescent="0.2">
      <c r="B120" s="119">
        <v>4</v>
      </c>
      <c r="C120" s="394" t="s">
        <v>3699</v>
      </c>
      <c r="D120" s="394"/>
      <c r="E120" s="59"/>
      <c r="F120" s="59"/>
      <c r="G120" s="59"/>
      <c r="H120" s="59"/>
    </row>
    <row r="121" spans="2:8" x14ac:dyDescent="0.2">
      <c r="B121" s="59"/>
      <c r="C121" s="59"/>
      <c r="D121" s="4" t="s">
        <v>4062</v>
      </c>
      <c r="E121" s="115" t="s">
        <v>4001</v>
      </c>
      <c r="F121" s="89">
        <v>6</v>
      </c>
      <c r="G121" s="2">
        <v>2500</v>
      </c>
      <c r="H121" s="89">
        <f t="shared" si="4"/>
        <v>15000</v>
      </c>
    </row>
    <row r="123" spans="2:8" x14ac:dyDescent="0.2">
      <c r="G123" t="s">
        <v>3572</v>
      </c>
      <c r="H123" s="118">
        <f>SUM(H5:H35)+SUM(H37:H47)+SUM(H51:H55)+SUM(H57:H58)+SUM(H62:H102)+SUM(H106:H119)+H121</f>
        <v>330707.57</v>
      </c>
    </row>
    <row r="125" spans="2:8" x14ac:dyDescent="0.2">
      <c r="B125" s="295" t="s">
        <v>3961</v>
      </c>
      <c r="C125" s="295"/>
      <c r="D125" s="295"/>
      <c r="E125" s="295" t="s">
        <v>4007</v>
      </c>
      <c r="F125" s="295"/>
    </row>
    <row r="126" spans="2:8" x14ac:dyDescent="0.2">
      <c r="B126" s="119">
        <v>1</v>
      </c>
      <c r="C126" s="394" t="s">
        <v>4027</v>
      </c>
      <c r="D126" s="394"/>
      <c r="E126" s="387">
        <f>+SUM(H51:H55)+SUM(H57:H58)</f>
        <v>48300</v>
      </c>
      <c r="F126" s="388"/>
    </row>
    <row r="127" spans="2:8" x14ac:dyDescent="0.2">
      <c r="B127" s="119">
        <v>2</v>
      </c>
      <c r="C127" s="394" t="s">
        <v>3962</v>
      </c>
      <c r="D127" s="394"/>
      <c r="E127" s="387">
        <f>SUM(H5:H35)+SUM(H37:H48)</f>
        <v>220016.5</v>
      </c>
      <c r="F127" s="388"/>
    </row>
    <row r="128" spans="2:8" x14ac:dyDescent="0.2">
      <c r="B128" s="119">
        <v>3</v>
      </c>
      <c r="C128" s="394" t="s">
        <v>4032</v>
      </c>
      <c r="D128" s="394"/>
      <c r="E128" s="387">
        <f>SUM(H62:H102)+SUM(H106:H119)</f>
        <v>47391.07</v>
      </c>
      <c r="F128" s="388"/>
    </row>
    <row r="129" spans="2:6" x14ac:dyDescent="0.2">
      <c r="B129" s="119">
        <v>4</v>
      </c>
      <c r="C129" s="394" t="s">
        <v>3699</v>
      </c>
      <c r="D129" s="394"/>
      <c r="E129" s="387">
        <f>+H121</f>
        <v>15000</v>
      </c>
      <c r="F129" s="388"/>
    </row>
    <row r="130" spans="2:6" x14ac:dyDescent="0.2">
      <c r="B130" s="295" t="s">
        <v>4066</v>
      </c>
      <c r="C130" s="295"/>
      <c r="D130" s="295"/>
      <c r="E130" s="389">
        <f>SUM(E126:F129)</f>
        <v>330707.57</v>
      </c>
      <c r="F130" s="390"/>
    </row>
  </sheetData>
  <mergeCells count="56">
    <mergeCell ref="B2:D2"/>
    <mergeCell ref="C3:D3"/>
    <mergeCell ref="C49:D49"/>
    <mergeCell ref="C60:D60"/>
    <mergeCell ref="C120:D120"/>
    <mergeCell ref="B4:B47"/>
    <mergeCell ref="C5:C35"/>
    <mergeCell ref="C37:C47"/>
    <mergeCell ref="B50:B58"/>
    <mergeCell ref="C57:C58"/>
    <mergeCell ref="C62:C102"/>
    <mergeCell ref="C106:C119"/>
    <mergeCell ref="C104:D104"/>
    <mergeCell ref="C51:C55"/>
    <mergeCell ref="H60:H61"/>
    <mergeCell ref="B48:D48"/>
    <mergeCell ref="B59:D59"/>
    <mergeCell ref="B61:B102"/>
    <mergeCell ref="E3:E4"/>
    <mergeCell ref="F3:F4"/>
    <mergeCell ref="G3:G4"/>
    <mergeCell ref="H3:H4"/>
    <mergeCell ref="E49:E50"/>
    <mergeCell ref="F49:F50"/>
    <mergeCell ref="G49:G50"/>
    <mergeCell ref="H49:H50"/>
    <mergeCell ref="E104:E105"/>
    <mergeCell ref="F104:F105"/>
    <mergeCell ref="G104:G105"/>
    <mergeCell ref="E60:E61"/>
    <mergeCell ref="F60:F61"/>
    <mergeCell ref="G60:G61"/>
    <mergeCell ref="E129:F129"/>
    <mergeCell ref="B130:D130"/>
    <mergeCell ref="E130:F130"/>
    <mergeCell ref="K4:M4"/>
    <mergeCell ref="K5:M5"/>
    <mergeCell ref="H104:H105"/>
    <mergeCell ref="B125:D125"/>
    <mergeCell ref="C126:D126"/>
    <mergeCell ref="C127:D127"/>
    <mergeCell ref="C128:D128"/>
    <mergeCell ref="C129:D129"/>
    <mergeCell ref="E125:F125"/>
    <mergeCell ref="E126:F126"/>
    <mergeCell ref="E127:F127"/>
    <mergeCell ref="E128:F128"/>
    <mergeCell ref="B103:D103"/>
    <mergeCell ref="R2:R3"/>
    <mergeCell ref="S2:S3"/>
    <mergeCell ref="T2:T3"/>
    <mergeCell ref="K2:M3"/>
    <mergeCell ref="N2:N3"/>
    <mergeCell ref="O2:O3"/>
    <mergeCell ref="P2:P3"/>
    <mergeCell ref="Q2:Q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7"/>
  <sheetViews>
    <sheetView workbookViewId="0">
      <selection activeCell="L18" sqref="L18"/>
    </sheetView>
  </sheetViews>
  <sheetFormatPr baseColWidth="10" defaultRowHeight="16" x14ac:dyDescent="0.2"/>
  <cols>
    <col min="2" max="2" width="13" bestFit="1" customWidth="1"/>
    <col min="14" max="14" width="13" bestFit="1" customWidth="1"/>
  </cols>
  <sheetData>
    <row r="2" spans="2:20" x14ac:dyDescent="0.2">
      <c r="B2" s="4" t="s">
        <v>30</v>
      </c>
      <c r="C2" s="4">
        <v>2007</v>
      </c>
      <c r="D2" s="4">
        <v>2008</v>
      </c>
      <c r="E2" s="4">
        <v>2009</v>
      </c>
      <c r="F2" s="4">
        <v>2010</v>
      </c>
      <c r="G2" s="4">
        <v>2011</v>
      </c>
      <c r="H2" s="4">
        <v>2012</v>
      </c>
      <c r="I2" s="4">
        <v>2013</v>
      </c>
      <c r="J2" s="4">
        <v>2014</v>
      </c>
      <c r="K2" s="4">
        <v>2015</v>
      </c>
      <c r="L2" s="4">
        <v>2016</v>
      </c>
      <c r="M2" s="6"/>
      <c r="N2" s="4" t="s">
        <v>30</v>
      </c>
      <c r="O2" s="4">
        <v>2014</v>
      </c>
    </row>
    <row r="3" spans="2:20" x14ac:dyDescent="0.2">
      <c r="B3" s="4" t="s">
        <v>8</v>
      </c>
      <c r="C3" s="9">
        <v>9.2359839485066694E-2</v>
      </c>
      <c r="D3" s="9">
        <v>0.11109444207640995</v>
      </c>
      <c r="E3" s="9">
        <v>0.12917225186669107</v>
      </c>
      <c r="F3" s="9">
        <v>0.12844539053765267</v>
      </c>
      <c r="G3" s="9">
        <v>0.12944071086148756</v>
      </c>
      <c r="H3" s="9">
        <v>0.12977990808014933</v>
      </c>
      <c r="I3" s="9">
        <v>0.12774221729446647</v>
      </c>
      <c r="J3" s="9">
        <v>0.15615645714643342</v>
      </c>
      <c r="K3" s="9">
        <v>0.1341954927194387</v>
      </c>
      <c r="L3" s="9">
        <v>0.17894808912012575</v>
      </c>
      <c r="M3" s="6"/>
      <c r="N3" s="4" t="s">
        <v>11</v>
      </c>
      <c r="O3" s="9">
        <v>0.73822722300592802</v>
      </c>
      <c r="P3" s="6"/>
      <c r="Q3" s="6"/>
      <c r="R3" s="6"/>
      <c r="S3" s="6"/>
      <c r="T3" s="6"/>
    </row>
    <row r="4" spans="2:20" x14ac:dyDescent="0.2">
      <c r="B4" s="4" t="s">
        <v>9</v>
      </c>
      <c r="C4" s="9">
        <v>0.27670097017517664</v>
      </c>
      <c r="D4" s="9">
        <v>0.30951016232659312</v>
      </c>
      <c r="E4" s="9">
        <v>0.34372437668756001</v>
      </c>
      <c r="F4" s="9">
        <v>0.35814555760149264</v>
      </c>
      <c r="G4" s="9">
        <v>0.36861111910279065</v>
      </c>
      <c r="H4" s="9">
        <v>0.33879067998182427</v>
      </c>
      <c r="I4" s="9">
        <v>0.252809327605372</v>
      </c>
      <c r="J4" s="9">
        <v>0.26511044230355352</v>
      </c>
      <c r="K4" s="9">
        <v>0.23251525626809758</v>
      </c>
      <c r="L4" s="9">
        <v>0.28080169230510965</v>
      </c>
      <c r="M4" s="6"/>
      <c r="N4" s="4" t="s">
        <v>16</v>
      </c>
      <c r="O4" s="9">
        <v>0.73607373833884804</v>
      </c>
      <c r="P4" s="6"/>
      <c r="Q4" s="6"/>
      <c r="R4" s="6"/>
      <c r="S4" s="6"/>
      <c r="T4" s="6"/>
    </row>
    <row r="5" spans="2:20" x14ac:dyDescent="0.2">
      <c r="B5" s="4" t="s">
        <v>10</v>
      </c>
      <c r="C5" s="9">
        <v>7.6262229431185574E-2</v>
      </c>
      <c r="D5" s="9">
        <v>7.8555197287042189E-2</v>
      </c>
      <c r="E5" s="9">
        <v>9.4222156861584666E-2</v>
      </c>
      <c r="F5" s="9">
        <v>8.0923128934906483E-2</v>
      </c>
      <c r="G5" s="9">
        <v>0.10254462438186812</v>
      </c>
      <c r="H5" s="9">
        <v>0.11365695836161745</v>
      </c>
      <c r="I5" s="9">
        <v>0.10239151015521439</v>
      </c>
      <c r="J5" s="9">
        <v>0.1536140738061289</v>
      </c>
      <c r="K5" s="9">
        <v>0.1353173282389627</v>
      </c>
      <c r="L5" s="9">
        <v>0.11842815354266228</v>
      </c>
      <c r="M5" s="6"/>
      <c r="N5" s="4" t="s">
        <v>27</v>
      </c>
      <c r="O5" s="9">
        <v>0.67943225930070938</v>
      </c>
      <c r="P5" s="6"/>
      <c r="Q5" s="6"/>
      <c r="R5" s="6"/>
      <c r="S5" s="6"/>
      <c r="T5" s="6"/>
    </row>
    <row r="6" spans="2:20" x14ac:dyDescent="0.2">
      <c r="B6" s="4" t="s">
        <v>11</v>
      </c>
      <c r="C6" s="9">
        <v>0.53156121474603668</v>
      </c>
      <c r="D6" s="9">
        <v>0.58670428454609735</v>
      </c>
      <c r="E6" s="9">
        <v>0.65525823707512576</v>
      </c>
      <c r="F6" s="9">
        <v>0.62765117719707164</v>
      </c>
      <c r="G6" s="9">
        <v>0.62756096702531527</v>
      </c>
      <c r="H6" s="9">
        <v>0.70018631787975694</v>
      </c>
      <c r="I6" s="9">
        <v>0.66420414424393759</v>
      </c>
      <c r="J6" s="9">
        <v>0.67116306580567497</v>
      </c>
      <c r="K6" s="9">
        <v>0.69543020472655304</v>
      </c>
      <c r="L6" s="9">
        <v>0.73822722300592802</v>
      </c>
      <c r="M6" s="6"/>
      <c r="N6" s="4" t="s">
        <v>31</v>
      </c>
      <c r="O6" s="9">
        <v>0.67140327608520634</v>
      </c>
      <c r="P6" s="6"/>
      <c r="Q6" s="6"/>
      <c r="R6" s="6"/>
      <c r="S6" s="6"/>
      <c r="T6" s="6"/>
    </row>
    <row r="7" spans="2:20" x14ac:dyDescent="0.2">
      <c r="B7" s="4" t="s">
        <v>12</v>
      </c>
      <c r="C7" s="9">
        <v>0.13070698031339054</v>
      </c>
      <c r="D7" s="9">
        <v>0.12005753298398389</v>
      </c>
      <c r="E7" s="9">
        <v>0.11853780504544506</v>
      </c>
      <c r="F7" s="9">
        <v>0.1489679955874538</v>
      </c>
      <c r="G7" s="9">
        <v>0.15073504821073422</v>
      </c>
      <c r="H7" s="9">
        <v>0.13159147698665599</v>
      </c>
      <c r="I7" s="9">
        <v>0.13742450062033618</v>
      </c>
      <c r="J7" s="9">
        <v>0.15665656582538726</v>
      </c>
      <c r="K7" s="9">
        <v>0.1473461533986099</v>
      </c>
      <c r="L7" s="9">
        <v>0.17000256903771091</v>
      </c>
      <c r="M7" s="6"/>
      <c r="N7" s="4" t="s">
        <v>32</v>
      </c>
      <c r="O7" s="9">
        <v>0.65783179950347059</v>
      </c>
      <c r="P7" s="6"/>
      <c r="Q7" s="6"/>
      <c r="R7" s="6"/>
      <c r="S7" s="6"/>
      <c r="T7" s="6"/>
    </row>
    <row r="8" spans="2:20" x14ac:dyDescent="0.2">
      <c r="B8" s="4" t="s">
        <v>13</v>
      </c>
      <c r="C8" s="9">
        <v>0.11167383982168741</v>
      </c>
      <c r="D8" s="9">
        <v>0.11497426815041913</v>
      </c>
      <c r="E8" s="9">
        <v>0.1307574826896217</v>
      </c>
      <c r="F8" s="9">
        <v>0.15101057490397726</v>
      </c>
      <c r="G8" s="9">
        <v>0.20644646566051514</v>
      </c>
      <c r="H8" s="9">
        <v>0.21589436344281399</v>
      </c>
      <c r="I8" s="9">
        <v>0.18859595790171768</v>
      </c>
      <c r="J8" s="9">
        <v>0.13618928170315722</v>
      </c>
      <c r="K8" s="9">
        <v>0.1743704539422479</v>
      </c>
      <c r="L8" s="9">
        <v>0.16082711208027817</v>
      </c>
      <c r="M8" s="6"/>
      <c r="N8" s="4" t="s">
        <v>28</v>
      </c>
      <c r="O8" s="9">
        <v>0.58220527962675817</v>
      </c>
      <c r="P8" s="6"/>
      <c r="Q8" s="6"/>
      <c r="R8" s="6"/>
      <c r="S8" s="6"/>
      <c r="T8" s="6"/>
    </row>
    <row r="9" spans="2:20" x14ac:dyDescent="0.2">
      <c r="B9" s="4" t="s">
        <v>32</v>
      </c>
      <c r="C9" s="9">
        <v>0.78832969170635225</v>
      </c>
      <c r="D9" s="9">
        <v>0.63753684149632417</v>
      </c>
      <c r="E9" s="9">
        <v>0.5733954866301193</v>
      </c>
      <c r="F9" s="9">
        <v>0.60554502690222989</v>
      </c>
      <c r="G9" s="9">
        <v>0.55479399780835614</v>
      </c>
      <c r="H9" s="9">
        <v>0.58830825930055919</v>
      </c>
      <c r="I9" s="9">
        <v>0.50999756803150575</v>
      </c>
      <c r="J9" s="9">
        <v>0.60506041286425472</v>
      </c>
      <c r="K9" s="9">
        <v>0.63462117648825445</v>
      </c>
      <c r="L9" s="9">
        <v>0.65783179950347059</v>
      </c>
      <c r="M9" s="6"/>
      <c r="N9" s="4" t="s">
        <v>22</v>
      </c>
      <c r="O9" s="9">
        <v>0.5442652495405752</v>
      </c>
      <c r="P9" s="6"/>
      <c r="Q9" s="6"/>
      <c r="R9" s="6"/>
      <c r="S9" s="6"/>
      <c r="T9" s="6"/>
    </row>
    <row r="10" spans="2:20" x14ac:dyDescent="0.2">
      <c r="B10" s="4" t="s">
        <v>14</v>
      </c>
      <c r="C10" s="9">
        <v>0.23400583188570459</v>
      </c>
      <c r="D10" s="9">
        <v>0.21907033261834202</v>
      </c>
      <c r="E10" s="9">
        <v>0.2130061823809323</v>
      </c>
      <c r="F10" s="9">
        <v>0.26633298720386933</v>
      </c>
      <c r="G10" s="9">
        <v>0.28005427617093703</v>
      </c>
      <c r="H10" s="9">
        <v>0.2767154572828463</v>
      </c>
      <c r="I10" s="9">
        <v>0.28337070754572907</v>
      </c>
      <c r="J10" s="9">
        <v>0.27012982708266492</v>
      </c>
      <c r="K10" s="9">
        <v>0.28975057041645097</v>
      </c>
      <c r="L10" s="9">
        <v>0.30306691133805552</v>
      </c>
      <c r="M10" s="6"/>
      <c r="N10" s="4" t="s">
        <v>19</v>
      </c>
      <c r="O10" s="9">
        <v>0.46877782799450574</v>
      </c>
      <c r="P10" s="6"/>
      <c r="Q10" s="6"/>
      <c r="R10" s="6"/>
      <c r="S10" s="6"/>
      <c r="T10" s="6"/>
    </row>
    <row r="11" spans="2:20" x14ac:dyDescent="0.2">
      <c r="B11" s="4" t="s">
        <v>15</v>
      </c>
      <c r="C11" s="9">
        <v>9.150510890030232E-2</v>
      </c>
      <c r="D11" s="9">
        <v>0.10964614961973038</v>
      </c>
      <c r="E11" s="9">
        <v>0.1331571738346638</v>
      </c>
      <c r="F11" s="9">
        <v>0.12530927472662279</v>
      </c>
      <c r="G11" s="9">
        <v>0.11687741993168749</v>
      </c>
      <c r="H11" s="9">
        <v>0.12151596622991935</v>
      </c>
      <c r="I11" s="9">
        <v>0.10994417629463253</v>
      </c>
      <c r="J11" s="9">
        <v>0.10091273380563469</v>
      </c>
      <c r="K11" s="9">
        <v>0.14165483408280513</v>
      </c>
      <c r="L11" s="9">
        <v>0.1405448433174567</v>
      </c>
      <c r="M11" s="6"/>
      <c r="N11" s="4" t="s">
        <v>18</v>
      </c>
      <c r="O11" s="9">
        <v>0.43013404350869794</v>
      </c>
      <c r="P11" s="6"/>
      <c r="Q11" s="6"/>
      <c r="R11" s="6"/>
      <c r="S11" s="6"/>
      <c r="T11" s="6"/>
    </row>
    <row r="12" spans="2:20" x14ac:dyDescent="0.2">
      <c r="B12" s="4" t="s">
        <v>7</v>
      </c>
      <c r="C12" s="9">
        <v>0.16070524406900036</v>
      </c>
      <c r="D12" s="9">
        <v>0.19468182544123991</v>
      </c>
      <c r="E12" s="9">
        <v>0.19863299285742222</v>
      </c>
      <c r="F12" s="9">
        <v>0.21981905138295316</v>
      </c>
      <c r="G12" s="9">
        <v>0.2066740837067747</v>
      </c>
      <c r="H12" s="9">
        <v>0.23568975432448766</v>
      </c>
      <c r="I12" s="9">
        <v>0.21170886269608458</v>
      </c>
      <c r="J12" s="9">
        <v>0.21950693929733964</v>
      </c>
      <c r="K12" s="9">
        <v>0.19871476321407919</v>
      </c>
      <c r="L12" s="9">
        <v>0.20944360063722542</v>
      </c>
      <c r="M12" s="6"/>
      <c r="N12" s="4" t="s">
        <v>17</v>
      </c>
      <c r="O12" s="9">
        <v>0.39961752783755045</v>
      </c>
      <c r="P12" s="6"/>
      <c r="Q12" s="6"/>
      <c r="R12" s="6"/>
      <c r="S12" s="6"/>
      <c r="T12" s="6"/>
    </row>
    <row r="13" spans="2:20" x14ac:dyDescent="0.2">
      <c r="B13" s="4" t="s">
        <v>16</v>
      </c>
      <c r="C13" s="9">
        <v>0.54571385669670325</v>
      </c>
      <c r="D13" s="9">
        <v>0.5008708468332479</v>
      </c>
      <c r="E13" s="9">
        <v>0.49898847611652336</v>
      </c>
      <c r="F13" s="9">
        <v>0.54145548134463672</v>
      </c>
      <c r="G13" s="9">
        <v>0.52994812907777511</v>
      </c>
      <c r="H13" s="9">
        <v>0.59591156009279578</v>
      </c>
      <c r="I13" s="9">
        <v>0.61451250990610495</v>
      </c>
      <c r="J13" s="9">
        <v>0.67763505149813152</v>
      </c>
      <c r="K13" s="9">
        <v>0.74480580059135904</v>
      </c>
      <c r="L13" s="9">
        <v>0.73607373833884804</v>
      </c>
      <c r="M13" s="6"/>
      <c r="N13" s="4" t="s">
        <v>23</v>
      </c>
      <c r="O13" s="9">
        <v>0.3651013537655215</v>
      </c>
      <c r="P13" s="6"/>
      <c r="Q13" s="6"/>
      <c r="R13" s="6"/>
      <c r="S13" s="6"/>
      <c r="T13" s="6"/>
    </row>
    <row r="14" spans="2:20" x14ac:dyDescent="0.2">
      <c r="B14" s="4" t="s">
        <v>17</v>
      </c>
      <c r="C14" s="9">
        <v>0.29583648110329175</v>
      </c>
      <c r="D14" s="9">
        <v>0.30679880433755125</v>
      </c>
      <c r="E14" s="9">
        <v>0.34327851544182719</v>
      </c>
      <c r="F14" s="9">
        <v>0.34562622296803974</v>
      </c>
      <c r="G14" s="9">
        <v>0.29801560358712775</v>
      </c>
      <c r="H14" s="9">
        <v>0.35770512459522558</v>
      </c>
      <c r="I14" s="9">
        <v>0.37744828216169285</v>
      </c>
      <c r="J14" s="9">
        <v>0.39401750961428039</v>
      </c>
      <c r="K14" s="9">
        <v>0.39398238949309783</v>
      </c>
      <c r="L14" s="9">
        <v>0.39961752783755045</v>
      </c>
      <c r="M14" s="6"/>
      <c r="N14" s="4" t="s">
        <v>25</v>
      </c>
      <c r="O14" s="9">
        <v>0.32790369924034046</v>
      </c>
      <c r="P14" s="6"/>
      <c r="Q14" s="6"/>
      <c r="R14" s="6"/>
      <c r="S14" s="6"/>
      <c r="T14" s="6"/>
    </row>
    <row r="15" spans="2:20" x14ac:dyDescent="0.2">
      <c r="B15" s="4" t="s">
        <v>18</v>
      </c>
      <c r="C15" s="9">
        <v>0.41175658992712466</v>
      </c>
      <c r="D15" s="9">
        <v>0.45344339734504713</v>
      </c>
      <c r="E15" s="9">
        <v>0.49166766918303262</v>
      </c>
      <c r="F15" s="9">
        <v>0.51058893774038683</v>
      </c>
      <c r="G15" s="9">
        <v>0.46488976234837898</v>
      </c>
      <c r="H15" s="9">
        <v>0.40052155834815173</v>
      </c>
      <c r="I15" s="9">
        <v>0.40491409960853025</v>
      </c>
      <c r="J15" s="9">
        <v>0.41428975668632922</v>
      </c>
      <c r="K15" s="9">
        <v>0.44175252357386496</v>
      </c>
      <c r="L15" s="9">
        <v>0.43013404350869794</v>
      </c>
      <c r="M15" s="6"/>
      <c r="N15" s="4" t="s">
        <v>21</v>
      </c>
      <c r="O15" s="9">
        <v>0.31809396331103751</v>
      </c>
      <c r="P15" s="6"/>
      <c r="Q15" s="6"/>
      <c r="R15" s="6"/>
      <c r="S15" s="6"/>
      <c r="T15" s="6"/>
    </row>
    <row r="16" spans="2:20" x14ac:dyDescent="0.2">
      <c r="B16" s="4" t="s">
        <v>19</v>
      </c>
      <c r="C16" s="9">
        <v>0.25584853499679877</v>
      </c>
      <c r="D16" s="9">
        <v>0.28632521122049231</v>
      </c>
      <c r="E16" s="9">
        <v>0.37747342269406348</v>
      </c>
      <c r="F16" s="9">
        <v>0.37485881701920548</v>
      </c>
      <c r="G16" s="9">
        <v>0.38120234346566501</v>
      </c>
      <c r="H16" s="9">
        <v>0.43496246485040618</v>
      </c>
      <c r="I16" s="9">
        <v>0.42896295591774442</v>
      </c>
      <c r="J16" s="9">
        <v>0.45331408455259026</v>
      </c>
      <c r="K16" s="9">
        <v>0.51447336642992558</v>
      </c>
      <c r="L16" s="9">
        <v>0.46877782799450574</v>
      </c>
      <c r="M16" s="6"/>
      <c r="N16" s="4" t="s">
        <v>24</v>
      </c>
      <c r="O16" s="9">
        <v>0.31633788128284612</v>
      </c>
      <c r="P16" s="6"/>
      <c r="Q16" s="6"/>
      <c r="R16" s="6"/>
      <c r="S16" s="6"/>
      <c r="T16" s="6"/>
    </row>
    <row r="17" spans="2:20" x14ac:dyDescent="0.2">
      <c r="B17" s="4" t="s">
        <v>31</v>
      </c>
      <c r="C17" s="9">
        <v>0.73369920774860531</v>
      </c>
      <c r="D17" s="9">
        <v>0.64795302243314568</v>
      </c>
      <c r="E17" s="9">
        <v>0.62884030744068242</v>
      </c>
      <c r="F17" s="9">
        <v>0.58407827137307289</v>
      </c>
      <c r="G17" s="9">
        <v>0.58052320612331776</v>
      </c>
      <c r="H17" s="9">
        <v>0.58744072665207625</v>
      </c>
      <c r="I17" s="9">
        <v>0.52464300939347541</v>
      </c>
      <c r="J17" s="9">
        <v>0.587118489411111</v>
      </c>
      <c r="K17" s="9">
        <v>0.66483150282404058</v>
      </c>
      <c r="L17" s="9">
        <v>0.67140327608520634</v>
      </c>
      <c r="M17" s="6"/>
      <c r="N17" s="4" t="s">
        <v>14</v>
      </c>
      <c r="O17" s="9">
        <v>0.30306691133805552</v>
      </c>
      <c r="P17" s="6"/>
      <c r="Q17" s="6"/>
      <c r="R17" s="6"/>
      <c r="S17" s="6"/>
      <c r="T17" s="6"/>
    </row>
    <row r="18" spans="2:20" x14ac:dyDescent="0.2">
      <c r="B18" s="10" t="s">
        <v>20</v>
      </c>
      <c r="C18" s="9">
        <v>0.12134424230464941</v>
      </c>
      <c r="D18" s="9">
        <v>0.15637206538289389</v>
      </c>
      <c r="E18" s="9">
        <v>0.14225837943233605</v>
      </c>
      <c r="F18" s="9">
        <v>0.16964848742637945</v>
      </c>
      <c r="G18" s="9">
        <v>0.15916134678477947</v>
      </c>
      <c r="H18" s="9">
        <v>0.13003604532027016</v>
      </c>
      <c r="I18" s="9">
        <v>0.11458335486521284</v>
      </c>
      <c r="J18" s="9">
        <v>0.12232866150343903</v>
      </c>
      <c r="K18" s="9">
        <v>0.11923693074838425</v>
      </c>
      <c r="L18" s="9">
        <v>0.11168979006844637</v>
      </c>
      <c r="M18" s="6"/>
      <c r="N18" s="4" t="s">
        <v>9</v>
      </c>
      <c r="O18" s="9">
        <v>0.28080169230510965</v>
      </c>
      <c r="P18" s="6"/>
      <c r="Q18" s="6"/>
      <c r="R18" s="6"/>
      <c r="S18" s="6"/>
      <c r="T18" s="6"/>
    </row>
    <row r="19" spans="2:20" x14ac:dyDescent="0.2">
      <c r="B19" s="4" t="s">
        <v>21</v>
      </c>
      <c r="C19" s="9">
        <v>0.16775158429130779</v>
      </c>
      <c r="D19" s="9">
        <v>0.26002388652422792</v>
      </c>
      <c r="E19" s="9">
        <v>0.29863172210907846</v>
      </c>
      <c r="F19" s="9">
        <v>0.30139113945763202</v>
      </c>
      <c r="G19" s="9">
        <v>0.30029958936810308</v>
      </c>
      <c r="H19" s="9">
        <v>0.29658279077138866</v>
      </c>
      <c r="I19" s="9">
        <v>0.32115511424954984</v>
      </c>
      <c r="J19" s="9">
        <v>0.3124024136883321</v>
      </c>
      <c r="K19" s="9">
        <v>0.29115850964861767</v>
      </c>
      <c r="L19" s="9">
        <v>0.31809396331103751</v>
      </c>
      <c r="M19" s="6"/>
      <c r="N19" s="4" t="s">
        <v>26</v>
      </c>
      <c r="O19" s="9">
        <v>0.26926894427499526</v>
      </c>
      <c r="P19" s="6"/>
      <c r="Q19" s="6"/>
      <c r="R19" s="6"/>
      <c r="S19" s="6"/>
      <c r="T19" s="6"/>
    </row>
    <row r="20" spans="2:20" x14ac:dyDescent="0.2">
      <c r="B20" s="4" t="s">
        <v>22</v>
      </c>
      <c r="C20" s="9">
        <v>0.40857134800920125</v>
      </c>
      <c r="D20" s="9">
        <v>0.48085493436646548</v>
      </c>
      <c r="E20" s="9">
        <v>0.50036369427171179</v>
      </c>
      <c r="F20" s="9">
        <v>0.49295873963839149</v>
      </c>
      <c r="G20" s="9">
        <v>0.48715797635140662</v>
      </c>
      <c r="H20" s="9">
        <v>0.51397860576644727</v>
      </c>
      <c r="I20" s="9">
        <v>0.53160879779982362</v>
      </c>
      <c r="J20" s="9">
        <v>0.51432493757836362</v>
      </c>
      <c r="K20" s="9">
        <v>0.50851620240328921</v>
      </c>
      <c r="L20" s="9">
        <v>0.5442652495405752</v>
      </c>
      <c r="M20" s="6"/>
      <c r="N20" s="4" t="s">
        <v>29</v>
      </c>
      <c r="O20" s="9">
        <v>0.23699128099535016</v>
      </c>
      <c r="P20" s="6"/>
      <c r="Q20" s="6"/>
      <c r="R20" s="6"/>
      <c r="S20" s="6"/>
      <c r="T20" s="6"/>
    </row>
    <row r="21" spans="2:20" x14ac:dyDescent="0.2">
      <c r="B21" s="4" t="s">
        <v>23</v>
      </c>
      <c r="C21" s="9">
        <v>0.29776678551749713</v>
      </c>
      <c r="D21" s="9">
        <v>0.32674774391366285</v>
      </c>
      <c r="E21" s="9">
        <v>0.33978392518571321</v>
      </c>
      <c r="F21" s="9">
        <v>0.35429956260348761</v>
      </c>
      <c r="G21" s="9">
        <v>0.35441855599983896</v>
      </c>
      <c r="H21" s="9">
        <v>0.36530067454239168</v>
      </c>
      <c r="I21" s="9">
        <v>0.38905039617437887</v>
      </c>
      <c r="J21" s="9">
        <v>0.37807505104504496</v>
      </c>
      <c r="K21" s="9">
        <v>0.37033493167652215</v>
      </c>
      <c r="L21" s="9">
        <v>0.3651013537655215</v>
      </c>
      <c r="M21" s="6"/>
      <c r="N21" s="4" t="s">
        <v>7</v>
      </c>
      <c r="O21" s="9">
        <v>0.20944360063722542</v>
      </c>
      <c r="P21" s="6"/>
      <c r="Q21" s="6"/>
      <c r="R21" s="6"/>
      <c r="S21" s="6"/>
      <c r="T21" s="6"/>
    </row>
    <row r="22" spans="2:20" x14ac:dyDescent="0.2">
      <c r="B22" s="4" t="s">
        <v>24</v>
      </c>
      <c r="C22" s="9">
        <v>0.24099302628154287</v>
      </c>
      <c r="D22" s="9">
        <v>0.25843944093179017</v>
      </c>
      <c r="E22" s="9">
        <v>0.28179373104825561</v>
      </c>
      <c r="F22" s="9">
        <v>0.23619589124592871</v>
      </c>
      <c r="G22" s="9">
        <v>0.26203113932777322</v>
      </c>
      <c r="H22" s="9">
        <v>0.32435077827863784</v>
      </c>
      <c r="I22" s="9">
        <v>0.30144675093450451</v>
      </c>
      <c r="J22" s="9">
        <v>0.30286560828849135</v>
      </c>
      <c r="K22" s="9">
        <v>0.30492418211072014</v>
      </c>
      <c r="L22" s="9">
        <v>0.31633788128284612</v>
      </c>
      <c r="M22" s="6"/>
      <c r="N22" s="4" t="s">
        <v>8</v>
      </c>
      <c r="O22" s="9">
        <v>0.17894808912012575</v>
      </c>
      <c r="P22" s="6"/>
      <c r="Q22" s="6"/>
      <c r="R22" s="6"/>
      <c r="S22" s="6"/>
      <c r="T22" s="6"/>
    </row>
    <row r="23" spans="2:20" x14ac:dyDescent="0.2">
      <c r="B23" s="4" t="s">
        <v>25</v>
      </c>
      <c r="C23" s="9">
        <v>0.21298123995601742</v>
      </c>
      <c r="D23" s="9">
        <v>0.17735150991179655</v>
      </c>
      <c r="E23" s="9">
        <v>0.23632290674687847</v>
      </c>
      <c r="F23" s="9">
        <v>0.29120595025066415</v>
      </c>
      <c r="G23" s="9">
        <v>0.28201764209588326</v>
      </c>
      <c r="H23" s="9">
        <v>0.32744291175072526</v>
      </c>
      <c r="I23" s="9">
        <v>0.31978794944911376</v>
      </c>
      <c r="J23" s="9">
        <v>0.31351547853345235</v>
      </c>
      <c r="K23" s="9">
        <v>0.34695549462085684</v>
      </c>
      <c r="L23" s="9">
        <v>0.32790369924034046</v>
      </c>
      <c r="M23" s="6"/>
      <c r="N23" s="4" t="s">
        <v>12</v>
      </c>
      <c r="O23" s="9">
        <v>0.17000256903771091</v>
      </c>
      <c r="P23" s="6"/>
      <c r="Q23" s="6"/>
      <c r="R23" s="6"/>
      <c r="S23" s="6"/>
      <c r="T23" s="6"/>
    </row>
    <row r="24" spans="2:20" x14ac:dyDescent="0.2">
      <c r="B24" s="4" t="s">
        <v>26</v>
      </c>
      <c r="C24" s="9">
        <v>0.19119701141456782</v>
      </c>
      <c r="D24" s="9">
        <v>0.18838526282354959</v>
      </c>
      <c r="E24" s="9">
        <v>0.20304442256893587</v>
      </c>
      <c r="F24" s="9">
        <v>0.18209002601884525</v>
      </c>
      <c r="G24" s="9">
        <v>0.18302361875734097</v>
      </c>
      <c r="H24" s="9">
        <v>0.18853280081339643</v>
      </c>
      <c r="I24" s="9">
        <v>0.20888401476796759</v>
      </c>
      <c r="J24" s="9">
        <v>0.21010812685436941</v>
      </c>
      <c r="K24" s="9">
        <v>0.23865102439953328</v>
      </c>
      <c r="L24" s="9">
        <v>0.26926894427499526</v>
      </c>
      <c r="M24" s="6"/>
      <c r="N24" s="4" t="s">
        <v>13</v>
      </c>
      <c r="O24" s="9">
        <v>0.16082711208027817</v>
      </c>
      <c r="P24" s="6"/>
      <c r="Q24" s="6"/>
      <c r="R24" s="6"/>
      <c r="S24" s="6"/>
      <c r="T24" s="6"/>
    </row>
    <row r="25" spans="2:20" x14ac:dyDescent="0.2">
      <c r="B25" s="4" t="s">
        <v>27</v>
      </c>
      <c r="C25" s="9">
        <v>0.64135501908177295</v>
      </c>
      <c r="D25" s="9">
        <v>0.64257750201233421</v>
      </c>
      <c r="E25" s="9">
        <v>0.63490207175418489</v>
      </c>
      <c r="F25" s="9">
        <v>0.52036073240429159</v>
      </c>
      <c r="G25" s="9">
        <v>0.56881599297631558</v>
      </c>
      <c r="H25" s="9">
        <v>0.49927085389760417</v>
      </c>
      <c r="I25" s="9">
        <v>0.551002174196906</v>
      </c>
      <c r="J25" s="9">
        <v>0.63302697795734741</v>
      </c>
      <c r="K25" s="9">
        <v>0.65722841509804009</v>
      </c>
      <c r="L25" s="9">
        <v>0.67943225930070938</v>
      </c>
      <c r="M25" s="6"/>
      <c r="N25" s="4" t="s">
        <v>15</v>
      </c>
      <c r="O25" s="9">
        <v>0.1405448433174567</v>
      </c>
      <c r="P25" s="6"/>
      <c r="Q25" s="6"/>
      <c r="R25" s="6"/>
      <c r="S25" s="6"/>
      <c r="T25" s="6"/>
    </row>
    <row r="26" spans="2:20" x14ac:dyDescent="0.2">
      <c r="B26" s="4" t="s">
        <v>28</v>
      </c>
      <c r="C26" s="9">
        <v>0.24251815702047438</v>
      </c>
      <c r="D26" s="9">
        <v>0.4093899733798339</v>
      </c>
      <c r="E26" s="9">
        <v>0.32512259724950215</v>
      </c>
      <c r="F26" s="9">
        <v>0.38261937415005653</v>
      </c>
      <c r="G26" s="9">
        <v>0.43235266611878459</v>
      </c>
      <c r="H26" s="9">
        <v>0.45470894767365383</v>
      </c>
      <c r="I26" s="9">
        <v>0.47022568464226161</v>
      </c>
      <c r="J26" s="9">
        <v>0.48959284341431153</v>
      </c>
      <c r="K26" s="9">
        <v>0.5764582926158669</v>
      </c>
      <c r="L26" s="9">
        <v>0.58220527962675817</v>
      </c>
      <c r="M26" s="6"/>
      <c r="N26" s="4" t="s">
        <v>10</v>
      </c>
      <c r="O26" s="9">
        <v>0.11842815354266228</v>
      </c>
      <c r="P26" s="6">
        <f>+O26-O27</f>
        <v>6.7383634742159138E-3</v>
      </c>
      <c r="Q26" s="6"/>
      <c r="R26" s="6"/>
      <c r="S26" s="6"/>
      <c r="T26" s="6"/>
    </row>
    <row r="27" spans="2:20" x14ac:dyDescent="0.2">
      <c r="B27" s="4" t="s">
        <v>29</v>
      </c>
      <c r="C27" s="9">
        <v>0.25801438300802598</v>
      </c>
      <c r="D27" s="9">
        <v>0.210867907890047</v>
      </c>
      <c r="E27" s="9">
        <v>0.2564782115703238</v>
      </c>
      <c r="F27" s="9">
        <v>0.2657656488500077</v>
      </c>
      <c r="G27" s="9">
        <v>0.20189776304190329</v>
      </c>
      <c r="H27" s="9">
        <v>0.21571051007628358</v>
      </c>
      <c r="I27" s="9">
        <v>0.30574095671360313</v>
      </c>
      <c r="J27" s="9">
        <v>0.25328688392440774</v>
      </c>
      <c r="K27" s="9">
        <v>0.29025483646057204</v>
      </c>
      <c r="L27" s="9">
        <v>0.23699128099535016</v>
      </c>
      <c r="M27" s="6"/>
      <c r="N27" s="10" t="s">
        <v>20</v>
      </c>
      <c r="O27" s="9">
        <v>0.11168979006844637</v>
      </c>
      <c r="P27" s="6"/>
      <c r="Q27" s="6"/>
      <c r="R27" s="6"/>
      <c r="S27" s="6"/>
      <c r="T27" s="6"/>
    </row>
  </sheetData>
  <autoFilter ref="N2:O2">
    <sortState ref="N3:O27">
      <sortCondition descending="1" ref="O2:O27"/>
    </sortState>
  </autoFilter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49"/>
  <sheetViews>
    <sheetView workbookViewId="0">
      <selection activeCell="B2" sqref="B2:F20"/>
    </sheetView>
  </sheetViews>
  <sheetFormatPr baseColWidth="10" defaultRowHeight="16" x14ac:dyDescent="0.2"/>
  <cols>
    <col min="2" max="2" width="5" style="82" customWidth="1"/>
    <col min="3" max="3" width="63.33203125" customWidth="1"/>
    <col min="4" max="4" width="10.83203125" style="83" customWidth="1"/>
    <col min="5" max="5" width="10.83203125" customWidth="1"/>
    <col min="6" max="6" width="10.83203125" style="83" customWidth="1"/>
    <col min="8" max="8" width="16.1640625" bestFit="1" customWidth="1"/>
  </cols>
  <sheetData>
    <row r="2" spans="2:10" ht="16" customHeight="1" x14ac:dyDescent="0.2">
      <c r="B2" s="293" t="s">
        <v>3784</v>
      </c>
      <c r="C2" s="290" t="s">
        <v>3782</v>
      </c>
      <c r="D2" s="290" t="s">
        <v>4197</v>
      </c>
      <c r="E2" s="290" t="s">
        <v>3783</v>
      </c>
      <c r="F2" s="290" t="s">
        <v>4198</v>
      </c>
    </row>
    <row r="3" spans="2:10" x14ac:dyDescent="0.2">
      <c r="B3" s="293"/>
      <c r="C3" s="290"/>
      <c r="D3" s="290"/>
      <c r="E3" s="290"/>
      <c r="F3" s="290"/>
      <c r="H3" s="4" t="s">
        <v>4250</v>
      </c>
      <c r="I3" s="89">
        <f>+F31</f>
        <v>2918</v>
      </c>
    </row>
    <row r="4" spans="2:10" x14ac:dyDescent="0.2">
      <c r="B4" s="81">
        <v>1</v>
      </c>
      <c r="C4" s="4" t="s">
        <v>3787</v>
      </c>
      <c r="D4" s="89">
        <v>399.9</v>
      </c>
      <c r="E4" s="4">
        <v>1</v>
      </c>
      <c r="F4" s="89">
        <f>+D4*E4</f>
        <v>399.9</v>
      </c>
      <c r="H4" s="89" t="s">
        <v>4251</v>
      </c>
      <c r="I4" s="89">
        <f>+F40</f>
        <v>8080.5999999999995</v>
      </c>
    </row>
    <row r="5" spans="2:10" x14ac:dyDescent="0.2">
      <c r="B5" s="81">
        <v>2</v>
      </c>
      <c r="C5" s="4" t="s">
        <v>3788</v>
      </c>
      <c r="D5" s="89">
        <v>199.9</v>
      </c>
      <c r="E5" s="4">
        <v>2</v>
      </c>
      <c r="F5" s="89">
        <f>+D5*E5</f>
        <v>399.8</v>
      </c>
      <c r="H5" s="4" t="s">
        <v>4329</v>
      </c>
      <c r="I5" s="89">
        <f>+F49</f>
        <v>3363.4</v>
      </c>
    </row>
    <row r="6" spans="2:10" x14ac:dyDescent="0.2">
      <c r="B6" s="81">
        <v>3</v>
      </c>
      <c r="C6" s="4" t="s">
        <v>3789</v>
      </c>
      <c r="D6" s="89">
        <v>99.9</v>
      </c>
      <c r="E6" s="4">
        <v>3</v>
      </c>
      <c r="F6" s="89">
        <f>+D6*E6</f>
        <v>299.70000000000005</v>
      </c>
    </row>
    <row r="7" spans="2:10" x14ac:dyDescent="0.2">
      <c r="B7" s="81">
        <v>4</v>
      </c>
      <c r="C7" s="4" t="s">
        <v>3796</v>
      </c>
      <c r="D7" s="89">
        <v>59.9</v>
      </c>
      <c r="E7" s="4">
        <v>8</v>
      </c>
      <c r="F7" s="89">
        <f>+D7*E7</f>
        <v>479.2</v>
      </c>
    </row>
    <row r="8" spans="2:10" x14ac:dyDescent="0.2">
      <c r="B8" s="81">
        <v>5</v>
      </c>
      <c r="C8" s="4" t="s">
        <v>3790</v>
      </c>
      <c r="D8" s="89">
        <v>1299</v>
      </c>
      <c r="E8" s="4">
        <v>3</v>
      </c>
      <c r="F8" s="89">
        <f t="shared" ref="F8:F17" si="0">+D8*E8</f>
        <v>3897</v>
      </c>
    </row>
    <row r="9" spans="2:10" x14ac:dyDescent="0.2">
      <c r="B9" s="81">
        <v>6</v>
      </c>
      <c r="C9" s="4" t="s">
        <v>3729</v>
      </c>
      <c r="D9" s="89">
        <v>377</v>
      </c>
      <c r="E9" s="4">
        <v>2</v>
      </c>
      <c r="F9" s="89">
        <f t="shared" si="0"/>
        <v>754</v>
      </c>
    </row>
    <row r="10" spans="2:10" x14ac:dyDescent="0.2">
      <c r="B10" s="81">
        <v>7</v>
      </c>
      <c r="C10" s="4" t="s">
        <v>3785</v>
      </c>
      <c r="D10" s="89">
        <v>780</v>
      </c>
      <c r="E10" s="4">
        <v>2</v>
      </c>
      <c r="F10" s="89">
        <f t="shared" si="0"/>
        <v>1560</v>
      </c>
    </row>
    <row r="11" spans="2:10" x14ac:dyDescent="0.2">
      <c r="B11" s="81">
        <v>8</v>
      </c>
      <c r="C11" s="4" t="s">
        <v>3786</v>
      </c>
      <c r="D11" s="89">
        <v>729</v>
      </c>
      <c r="E11" s="4">
        <v>1</v>
      </c>
      <c r="F11" s="89">
        <f t="shared" si="0"/>
        <v>729</v>
      </c>
    </row>
    <row r="12" spans="2:10" x14ac:dyDescent="0.2">
      <c r="B12" s="81">
        <v>9</v>
      </c>
      <c r="C12" s="84" t="s">
        <v>3791</v>
      </c>
      <c r="D12" s="89">
        <v>379.9</v>
      </c>
      <c r="E12" s="4">
        <v>1</v>
      </c>
      <c r="F12" s="89">
        <f t="shared" si="0"/>
        <v>379.9</v>
      </c>
    </row>
    <row r="13" spans="2:10" x14ac:dyDescent="0.2">
      <c r="B13" s="81">
        <v>10</v>
      </c>
      <c r="C13" s="4" t="s">
        <v>3792</v>
      </c>
      <c r="D13" s="89">
        <v>299.89999999999998</v>
      </c>
      <c r="E13" s="4">
        <v>2</v>
      </c>
      <c r="F13" s="89">
        <f t="shared" si="0"/>
        <v>599.79999999999995</v>
      </c>
    </row>
    <row r="14" spans="2:10" x14ac:dyDescent="0.2">
      <c r="B14" s="81">
        <v>11</v>
      </c>
      <c r="C14" s="4" t="s">
        <v>3793</v>
      </c>
      <c r="D14" s="89">
        <v>119.9</v>
      </c>
      <c r="E14" s="4">
        <v>3</v>
      </c>
      <c r="F14" s="89">
        <f t="shared" si="0"/>
        <v>359.70000000000005</v>
      </c>
    </row>
    <row r="15" spans="2:10" x14ac:dyDescent="0.2">
      <c r="B15" s="81">
        <v>12</v>
      </c>
      <c r="C15" s="4" t="s">
        <v>3794</v>
      </c>
      <c r="D15" s="89">
        <v>769.9</v>
      </c>
      <c r="E15" s="4">
        <v>1</v>
      </c>
      <c r="F15" s="89">
        <f t="shared" si="0"/>
        <v>769.9</v>
      </c>
      <c r="I15">
        <v>89</v>
      </c>
      <c r="J15" t="s">
        <v>3797</v>
      </c>
    </row>
    <row r="16" spans="2:10" x14ac:dyDescent="0.2">
      <c r="B16" s="81">
        <v>13</v>
      </c>
      <c r="C16" s="4" t="s">
        <v>3795</v>
      </c>
      <c r="D16" s="89">
        <v>69.900000000000006</v>
      </c>
      <c r="E16" s="4">
        <v>3</v>
      </c>
      <c r="F16" s="89">
        <f t="shared" si="0"/>
        <v>209.70000000000002</v>
      </c>
      <c r="I16">
        <v>24.7</v>
      </c>
    </row>
    <row r="17" spans="2:8" x14ac:dyDescent="0.2">
      <c r="B17" s="81">
        <v>14</v>
      </c>
      <c r="C17" s="4" t="s">
        <v>3798</v>
      </c>
      <c r="D17" s="89">
        <v>99</v>
      </c>
      <c r="E17" s="4">
        <v>25</v>
      </c>
      <c r="F17" s="89">
        <f t="shared" si="0"/>
        <v>2475</v>
      </c>
    </row>
    <row r="18" spans="2:8" x14ac:dyDescent="0.2">
      <c r="B18" s="200">
        <v>15</v>
      </c>
      <c r="C18" s="4" t="s">
        <v>4326</v>
      </c>
      <c r="D18" s="89">
        <v>79.900000000000006</v>
      </c>
      <c r="E18" s="4">
        <v>6</v>
      </c>
      <c r="F18" s="89">
        <f>+D18*E18</f>
        <v>479.40000000000003</v>
      </c>
    </row>
    <row r="19" spans="2:8" x14ac:dyDescent="0.2">
      <c r="B19" s="200">
        <v>16</v>
      </c>
      <c r="C19" s="14" t="s">
        <v>4327</v>
      </c>
      <c r="D19" s="89">
        <v>120</v>
      </c>
      <c r="E19" s="4">
        <v>1</v>
      </c>
      <c r="F19" s="89">
        <f t="shared" ref="F19:F20" si="1">+D19*E19</f>
        <v>120</v>
      </c>
    </row>
    <row r="20" spans="2:8" x14ac:dyDescent="0.2">
      <c r="B20" s="200">
        <v>17</v>
      </c>
      <c r="C20" s="14" t="s">
        <v>4328</v>
      </c>
      <c r="D20" s="89">
        <v>150</v>
      </c>
      <c r="E20" s="4">
        <v>3</v>
      </c>
      <c r="F20" s="89">
        <f t="shared" si="1"/>
        <v>450</v>
      </c>
    </row>
    <row r="22" spans="2:8" x14ac:dyDescent="0.2">
      <c r="B22" s="293" t="s">
        <v>3784</v>
      </c>
      <c r="C22" s="290" t="s">
        <v>3782</v>
      </c>
      <c r="D22" s="290" t="s">
        <v>4197</v>
      </c>
      <c r="E22" s="290" t="s">
        <v>3783</v>
      </c>
      <c r="F22" s="290" t="s">
        <v>4198</v>
      </c>
    </row>
    <row r="23" spans="2:8" x14ac:dyDescent="0.2">
      <c r="B23" s="293"/>
      <c r="C23" s="290"/>
      <c r="D23" s="290"/>
      <c r="E23" s="290"/>
      <c r="F23" s="290"/>
    </row>
    <row r="24" spans="2:8" x14ac:dyDescent="0.2">
      <c r="B24" s="131">
        <v>1</v>
      </c>
      <c r="C24" s="4" t="s">
        <v>3787</v>
      </c>
      <c r="D24" s="89">
        <v>399.9</v>
      </c>
      <c r="E24" s="4">
        <v>1</v>
      </c>
      <c r="F24" s="89">
        <f>+D24*E24</f>
        <v>399.9</v>
      </c>
      <c r="H24">
        <f t="shared" ref="H24:H30" si="2">VLOOKUP(C24,$C$4:$E$17,3,FALSE)</f>
        <v>1</v>
      </c>
    </row>
    <row r="25" spans="2:8" x14ac:dyDescent="0.2">
      <c r="B25" s="131">
        <v>2</v>
      </c>
      <c r="C25" s="4" t="s">
        <v>3788</v>
      </c>
      <c r="D25" s="89">
        <v>199.9</v>
      </c>
      <c r="E25" s="4">
        <v>2</v>
      </c>
      <c r="F25" s="89">
        <f>+D25*E25</f>
        <v>399.8</v>
      </c>
      <c r="H25">
        <f t="shared" si="2"/>
        <v>2</v>
      </c>
    </row>
    <row r="26" spans="2:8" x14ac:dyDescent="0.2">
      <c r="B26" s="131">
        <v>3</v>
      </c>
      <c r="C26" s="4" t="s">
        <v>3789</v>
      </c>
      <c r="D26" s="89">
        <v>99.9</v>
      </c>
      <c r="E26" s="4">
        <v>3</v>
      </c>
      <c r="F26" s="89">
        <f>+D26*E26</f>
        <v>299.70000000000005</v>
      </c>
      <c r="H26">
        <f t="shared" si="2"/>
        <v>3</v>
      </c>
    </row>
    <row r="27" spans="2:8" x14ac:dyDescent="0.2">
      <c r="B27" s="131">
        <v>4</v>
      </c>
      <c r="C27" s="4" t="s">
        <v>3796</v>
      </c>
      <c r="D27" s="89">
        <v>59.9</v>
      </c>
      <c r="E27" s="4">
        <v>8</v>
      </c>
      <c r="F27" s="89">
        <f>+D27*E27</f>
        <v>479.2</v>
      </c>
      <c r="H27">
        <f t="shared" si="2"/>
        <v>8</v>
      </c>
    </row>
    <row r="28" spans="2:8" x14ac:dyDescent="0.2">
      <c r="B28" s="135">
        <v>5</v>
      </c>
      <c r="C28" s="84" t="s">
        <v>3791</v>
      </c>
      <c r="D28" s="89">
        <v>379.9</v>
      </c>
      <c r="E28" s="4">
        <v>1</v>
      </c>
      <c r="F28" s="89">
        <f t="shared" ref="F28:F30" si="3">+D28*E28</f>
        <v>379.9</v>
      </c>
      <c r="H28">
        <f t="shared" si="2"/>
        <v>1</v>
      </c>
    </row>
    <row r="29" spans="2:8" x14ac:dyDescent="0.2">
      <c r="B29" s="135">
        <v>6</v>
      </c>
      <c r="C29" s="4" t="s">
        <v>3792</v>
      </c>
      <c r="D29" s="89">
        <v>299.89999999999998</v>
      </c>
      <c r="E29" s="4">
        <v>2</v>
      </c>
      <c r="F29" s="89">
        <f t="shared" si="3"/>
        <v>599.79999999999995</v>
      </c>
      <c r="H29">
        <f t="shared" si="2"/>
        <v>2</v>
      </c>
    </row>
    <row r="30" spans="2:8" x14ac:dyDescent="0.2">
      <c r="B30" s="135">
        <v>7</v>
      </c>
      <c r="C30" s="4" t="s">
        <v>3793</v>
      </c>
      <c r="D30" s="89">
        <v>119.9</v>
      </c>
      <c r="E30" s="4">
        <v>3</v>
      </c>
      <c r="F30" s="89">
        <f t="shared" si="3"/>
        <v>359.70000000000005</v>
      </c>
      <c r="H30">
        <f t="shared" si="2"/>
        <v>3</v>
      </c>
    </row>
    <row r="31" spans="2:8" x14ac:dyDescent="0.2">
      <c r="B31" s="293" t="s">
        <v>4250</v>
      </c>
      <c r="C31" s="293"/>
      <c r="D31" s="293"/>
      <c r="E31" s="293"/>
      <c r="F31" s="89">
        <f>SUM(F24:F30)</f>
        <v>2918</v>
      </c>
    </row>
    <row r="33" spans="2:8" x14ac:dyDescent="0.2">
      <c r="B33" s="293" t="s">
        <v>3784</v>
      </c>
      <c r="C33" s="290" t="s">
        <v>3782</v>
      </c>
      <c r="D33" s="290" t="s">
        <v>4197</v>
      </c>
      <c r="E33" s="290" t="s">
        <v>3783</v>
      </c>
      <c r="F33" s="290" t="s">
        <v>4198</v>
      </c>
    </row>
    <row r="34" spans="2:8" x14ac:dyDescent="0.2">
      <c r="B34" s="293"/>
      <c r="C34" s="290"/>
      <c r="D34" s="290"/>
      <c r="E34" s="290"/>
      <c r="F34" s="290"/>
    </row>
    <row r="35" spans="2:8" x14ac:dyDescent="0.2">
      <c r="B35" s="131">
        <v>1</v>
      </c>
      <c r="C35" s="4" t="s">
        <v>3790</v>
      </c>
      <c r="D35" s="89">
        <v>1299</v>
      </c>
      <c r="E35" s="4">
        <v>3</v>
      </c>
      <c r="F35" s="89">
        <f t="shared" ref="F35:F39" si="4">+D35*E35</f>
        <v>3897</v>
      </c>
      <c r="H35">
        <f>VLOOKUP(C35,$C$4:$E$17,3,FALSE)</f>
        <v>3</v>
      </c>
    </row>
    <row r="36" spans="2:8" x14ac:dyDescent="0.2">
      <c r="B36" s="131">
        <v>2</v>
      </c>
      <c r="C36" s="4" t="s">
        <v>3786</v>
      </c>
      <c r="D36" s="89">
        <v>729</v>
      </c>
      <c r="E36" s="4">
        <v>1</v>
      </c>
      <c r="F36" s="89">
        <f t="shared" si="4"/>
        <v>729</v>
      </c>
      <c r="H36">
        <f>VLOOKUP(C36,$C$4:$E$17,3,FALSE)</f>
        <v>1</v>
      </c>
    </row>
    <row r="37" spans="2:8" x14ac:dyDescent="0.2">
      <c r="B37" s="131">
        <v>3</v>
      </c>
      <c r="C37" s="4" t="s">
        <v>3794</v>
      </c>
      <c r="D37" s="89">
        <v>769.9</v>
      </c>
      <c r="E37" s="4">
        <v>1</v>
      </c>
      <c r="F37" s="89">
        <f t="shared" si="4"/>
        <v>769.9</v>
      </c>
      <c r="H37">
        <f>VLOOKUP(C37,$C$4:$E$17,3,FALSE)</f>
        <v>1</v>
      </c>
    </row>
    <row r="38" spans="2:8" x14ac:dyDescent="0.2">
      <c r="B38" s="131">
        <v>4</v>
      </c>
      <c r="C38" s="4" t="s">
        <v>3795</v>
      </c>
      <c r="D38" s="89">
        <v>69.900000000000006</v>
      </c>
      <c r="E38" s="4">
        <v>3</v>
      </c>
      <c r="F38" s="89">
        <f t="shared" si="4"/>
        <v>209.70000000000002</v>
      </c>
      <c r="H38">
        <f>VLOOKUP(C38,$C$4:$E$17,3,FALSE)</f>
        <v>3</v>
      </c>
    </row>
    <row r="39" spans="2:8" x14ac:dyDescent="0.2">
      <c r="B39" s="131">
        <v>5</v>
      </c>
      <c r="C39" s="4" t="s">
        <v>3798</v>
      </c>
      <c r="D39" s="89">
        <v>99</v>
      </c>
      <c r="E39" s="4">
        <v>25</v>
      </c>
      <c r="F39" s="89">
        <f t="shared" si="4"/>
        <v>2475</v>
      </c>
      <c r="H39">
        <f>VLOOKUP(C39,$C$4:$E$17,3,FALSE)</f>
        <v>25</v>
      </c>
    </row>
    <row r="40" spans="2:8" x14ac:dyDescent="0.2">
      <c r="B40" s="293" t="s">
        <v>4252</v>
      </c>
      <c r="C40" s="293"/>
      <c r="D40" s="293"/>
      <c r="E40" s="293"/>
      <c r="F40" s="89">
        <f>SUM(F35:F39)</f>
        <v>8080.5999999999995</v>
      </c>
    </row>
    <row r="42" spans="2:8" x14ac:dyDescent="0.2">
      <c r="B42" s="293" t="s">
        <v>3784</v>
      </c>
      <c r="C42" s="290" t="s">
        <v>3782</v>
      </c>
      <c r="D42" s="290" t="s">
        <v>4197</v>
      </c>
      <c r="E42" s="290" t="s">
        <v>3783</v>
      </c>
      <c r="F42" s="290" t="s">
        <v>4198</v>
      </c>
    </row>
    <row r="43" spans="2:8" x14ac:dyDescent="0.2">
      <c r="B43" s="293"/>
      <c r="C43" s="290"/>
      <c r="D43" s="290"/>
      <c r="E43" s="290"/>
      <c r="F43" s="290"/>
    </row>
    <row r="44" spans="2:8" x14ac:dyDescent="0.2">
      <c r="B44" s="131">
        <v>1</v>
      </c>
      <c r="C44" s="4" t="s">
        <v>3729</v>
      </c>
      <c r="D44" s="89">
        <v>377</v>
      </c>
      <c r="E44" s="4">
        <v>2</v>
      </c>
      <c r="F44" s="89">
        <f>+D44*E44</f>
        <v>754</v>
      </c>
      <c r="H44">
        <f>VLOOKUP(C44,$C$4:$E$17,3,FALSE)</f>
        <v>2</v>
      </c>
    </row>
    <row r="45" spans="2:8" x14ac:dyDescent="0.2">
      <c r="B45" s="131">
        <v>2</v>
      </c>
      <c r="C45" s="4" t="s">
        <v>3785</v>
      </c>
      <c r="D45" s="89">
        <v>780</v>
      </c>
      <c r="E45" s="4">
        <v>2</v>
      </c>
      <c r="F45" s="89">
        <f>+D45*E45</f>
        <v>1560</v>
      </c>
      <c r="H45">
        <f>VLOOKUP(C45,$C$4:$E$17,3,FALSE)</f>
        <v>2</v>
      </c>
    </row>
    <row r="46" spans="2:8" x14ac:dyDescent="0.2">
      <c r="B46" s="135">
        <v>3</v>
      </c>
      <c r="C46" s="4" t="s">
        <v>4326</v>
      </c>
      <c r="D46" s="89">
        <v>79.900000000000006</v>
      </c>
      <c r="E46" s="4">
        <v>6</v>
      </c>
      <c r="F46" s="89">
        <f>+D46*E46</f>
        <v>479.40000000000003</v>
      </c>
      <c r="H46" t="e">
        <f>VLOOKUP(C46,$C$4:$E$17,3,FALSE)</f>
        <v>#N/A</v>
      </c>
    </row>
    <row r="47" spans="2:8" x14ac:dyDescent="0.2">
      <c r="B47" s="135">
        <v>4</v>
      </c>
      <c r="C47" s="14" t="s">
        <v>4327</v>
      </c>
      <c r="D47" s="89">
        <v>120</v>
      </c>
      <c r="E47" s="4">
        <v>1</v>
      </c>
      <c r="F47" s="89">
        <f t="shared" ref="F47:F48" si="5">+D47*E47</f>
        <v>120</v>
      </c>
      <c r="H47" t="e">
        <f>VLOOKUP(C47,$C$4:$E$17,3,FALSE)</f>
        <v>#N/A</v>
      </c>
    </row>
    <row r="48" spans="2:8" x14ac:dyDescent="0.2">
      <c r="B48" s="135">
        <v>5</v>
      </c>
      <c r="C48" s="14" t="s">
        <v>4328</v>
      </c>
      <c r="D48" s="89">
        <v>150</v>
      </c>
      <c r="E48" s="4">
        <v>3</v>
      </c>
      <c r="F48" s="89">
        <f t="shared" si="5"/>
        <v>450</v>
      </c>
      <c r="H48" t="e">
        <f>VLOOKUP(C48,$C$4:$E$17,3,FALSE)</f>
        <v>#N/A</v>
      </c>
    </row>
    <row r="49" spans="2:6" x14ac:dyDescent="0.2">
      <c r="B49" s="293" t="s">
        <v>4330</v>
      </c>
      <c r="C49" s="293"/>
      <c r="D49" s="293"/>
      <c r="E49" s="293"/>
      <c r="F49" s="89">
        <f>SUM(F44:F48)</f>
        <v>3363.4</v>
      </c>
    </row>
  </sheetData>
  <mergeCells count="23">
    <mergeCell ref="D33:D34"/>
    <mergeCell ref="E33:E34"/>
    <mergeCell ref="B49:E49"/>
    <mergeCell ref="B42:B43"/>
    <mergeCell ref="C42:C43"/>
    <mergeCell ref="D42:D43"/>
    <mergeCell ref="E42:E43"/>
    <mergeCell ref="F42:F43"/>
    <mergeCell ref="C2:C3"/>
    <mergeCell ref="D2:D3"/>
    <mergeCell ref="E2:E3"/>
    <mergeCell ref="B40:E40"/>
    <mergeCell ref="B2:B3"/>
    <mergeCell ref="F2:F3"/>
    <mergeCell ref="F33:F34"/>
    <mergeCell ref="B22:B23"/>
    <mergeCell ref="C22:C23"/>
    <mergeCell ref="D22:D23"/>
    <mergeCell ref="E22:E23"/>
    <mergeCell ref="F22:F23"/>
    <mergeCell ref="B31:E31"/>
    <mergeCell ref="B33:B34"/>
    <mergeCell ref="C33:C3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9"/>
  <sheetViews>
    <sheetView workbookViewId="0">
      <selection activeCell="F9" sqref="F9:G9"/>
    </sheetView>
  </sheetViews>
  <sheetFormatPr baseColWidth="10" defaultRowHeight="16" x14ac:dyDescent="0.2"/>
  <cols>
    <col min="5" max="5" width="13.33203125" customWidth="1"/>
    <col min="6" max="7" width="12.5" bestFit="1" customWidth="1"/>
  </cols>
  <sheetData>
    <row r="2" spans="2:7" x14ac:dyDescent="0.2">
      <c r="B2" s="295" t="s">
        <v>3961</v>
      </c>
      <c r="C2" s="295"/>
      <c r="D2" s="295"/>
      <c r="E2" s="113" t="s">
        <v>4109</v>
      </c>
      <c r="F2" s="130" t="s">
        <v>4267</v>
      </c>
      <c r="G2" s="130" t="s">
        <v>4187</v>
      </c>
    </row>
    <row r="3" spans="2:7" x14ac:dyDescent="0.2">
      <c r="B3" s="391" t="s">
        <v>4106</v>
      </c>
      <c r="C3" s="391"/>
      <c r="D3" s="391"/>
      <c r="E3" s="89">
        <f>+'Terrenos y obras civiles'!E130:F130</f>
        <v>330707.57</v>
      </c>
      <c r="F3" s="89">
        <f>+E3</f>
        <v>330707.57</v>
      </c>
      <c r="G3" s="89">
        <v>0</v>
      </c>
    </row>
    <row r="4" spans="2:7" x14ac:dyDescent="0.2">
      <c r="B4" s="391" t="s">
        <v>4107</v>
      </c>
      <c r="C4" s="391"/>
      <c r="D4" s="391"/>
      <c r="E4" s="89">
        <f>+'Terrenos y obras civiles'!T4+'Terrenos y obras civiles'!T5</f>
        <v>3076</v>
      </c>
      <c r="F4" s="89">
        <f>+E4</f>
        <v>3076</v>
      </c>
      <c r="G4" s="89">
        <v>0</v>
      </c>
    </row>
    <row r="5" spans="2:7" x14ac:dyDescent="0.2">
      <c r="B5" s="391" t="s">
        <v>4108</v>
      </c>
      <c r="C5" s="391"/>
      <c r="D5" s="391"/>
      <c r="E5" s="89">
        <f>+Vehículos!L17</f>
        <v>401054</v>
      </c>
      <c r="F5" s="89">
        <f>+Vehículos!M17</f>
        <v>358181.35593220341</v>
      </c>
      <c r="G5" s="89">
        <f>+Vehículos!N17</f>
        <v>42872.644067796609</v>
      </c>
    </row>
    <row r="6" spans="2:7" x14ac:dyDescent="0.2">
      <c r="B6" s="391" t="s">
        <v>4250</v>
      </c>
      <c r="C6" s="391"/>
      <c r="D6" s="391"/>
      <c r="E6" s="89">
        <f>+Equipamiento!I3</f>
        <v>2918</v>
      </c>
      <c r="F6" s="89">
        <f t="shared" ref="F6:F7" si="0">+(E6)/1.18</f>
        <v>2472.8813559322034</v>
      </c>
      <c r="G6" s="89">
        <f t="shared" ref="G6:G7" si="1">+F6*0.18</f>
        <v>445.11864406779659</v>
      </c>
    </row>
    <row r="7" spans="2:7" x14ac:dyDescent="0.2">
      <c r="B7" s="391" t="s">
        <v>4252</v>
      </c>
      <c r="C7" s="399"/>
      <c r="D7" s="400"/>
      <c r="E7" s="89">
        <f>+Equipamiento!I4</f>
        <v>8080.5999999999995</v>
      </c>
      <c r="F7" s="89">
        <f t="shared" si="0"/>
        <v>6847.9661016949149</v>
      </c>
      <c r="G7" s="89">
        <f t="shared" si="1"/>
        <v>1232.6338983050846</v>
      </c>
    </row>
    <row r="8" spans="2:7" x14ac:dyDescent="0.2">
      <c r="B8" s="391" t="s">
        <v>4330</v>
      </c>
      <c r="C8" s="399"/>
      <c r="D8" s="400"/>
      <c r="E8" s="89">
        <f>+Equipamiento!I5</f>
        <v>3363.4</v>
      </c>
      <c r="F8" s="89">
        <f>+(E8)/1.18</f>
        <v>2850.3389830508477</v>
      </c>
      <c r="G8" s="89">
        <f t="shared" ref="G8" si="2">+F8*0.18</f>
        <v>513.06101694915253</v>
      </c>
    </row>
    <row r="9" spans="2:7" x14ac:dyDescent="0.2">
      <c r="B9" s="298" t="s">
        <v>4110</v>
      </c>
      <c r="C9" s="398"/>
      <c r="D9" s="299"/>
      <c r="E9" s="128">
        <f>SUM(E3:E8)</f>
        <v>749199.57000000007</v>
      </c>
      <c r="F9" s="128">
        <f>SUM(F3:F8)</f>
        <v>704136.1123728815</v>
      </c>
      <c r="G9" s="128">
        <f>SUM(G3:G8)</f>
        <v>45063.457627118652</v>
      </c>
    </row>
  </sheetData>
  <mergeCells count="8">
    <mergeCell ref="B9:D9"/>
    <mergeCell ref="B2:D2"/>
    <mergeCell ref="B3:D3"/>
    <mergeCell ref="B4:D4"/>
    <mergeCell ref="B5:D5"/>
    <mergeCell ref="B6:D6"/>
    <mergeCell ref="B7:D7"/>
    <mergeCell ref="B8:D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28"/>
  <sheetViews>
    <sheetView workbookViewId="0">
      <selection activeCell="Q2" sqref="Q2:T6"/>
    </sheetView>
  </sheetViews>
  <sheetFormatPr baseColWidth="10" defaultRowHeight="16" x14ac:dyDescent="0.2"/>
  <cols>
    <col min="2" max="3" width="15.83203125" customWidth="1"/>
    <col min="4" max="4" width="26.1640625" customWidth="1"/>
    <col min="5" max="5" width="11.33203125" bestFit="1" customWidth="1"/>
    <col min="6" max="8" width="11.6640625" customWidth="1"/>
    <col min="9" max="9" width="11.33203125" bestFit="1" customWidth="1"/>
    <col min="10" max="14" width="11.6640625" customWidth="1"/>
    <col min="15" max="15" width="12.33203125" bestFit="1" customWidth="1"/>
    <col min="20" max="20" width="11.33203125" bestFit="1" customWidth="1"/>
  </cols>
  <sheetData>
    <row r="2" spans="2:20" x14ac:dyDescent="0.2">
      <c r="B2" s="295" t="s">
        <v>3961</v>
      </c>
      <c r="C2" s="295"/>
      <c r="D2" s="295"/>
      <c r="E2" s="117" t="s">
        <v>4109</v>
      </c>
      <c r="G2" s="295" t="s">
        <v>3961</v>
      </c>
      <c r="H2" s="295"/>
      <c r="I2" s="295"/>
      <c r="J2" s="117" t="s">
        <v>4109</v>
      </c>
      <c r="L2" s="295" t="s">
        <v>3961</v>
      </c>
      <c r="M2" s="295"/>
      <c r="N2" s="295"/>
      <c r="O2" s="117" t="s">
        <v>4109</v>
      </c>
      <c r="Q2" s="295" t="s">
        <v>3961</v>
      </c>
      <c r="R2" s="295"/>
      <c r="S2" s="295"/>
      <c r="T2" s="117" t="s">
        <v>4109</v>
      </c>
    </row>
    <row r="3" spans="2:20" x14ac:dyDescent="0.2">
      <c r="B3" s="391" t="s">
        <v>4111</v>
      </c>
      <c r="C3" s="391"/>
      <c r="D3" s="391"/>
      <c r="E3" s="89">
        <v>26</v>
      </c>
      <c r="G3" s="391" t="s">
        <v>4118</v>
      </c>
      <c r="H3" s="391"/>
      <c r="I3" s="391"/>
      <c r="J3" s="89">
        <v>1202.48</v>
      </c>
      <c r="K3" t="s">
        <v>4462</v>
      </c>
      <c r="L3" s="391" t="s">
        <v>4121</v>
      </c>
      <c r="M3" s="391"/>
      <c r="N3" s="391"/>
      <c r="O3" s="89">
        <f>200*15</f>
        <v>3000</v>
      </c>
      <c r="Q3" s="391" t="s">
        <v>4122</v>
      </c>
      <c r="R3" s="391"/>
      <c r="S3" s="391"/>
      <c r="T3" s="89">
        <f>+E12</f>
        <v>4093.52</v>
      </c>
    </row>
    <row r="4" spans="2:20" x14ac:dyDescent="0.2">
      <c r="B4" s="391" t="s">
        <v>4112</v>
      </c>
      <c r="C4" s="391"/>
      <c r="D4" s="391"/>
      <c r="E4" s="89">
        <v>500</v>
      </c>
      <c r="G4" s="391" t="s">
        <v>4396</v>
      </c>
      <c r="H4" s="391"/>
      <c r="I4" s="391"/>
      <c r="J4" s="89">
        <v>4250</v>
      </c>
      <c r="L4" s="391" t="s">
        <v>4401</v>
      </c>
      <c r="M4" s="391"/>
      <c r="N4" s="391"/>
      <c r="O4" s="89">
        <f>+C19</f>
        <v>1000</v>
      </c>
      <c r="Q4" s="391" t="s">
        <v>4123</v>
      </c>
      <c r="R4" s="391"/>
      <c r="S4" s="391"/>
      <c r="T4" s="89">
        <f>+J6</f>
        <v>5952.48</v>
      </c>
    </row>
    <row r="5" spans="2:20" x14ac:dyDescent="0.2">
      <c r="B5" s="391" t="s">
        <v>4113</v>
      </c>
      <c r="C5" s="391"/>
      <c r="D5" s="391"/>
      <c r="E5" s="89">
        <v>184</v>
      </c>
      <c r="G5" s="391" t="s">
        <v>4117</v>
      </c>
      <c r="H5" s="391"/>
      <c r="I5" s="391"/>
      <c r="J5" s="89">
        <v>500</v>
      </c>
      <c r="L5" s="391" t="s">
        <v>4119</v>
      </c>
      <c r="M5" s="391"/>
      <c r="N5" s="391"/>
      <c r="O5" s="89">
        <f>30*15*30</f>
        <v>13500</v>
      </c>
      <c r="Q5" s="391" t="s">
        <v>4124</v>
      </c>
      <c r="R5" s="391"/>
      <c r="S5" s="391"/>
      <c r="T5" s="89">
        <f>+O7</f>
        <v>25000</v>
      </c>
    </row>
    <row r="6" spans="2:20" x14ac:dyDescent="0.2">
      <c r="B6" s="391" t="s">
        <v>4114</v>
      </c>
      <c r="C6" s="391"/>
      <c r="D6" s="391"/>
      <c r="E6" s="89">
        <v>50</v>
      </c>
      <c r="G6" s="295" t="s">
        <v>4066</v>
      </c>
      <c r="H6" s="295"/>
      <c r="I6" s="295"/>
      <c r="J6" s="123">
        <f>+SUM(J3:J5)</f>
        <v>5952.48</v>
      </c>
      <c r="L6" s="391" t="s">
        <v>4120</v>
      </c>
      <c r="M6" s="391"/>
      <c r="N6" s="391"/>
      <c r="O6" s="89">
        <f>5000*1.5</f>
        <v>7500</v>
      </c>
      <c r="Q6" s="298" t="s">
        <v>4125</v>
      </c>
      <c r="R6" s="398"/>
      <c r="S6" s="299"/>
      <c r="T6" s="128">
        <f>SUM(T3:T5)</f>
        <v>35046</v>
      </c>
    </row>
    <row r="7" spans="2:20" x14ac:dyDescent="0.2">
      <c r="B7" s="391" t="s">
        <v>4115</v>
      </c>
      <c r="C7" s="391"/>
      <c r="D7" s="391"/>
      <c r="E7" s="89">
        <v>10</v>
      </c>
      <c r="L7" s="298" t="s">
        <v>4066</v>
      </c>
      <c r="M7" s="398"/>
      <c r="N7" s="299"/>
      <c r="O7" s="123">
        <f>+SUM(O3:O6)</f>
        <v>25000</v>
      </c>
    </row>
    <row r="8" spans="2:20" x14ac:dyDescent="0.2">
      <c r="B8" s="391" t="s">
        <v>4116</v>
      </c>
      <c r="C8" s="391"/>
      <c r="D8" s="391"/>
      <c r="E8" s="89">
        <v>25</v>
      </c>
    </row>
    <row r="9" spans="2:20" x14ac:dyDescent="0.2">
      <c r="B9" s="391" t="s">
        <v>4331</v>
      </c>
      <c r="C9" s="391"/>
      <c r="D9" s="391"/>
      <c r="E9" s="89">
        <v>231.04</v>
      </c>
    </row>
    <row r="10" spans="2:20" x14ac:dyDescent="0.2">
      <c r="B10" s="391" t="s">
        <v>4134</v>
      </c>
      <c r="C10" s="399"/>
      <c r="D10" s="400"/>
      <c r="E10" s="89">
        <v>2902.48</v>
      </c>
    </row>
    <row r="11" spans="2:20" x14ac:dyDescent="0.2">
      <c r="B11" s="391" t="s">
        <v>4133</v>
      </c>
      <c r="C11" s="399"/>
      <c r="D11" s="400"/>
      <c r="E11" s="89">
        <v>165</v>
      </c>
    </row>
    <row r="12" spans="2:20" x14ac:dyDescent="0.2">
      <c r="B12" s="295" t="s">
        <v>4066</v>
      </c>
      <c r="C12" s="295"/>
      <c r="D12" s="295"/>
      <c r="E12" s="123">
        <f>SUM(E3:E11)</f>
        <v>4093.52</v>
      </c>
    </row>
    <row r="15" spans="2:20" x14ac:dyDescent="0.2">
      <c r="O15" s="198"/>
    </row>
    <row r="17" spans="2:15" x14ac:dyDescent="0.2">
      <c r="C17" s="133">
        <v>43101</v>
      </c>
      <c r="D17" s="133">
        <v>43132</v>
      </c>
      <c r="E17" s="133">
        <v>43160</v>
      </c>
      <c r="F17" s="133">
        <v>43191</v>
      </c>
      <c r="G17" s="133">
        <v>43221</v>
      </c>
      <c r="H17" s="133">
        <v>43252</v>
      </c>
      <c r="I17" s="133">
        <v>43282</v>
      </c>
      <c r="J17" s="133">
        <v>43313</v>
      </c>
      <c r="K17" s="133">
        <v>43344</v>
      </c>
      <c r="L17" s="133">
        <v>43374</v>
      </c>
      <c r="M17" s="133">
        <v>43405</v>
      </c>
      <c r="N17" s="133">
        <v>43435</v>
      </c>
    </row>
    <row r="18" spans="2:15" x14ac:dyDescent="0.2">
      <c r="B18" s="4" t="s">
        <v>4121</v>
      </c>
      <c r="C18" s="89">
        <f>+O3</f>
        <v>3000</v>
      </c>
      <c r="D18" s="89">
        <f>200*5</f>
        <v>1000</v>
      </c>
      <c r="E18" s="89">
        <f t="shared" ref="E18:N18" si="0">200*5</f>
        <v>1000</v>
      </c>
      <c r="F18" s="89">
        <f t="shared" si="0"/>
        <v>1000</v>
      </c>
      <c r="G18" s="89">
        <f t="shared" si="0"/>
        <v>1000</v>
      </c>
      <c r="H18" s="89">
        <f t="shared" si="0"/>
        <v>1000</v>
      </c>
      <c r="I18" s="89">
        <f t="shared" si="0"/>
        <v>1000</v>
      </c>
      <c r="J18" s="89">
        <f t="shared" si="0"/>
        <v>1000</v>
      </c>
      <c r="K18" s="89">
        <f t="shared" si="0"/>
        <v>1000</v>
      </c>
      <c r="L18" s="89">
        <f t="shared" si="0"/>
        <v>1000</v>
      </c>
      <c r="M18" s="89">
        <f t="shared" si="0"/>
        <v>1000</v>
      </c>
      <c r="N18" s="89">
        <f t="shared" si="0"/>
        <v>1000</v>
      </c>
      <c r="O18" s="118">
        <f>SUM(C18:N18)</f>
        <v>14000</v>
      </c>
    </row>
    <row r="19" spans="2:15" x14ac:dyDescent="0.2">
      <c r="B19" s="4" t="s">
        <v>4401</v>
      </c>
      <c r="C19" s="89">
        <f>8*25*5</f>
        <v>1000</v>
      </c>
      <c r="D19" s="89">
        <f t="shared" ref="D19:N19" si="1">8*25*5</f>
        <v>1000</v>
      </c>
      <c r="E19" s="89">
        <f t="shared" si="1"/>
        <v>1000</v>
      </c>
      <c r="F19" s="89">
        <f t="shared" si="1"/>
        <v>1000</v>
      </c>
      <c r="G19" s="89">
        <f t="shared" si="1"/>
        <v>1000</v>
      </c>
      <c r="H19" s="89">
        <f t="shared" si="1"/>
        <v>1000</v>
      </c>
      <c r="I19" s="89">
        <f t="shared" si="1"/>
        <v>1000</v>
      </c>
      <c r="J19" s="89">
        <f t="shared" si="1"/>
        <v>1000</v>
      </c>
      <c r="K19" s="89">
        <f t="shared" si="1"/>
        <v>1000</v>
      </c>
      <c r="L19" s="89">
        <f t="shared" si="1"/>
        <v>1000</v>
      </c>
      <c r="M19" s="89">
        <f t="shared" si="1"/>
        <v>1000</v>
      </c>
      <c r="N19" s="89">
        <f t="shared" si="1"/>
        <v>1000</v>
      </c>
      <c r="O19" s="118">
        <f>SUM(C19:N19)</f>
        <v>12000</v>
      </c>
    </row>
    <row r="20" spans="2:15" x14ac:dyDescent="0.2">
      <c r="B20" s="4" t="s">
        <v>4126</v>
      </c>
      <c r="C20" s="89">
        <f>+O5</f>
        <v>13500</v>
      </c>
      <c r="D20" s="89">
        <f>+C20</f>
        <v>13500</v>
      </c>
      <c r="E20" s="89">
        <f>+D20</f>
        <v>13500</v>
      </c>
      <c r="F20" s="89">
        <f>30*10*30</f>
        <v>9000</v>
      </c>
      <c r="G20" s="89">
        <f t="shared" ref="G20:N20" si="2">30*10*30</f>
        <v>9000</v>
      </c>
      <c r="H20" s="89">
        <f t="shared" si="2"/>
        <v>9000</v>
      </c>
      <c r="I20" s="89">
        <f t="shared" si="2"/>
        <v>9000</v>
      </c>
      <c r="J20" s="89">
        <f t="shared" si="2"/>
        <v>9000</v>
      </c>
      <c r="K20" s="89">
        <f t="shared" si="2"/>
        <v>9000</v>
      </c>
      <c r="L20" s="89">
        <f t="shared" si="2"/>
        <v>9000</v>
      </c>
      <c r="M20" s="89">
        <f t="shared" si="2"/>
        <v>9000</v>
      </c>
      <c r="N20" s="89">
        <f t="shared" si="2"/>
        <v>9000</v>
      </c>
      <c r="O20" s="118">
        <f>SUM(C20:N20)</f>
        <v>121500</v>
      </c>
    </row>
    <row r="21" spans="2:15" x14ac:dyDescent="0.2">
      <c r="B21" s="4" t="s">
        <v>4127</v>
      </c>
      <c r="C21" s="89">
        <f>+O6</f>
        <v>7500</v>
      </c>
      <c r="D21" s="89">
        <f>3000*1.5</f>
        <v>4500</v>
      </c>
      <c r="E21" s="89">
        <f>3000*1.5</f>
        <v>4500</v>
      </c>
      <c r="F21" s="89">
        <f>1000*1.5</f>
        <v>1500</v>
      </c>
      <c r="G21" s="89">
        <f t="shared" ref="G21:N21" si="3">1000*1.5</f>
        <v>1500</v>
      </c>
      <c r="H21" s="89">
        <f t="shared" si="3"/>
        <v>1500</v>
      </c>
      <c r="I21" s="89">
        <f t="shared" si="3"/>
        <v>1500</v>
      </c>
      <c r="J21" s="89">
        <f t="shared" si="3"/>
        <v>1500</v>
      </c>
      <c r="K21" s="89">
        <f t="shared" si="3"/>
        <v>1500</v>
      </c>
      <c r="L21" s="89">
        <f t="shared" si="3"/>
        <v>1500</v>
      </c>
      <c r="M21" s="89">
        <f t="shared" si="3"/>
        <v>1500</v>
      </c>
      <c r="N21" s="89">
        <f t="shared" si="3"/>
        <v>1500</v>
      </c>
      <c r="O21" s="118">
        <f>SUM(C21:N21)</f>
        <v>30000</v>
      </c>
    </row>
    <row r="22" spans="2:15" x14ac:dyDescent="0.2">
      <c r="B22" s="4" t="s">
        <v>3545</v>
      </c>
      <c r="C22" s="89">
        <f>SUM(C18:C21)</f>
        <v>25000</v>
      </c>
      <c r="D22" s="89">
        <f>SUM(D18:D21)</f>
        <v>20000</v>
      </c>
      <c r="E22" s="89">
        <f t="shared" ref="E22:N22" si="4">SUM(E18:E21)</f>
        <v>20000</v>
      </c>
      <c r="F22" s="89">
        <f t="shared" si="4"/>
        <v>12500</v>
      </c>
      <c r="G22" s="89">
        <f t="shared" si="4"/>
        <v>12500</v>
      </c>
      <c r="H22" s="89">
        <f t="shared" si="4"/>
        <v>12500</v>
      </c>
      <c r="I22" s="89">
        <f t="shared" si="4"/>
        <v>12500</v>
      </c>
      <c r="J22" s="89">
        <f t="shared" si="4"/>
        <v>12500</v>
      </c>
      <c r="K22" s="89">
        <f t="shared" si="4"/>
        <v>12500</v>
      </c>
      <c r="L22" s="89">
        <f t="shared" si="4"/>
        <v>12500</v>
      </c>
      <c r="M22" s="89">
        <f t="shared" si="4"/>
        <v>12500</v>
      </c>
      <c r="N22" s="89">
        <f t="shared" si="4"/>
        <v>12500</v>
      </c>
      <c r="O22" s="118">
        <f>SUM(C22:N22)</f>
        <v>177500</v>
      </c>
    </row>
    <row r="23" spans="2:15" x14ac:dyDescent="0.2">
      <c r="O23" s="118"/>
    </row>
    <row r="25" spans="2:15" x14ac:dyDescent="0.2">
      <c r="C25" s="133">
        <v>43466</v>
      </c>
      <c r="D25" s="133">
        <v>43497</v>
      </c>
      <c r="E25" s="133">
        <v>43525</v>
      </c>
      <c r="F25" s="133">
        <v>43556</v>
      </c>
      <c r="G25" s="133">
        <v>43586</v>
      </c>
      <c r="H25" s="133">
        <v>43617</v>
      </c>
      <c r="I25" s="133">
        <v>43647</v>
      </c>
      <c r="J25" s="133">
        <v>43678</v>
      </c>
      <c r="K25" s="133">
        <v>43709</v>
      </c>
      <c r="L25" s="133">
        <v>43739</v>
      </c>
      <c r="M25" s="133">
        <v>43770</v>
      </c>
      <c r="N25" s="133">
        <v>43800</v>
      </c>
    </row>
    <row r="26" spans="2:15" x14ac:dyDescent="0.2">
      <c r="B26" s="154" t="s">
        <v>4126</v>
      </c>
      <c r="C26" s="89">
        <f>+N20</f>
        <v>9000</v>
      </c>
      <c r="D26" s="89">
        <f>+C26</f>
        <v>9000</v>
      </c>
      <c r="E26" s="89">
        <f t="shared" ref="E26:N26" si="5">+D26</f>
        <v>9000</v>
      </c>
      <c r="F26" s="89">
        <f t="shared" si="5"/>
        <v>9000</v>
      </c>
      <c r="G26" s="89">
        <f t="shared" si="5"/>
        <v>9000</v>
      </c>
      <c r="H26" s="89">
        <f t="shared" si="5"/>
        <v>9000</v>
      </c>
      <c r="I26" s="89">
        <f t="shared" si="5"/>
        <v>9000</v>
      </c>
      <c r="J26" s="89">
        <f t="shared" si="5"/>
        <v>9000</v>
      </c>
      <c r="K26" s="89">
        <f t="shared" si="5"/>
        <v>9000</v>
      </c>
      <c r="L26" s="89">
        <f>+K26</f>
        <v>9000</v>
      </c>
      <c r="M26" s="89">
        <f t="shared" si="5"/>
        <v>9000</v>
      </c>
      <c r="N26" s="89">
        <f t="shared" si="5"/>
        <v>9000</v>
      </c>
      <c r="O26" s="118">
        <f>SUM(C26:N26)</f>
        <v>108000</v>
      </c>
    </row>
    <row r="27" spans="2:15" x14ac:dyDescent="0.2">
      <c r="B27" s="154" t="s">
        <v>4127</v>
      </c>
      <c r="C27" s="89">
        <f>+N21</f>
        <v>1500</v>
      </c>
      <c r="D27" s="89">
        <f>+C27</f>
        <v>1500</v>
      </c>
      <c r="E27" s="89">
        <f t="shared" ref="E27:N27" si="6">+D27</f>
        <v>1500</v>
      </c>
      <c r="F27" s="89">
        <f t="shared" si="6"/>
        <v>1500</v>
      </c>
      <c r="G27" s="89">
        <f t="shared" si="6"/>
        <v>1500</v>
      </c>
      <c r="H27" s="89">
        <f t="shared" si="6"/>
        <v>1500</v>
      </c>
      <c r="I27" s="89">
        <f t="shared" si="6"/>
        <v>1500</v>
      </c>
      <c r="J27" s="89">
        <f t="shared" si="6"/>
        <v>1500</v>
      </c>
      <c r="K27" s="89">
        <f t="shared" si="6"/>
        <v>1500</v>
      </c>
      <c r="L27" s="89">
        <f>+K27</f>
        <v>1500</v>
      </c>
      <c r="M27" s="89">
        <f t="shared" si="6"/>
        <v>1500</v>
      </c>
      <c r="N27" s="89">
        <f t="shared" si="6"/>
        <v>1500</v>
      </c>
      <c r="O27" s="118">
        <f>SUM(C27:N27)</f>
        <v>18000</v>
      </c>
    </row>
    <row r="28" spans="2:15" x14ac:dyDescent="0.2">
      <c r="B28" s="154" t="s">
        <v>3545</v>
      </c>
      <c r="C28" s="89">
        <f>+C27+C26</f>
        <v>10500</v>
      </c>
      <c r="D28" s="89">
        <f>+D27+D26</f>
        <v>10500</v>
      </c>
      <c r="E28" s="89">
        <f t="shared" ref="E28:N28" si="7">+E27+E26</f>
        <v>10500</v>
      </c>
      <c r="F28" s="89">
        <f t="shared" si="7"/>
        <v>10500</v>
      </c>
      <c r="G28" s="89">
        <f t="shared" si="7"/>
        <v>10500</v>
      </c>
      <c r="H28" s="89">
        <f t="shared" si="7"/>
        <v>10500</v>
      </c>
      <c r="I28" s="89">
        <f t="shared" si="7"/>
        <v>10500</v>
      </c>
      <c r="J28" s="89">
        <f t="shared" si="7"/>
        <v>10500</v>
      </c>
      <c r="K28" s="89">
        <f t="shared" si="7"/>
        <v>10500</v>
      </c>
      <c r="L28" s="89">
        <f t="shared" si="7"/>
        <v>10500</v>
      </c>
      <c r="M28" s="89">
        <f t="shared" si="7"/>
        <v>10500</v>
      </c>
      <c r="N28" s="89">
        <f t="shared" si="7"/>
        <v>10500</v>
      </c>
      <c r="O28" s="118">
        <f>SUM(C28:N28)</f>
        <v>126000</v>
      </c>
    </row>
  </sheetData>
  <mergeCells count="27">
    <mergeCell ref="L2:N2"/>
    <mergeCell ref="L3:N3"/>
    <mergeCell ref="L5:N5"/>
    <mergeCell ref="L6:N6"/>
    <mergeCell ref="L7:N7"/>
    <mergeCell ref="L4:N4"/>
    <mergeCell ref="Q2:S2"/>
    <mergeCell ref="Q3:S3"/>
    <mergeCell ref="Q4:S4"/>
    <mergeCell ref="Q5:S5"/>
    <mergeCell ref="Q6:S6"/>
    <mergeCell ref="B12:D12"/>
    <mergeCell ref="B11:D11"/>
    <mergeCell ref="G2:I2"/>
    <mergeCell ref="G3:I3"/>
    <mergeCell ref="G4:I4"/>
    <mergeCell ref="G5:I5"/>
    <mergeCell ref="G6:I6"/>
    <mergeCell ref="B2:D2"/>
    <mergeCell ref="B3:D3"/>
    <mergeCell ref="B4:D4"/>
    <mergeCell ref="B5:D5"/>
    <mergeCell ref="B6:D6"/>
    <mergeCell ref="B7:D7"/>
    <mergeCell ref="B10:D10"/>
    <mergeCell ref="B8:D8"/>
    <mergeCell ref="B9:D9"/>
  </mergeCells>
  <pageMargins left="0.7" right="0.7" top="0.75" bottom="0.75" header="0.3" footer="0.3"/>
  <ignoredErrors>
    <ignoredError sqref="C19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C33" sqref="C33"/>
    </sheetView>
  </sheetViews>
  <sheetFormatPr baseColWidth="10" defaultRowHeight="16" x14ac:dyDescent="0.2"/>
  <cols>
    <col min="2" max="2" width="15.83203125" customWidth="1"/>
    <col min="3" max="14" width="14.1640625" customWidth="1"/>
    <col min="15" max="15" width="11.33203125" bestFit="1" customWidth="1"/>
  </cols>
  <sheetData>
    <row r="1" spans="1:17" x14ac:dyDescent="0.2">
      <c r="G1" s="401" t="s">
        <v>4089</v>
      </c>
      <c r="H1" s="401" t="s">
        <v>4090</v>
      </c>
      <c r="I1" s="401" t="s">
        <v>4091</v>
      </c>
      <c r="J1" s="401" t="s">
        <v>4092</v>
      </c>
    </row>
    <row r="2" spans="1:17" x14ac:dyDescent="0.2">
      <c r="A2" s="130" t="s">
        <v>4160</v>
      </c>
      <c r="B2" s="142" t="s">
        <v>4067</v>
      </c>
      <c r="C2" t="s">
        <v>4159</v>
      </c>
      <c r="E2" t="s">
        <v>4071</v>
      </c>
      <c r="F2" t="s">
        <v>4072</v>
      </c>
      <c r="G2" s="401"/>
      <c r="H2" s="401"/>
      <c r="I2" s="401"/>
      <c r="J2" s="401"/>
      <c r="P2" s="130" t="s">
        <v>4160</v>
      </c>
      <c r="Q2" s="142" t="s">
        <v>4067</v>
      </c>
    </row>
    <row r="3" spans="1:17" x14ac:dyDescent="0.2">
      <c r="A3" s="55" t="s">
        <v>4075</v>
      </c>
      <c r="B3" s="39">
        <v>7.9484330246019613E-2</v>
      </c>
      <c r="C3" s="2">
        <f>+Presupuestos!C5</f>
        <v>252244</v>
      </c>
      <c r="E3" s="118">
        <f>+Presupuestos!C6</f>
        <v>44.5</v>
      </c>
      <c r="F3" s="118">
        <f>+Presupuestos!L43</f>
        <v>30.5</v>
      </c>
      <c r="G3">
        <v>3.8</v>
      </c>
      <c r="H3">
        <v>2.8</v>
      </c>
      <c r="I3">
        <v>0.6</v>
      </c>
      <c r="J3">
        <v>0.4</v>
      </c>
      <c r="K3">
        <f>SUM(G3:J3)</f>
        <v>7.6</v>
      </c>
      <c r="P3" s="55" t="s">
        <v>4075</v>
      </c>
      <c r="Q3" s="39">
        <v>7.9484330246019613E-2</v>
      </c>
    </row>
    <row r="4" spans="1:17" x14ac:dyDescent="0.2">
      <c r="A4" s="55" t="s">
        <v>4076</v>
      </c>
      <c r="B4" s="39">
        <v>7.5731600273392374E-2</v>
      </c>
      <c r="P4" s="55" t="s">
        <v>4076</v>
      </c>
      <c r="Q4" s="39">
        <v>7.5731600273392374E-2</v>
      </c>
    </row>
    <row r="5" spans="1:17" x14ac:dyDescent="0.2">
      <c r="A5" s="55" t="s">
        <v>4077</v>
      </c>
      <c r="B5" s="39">
        <v>8.4997359141012641E-2</v>
      </c>
      <c r="C5" s="23">
        <v>7.9484330246019613E-2</v>
      </c>
      <c r="D5" s="23">
        <v>7.5731600273392374E-2</v>
      </c>
      <c r="E5" s="23">
        <v>8.4997359141012641E-2</v>
      </c>
      <c r="F5" s="23">
        <v>8.8879938004814807E-2</v>
      </c>
      <c r="G5" s="23">
        <v>8.1763556076362598E-2</v>
      </c>
      <c r="H5" s="23">
        <v>7.0095238702856888E-2</v>
      </c>
      <c r="I5" s="23">
        <v>9.1205667637012849E-2</v>
      </c>
      <c r="J5" s="23">
        <v>9.1358120242699209E-2</v>
      </c>
      <c r="K5" s="23">
        <v>8.4221031320838607E-2</v>
      </c>
      <c r="L5" s="23">
        <v>8.6410345940626687E-2</v>
      </c>
      <c r="M5" s="23">
        <v>8.3285128274487807E-2</v>
      </c>
      <c r="N5" s="23">
        <v>8.2567684139876016E-2</v>
      </c>
      <c r="P5" s="55" t="s">
        <v>4077</v>
      </c>
      <c r="Q5" s="39">
        <v>8.4997359141012641E-2</v>
      </c>
    </row>
    <row r="6" spans="1:17" x14ac:dyDescent="0.2">
      <c r="A6" s="55" t="s">
        <v>4078</v>
      </c>
      <c r="B6" s="39">
        <v>8.8879938004814807E-2</v>
      </c>
      <c r="P6" s="55" t="s">
        <v>4078</v>
      </c>
      <c r="Q6" s="39">
        <v>8.8879938004814807E-2</v>
      </c>
    </row>
    <row r="7" spans="1:17" x14ac:dyDescent="0.2">
      <c r="A7" s="55" t="s">
        <v>4079</v>
      </c>
      <c r="B7" s="39">
        <v>8.1763556076362598E-2</v>
      </c>
      <c r="P7" s="55" t="s">
        <v>4079</v>
      </c>
      <c r="Q7" s="39">
        <v>8.1763556076362598E-2</v>
      </c>
    </row>
    <row r="8" spans="1:17" x14ac:dyDescent="0.2">
      <c r="A8" s="55" t="s">
        <v>4080</v>
      </c>
      <c r="B8" s="39">
        <v>7.0095238702856888E-2</v>
      </c>
      <c r="P8" s="55" t="s">
        <v>4080</v>
      </c>
      <c r="Q8" s="39">
        <v>7.0095238702856888E-2</v>
      </c>
    </row>
    <row r="9" spans="1:17" x14ac:dyDescent="0.2">
      <c r="A9" s="55" t="s">
        <v>4081</v>
      </c>
      <c r="B9" s="39">
        <v>9.1205667637012849E-2</v>
      </c>
      <c r="P9" s="55" t="s">
        <v>4081</v>
      </c>
      <c r="Q9" s="39">
        <v>9.1205667637012849E-2</v>
      </c>
    </row>
    <row r="10" spans="1:17" x14ac:dyDescent="0.2">
      <c r="A10" s="55" t="s">
        <v>4082</v>
      </c>
      <c r="B10" s="39">
        <v>9.1358120242699209E-2</v>
      </c>
      <c r="P10" s="55" t="s">
        <v>4082</v>
      </c>
      <c r="Q10" s="39">
        <v>9.1358120242699209E-2</v>
      </c>
    </row>
    <row r="11" spans="1:17" x14ac:dyDescent="0.2">
      <c r="A11" s="55" t="s">
        <v>4083</v>
      </c>
      <c r="B11" s="39">
        <v>8.4221031320838607E-2</v>
      </c>
      <c r="P11" s="55" t="s">
        <v>4083</v>
      </c>
      <c r="Q11" s="39">
        <v>8.4221031320838607E-2</v>
      </c>
    </row>
    <row r="12" spans="1:17" x14ac:dyDescent="0.2">
      <c r="A12" s="55" t="s">
        <v>4084</v>
      </c>
      <c r="B12" s="39">
        <v>8.6410345940626687E-2</v>
      </c>
      <c r="P12" s="55" t="s">
        <v>4084</v>
      </c>
      <c r="Q12" s="39">
        <v>8.6410345940626687E-2</v>
      </c>
    </row>
    <row r="13" spans="1:17" x14ac:dyDescent="0.2">
      <c r="A13" s="55" t="s">
        <v>4085</v>
      </c>
      <c r="B13" s="39">
        <v>8.3285128274487807E-2</v>
      </c>
      <c r="P13" s="55" t="s">
        <v>4085</v>
      </c>
      <c r="Q13" s="39">
        <v>8.3285128274487807E-2</v>
      </c>
    </row>
    <row r="14" spans="1:17" x14ac:dyDescent="0.2">
      <c r="A14" s="55" t="s">
        <v>4086</v>
      </c>
      <c r="B14" s="39">
        <v>8.2567684139876016E-2</v>
      </c>
      <c r="P14" s="55" t="s">
        <v>4086</v>
      </c>
      <c r="Q14" s="39">
        <v>8.2567684139876016E-2</v>
      </c>
    </row>
    <row r="16" spans="1:17" x14ac:dyDescent="0.2">
      <c r="B16" s="55" t="s">
        <v>4068</v>
      </c>
      <c r="C16" s="124">
        <v>43101</v>
      </c>
      <c r="D16" s="124">
        <v>43132</v>
      </c>
      <c r="E16" s="124">
        <v>43160</v>
      </c>
      <c r="F16" s="124">
        <v>43191</v>
      </c>
      <c r="G16" s="124">
        <v>43221</v>
      </c>
      <c r="H16" s="124">
        <v>43252</v>
      </c>
      <c r="I16" s="124">
        <v>43282</v>
      </c>
      <c r="J16" s="124">
        <v>43313</v>
      </c>
      <c r="K16" s="124">
        <v>43344</v>
      </c>
      <c r="L16" s="124">
        <v>43374</v>
      </c>
      <c r="M16" s="124">
        <v>43405</v>
      </c>
      <c r="N16" s="124">
        <v>43435</v>
      </c>
    </row>
    <row r="17" spans="2:20" x14ac:dyDescent="0.2">
      <c r="B17" s="55" t="s">
        <v>4069</v>
      </c>
      <c r="C17" s="37">
        <f>ROUND($C$3*C5,0)</f>
        <v>20049</v>
      </c>
      <c r="D17" s="37">
        <f>ROUND($C$3*D5,0)+2</f>
        <v>19105</v>
      </c>
      <c r="E17" s="37">
        <f t="shared" ref="E17:N17" si="0">ROUND($C$3*E5,0)</f>
        <v>21440</v>
      </c>
      <c r="F17" s="37">
        <f t="shared" si="0"/>
        <v>22419</v>
      </c>
      <c r="G17" s="37">
        <f t="shared" si="0"/>
        <v>20624</v>
      </c>
      <c r="H17" s="37">
        <f t="shared" si="0"/>
        <v>17681</v>
      </c>
      <c r="I17" s="37">
        <f t="shared" si="0"/>
        <v>23006</v>
      </c>
      <c r="J17" s="37">
        <f t="shared" si="0"/>
        <v>23045</v>
      </c>
      <c r="K17" s="37">
        <f t="shared" si="0"/>
        <v>21244</v>
      </c>
      <c r="L17" s="37">
        <f t="shared" si="0"/>
        <v>21796</v>
      </c>
      <c r="M17" s="37">
        <f t="shared" si="0"/>
        <v>21008</v>
      </c>
      <c r="N17" s="37">
        <f t="shared" si="0"/>
        <v>20827</v>
      </c>
    </row>
    <row r="18" spans="2:20" x14ac:dyDescent="0.2">
      <c r="B18" s="55" t="s">
        <v>4070</v>
      </c>
      <c r="C18" s="123">
        <f>+C17*$E$3</f>
        <v>892180.5</v>
      </c>
      <c r="D18" s="123">
        <f t="shared" ref="D18:N18" si="1">+D17*$E$3</f>
        <v>850172.5</v>
      </c>
      <c r="E18" s="123">
        <f t="shared" si="1"/>
        <v>954080</v>
      </c>
      <c r="F18" s="123">
        <f t="shared" si="1"/>
        <v>997645.5</v>
      </c>
      <c r="G18" s="123">
        <f t="shared" si="1"/>
        <v>917768</v>
      </c>
      <c r="H18" s="123">
        <f t="shared" si="1"/>
        <v>786804.5</v>
      </c>
      <c r="I18" s="123">
        <f t="shared" si="1"/>
        <v>1023767</v>
      </c>
      <c r="J18" s="123">
        <f t="shared" si="1"/>
        <v>1025502.5</v>
      </c>
      <c r="K18" s="123">
        <f t="shared" si="1"/>
        <v>945358</v>
      </c>
      <c r="L18" s="123">
        <f t="shared" si="1"/>
        <v>969922</v>
      </c>
      <c r="M18" s="123">
        <f t="shared" si="1"/>
        <v>934856</v>
      </c>
      <c r="N18" s="123">
        <f t="shared" si="1"/>
        <v>926801.5</v>
      </c>
      <c r="O18" s="118"/>
      <c r="P18" s="130" t="s">
        <v>4160</v>
      </c>
      <c r="Q18" s="55" t="s">
        <v>4075</v>
      </c>
      <c r="R18" s="55" t="s">
        <v>4076</v>
      </c>
      <c r="S18" s="55" t="s">
        <v>4077</v>
      </c>
      <c r="T18" s="55" t="s">
        <v>4078</v>
      </c>
    </row>
    <row r="19" spans="2:20" x14ac:dyDescent="0.2">
      <c r="B19" s="55" t="s">
        <v>4073</v>
      </c>
      <c r="C19" s="89">
        <f>+C17*$F$3</f>
        <v>611494.5</v>
      </c>
      <c r="D19" s="89">
        <f t="shared" ref="D19:N19" si="2">+D17*$F$3</f>
        <v>582702.5</v>
      </c>
      <c r="E19" s="89">
        <f t="shared" si="2"/>
        <v>653920</v>
      </c>
      <c r="F19" s="89">
        <f t="shared" si="2"/>
        <v>683779.5</v>
      </c>
      <c r="G19" s="89">
        <f t="shared" si="2"/>
        <v>629032</v>
      </c>
      <c r="H19" s="89">
        <f t="shared" si="2"/>
        <v>539270.5</v>
      </c>
      <c r="I19" s="89">
        <f t="shared" si="2"/>
        <v>701683</v>
      </c>
      <c r="J19" s="89">
        <f t="shared" si="2"/>
        <v>702872.5</v>
      </c>
      <c r="K19" s="89">
        <f t="shared" si="2"/>
        <v>647942</v>
      </c>
      <c r="L19" s="89">
        <f t="shared" si="2"/>
        <v>664778</v>
      </c>
      <c r="M19" s="89">
        <f t="shared" si="2"/>
        <v>640744</v>
      </c>
      <c r="N19" s="89">
        <f t="shared" si="2"/>
        <v>635223.5</v>
      </c>
      <c r="P19" s="130" t="s">
        <v>4067</v>
      </c>
      <c r="Q19" s="39">
        <v>7.9484330246019613E-2</v>
      </c>
      <c r="R19" s="39">
        <v>7.5731600273392374E-2</v>
      </c>
      <c r="S19" s="39">
        <v>8.4997359141012641E-2</v>
      </c>
      <c r="T19" s="39">
        <v>8.8879938004814807E-2</v>
      </c>
    </row>
    <row r="20" spans="2:20" x14ac:dyDescent="0.2">
      <c r="B20" s="55" t="s">
        <v>4088</v>
      </c>
      <c r="C20" s="89">
        <f>+$K$3*C17</f>
        <v>152372.4</v>
      </c>
      <c r="D20" s="89">
        <f>+$K$3*D17</f>
        <v>145198</v>
      </c>
      <c r="E20" s="89">
        <f t="shared" ref="E20:N20" si="3">+$K$3*E17</f>
        <v>162944</v>
      </c>
      <c r="F20" s="89">
        <f t="shared" si="3"/>
        <v>170384.4</v>
      </c>
      <c r="G20" s="89">
        <f t="shared" si="3"/>
        <v>156742.39999999999</v>
      </c>
      <c r="H20" s="89">
        <f t="shared" si="3"/>
        <v>134375.6</v>
      </c>
      <c r="I20" s="89">
        <f t="shared" si="3"/>
        <v>174845.6</v>
      </c>
      <c r="J20" s="89">
        <f t="shared" si="3"/>
        <v>175142</v>
      </c>
      <c r="K20" s="89">
        <f t="shared" si="3"/>
        <v>161454.39999999999</v>
      </c>
      <c r="L20" s="89">
        <f t="shared" si="3"/>
        <v>165649.60000000001</v>
      </c>
      <c r="M20" s="89">
        <f t="shared" si="3"/>
        <v>159660.79999999999</v>
      </c>
      <c r="N20" s="89">
        <f t="shared" si="3"/>
        <v>158285.19999999998</v>
      </c>
      <c r="P20" s="130" t="s">
        <v>4160</v>
      </c>
      <c r="Q20" s="55" t="s">
        <v>4079</v>
      </c>
      <c r="R20" s="55" t="s">
        <v>4080</v>
      </c>
      <c r="S20" s="55" t="s">
        <v>4081</v>
      </c>
      <c r="T20" s="55" t="s">
        <v>4082</v>
      </c>
    </row>
    <row r="21" spans="2:20" x14ac:dyDescent="0.2">
      <c r="B21" s="55" t="s">
        <v>4074</v>
      </c>
      <c r="C21" s="89">
        <f>+'Requerimientos de personal'!H11</f>
        <v>42400</v>
      </c>
      <c r="D21" s="89">
        <f>+'Requerimientos de personal'!I11</f>
        <v>42400</v>
      </c>
      <c r="E21" s="89">
        <f>+'Requerimientos de personal'!J11</f>
        <v>42400</v>
      </c>
      <c r="F21" s="89">
        <f>+'Requerimientos de personal'!K11</f>
        <v>42400</v>
      </c>
      <c r="G21" s="89">
        <f>+'Requerimientos de personal'!L11</f>
        <v>67133.333333333343</v>
      </c>
      <c r="H21" s="89">
        <f>+'Requerimientos de personal'!M11</f>
        <v>42400</v>
      </c>
      <c r="I21" s="89">
        <f>+'Requerimientos de personal'!N11</f>
        <v>88616</v>
      </c>
      <c r="J21" s="89">
        <f>+'Requerimientos de personal'!O11</f>
        <v>42400</v>
      </c>
      <c r="K21" s="89">
        <f>+'Requerimientos de personal'!P11</f>
        <v>42400</v>
      </c>
      <c r="L21" s="89">
        <f>+'Requerimientos de personal'!Q11</f>
        <v>42400</v>
      </c>
      <c r="M21" s="89">
        <f>+'Requerimientos de personal'!R11</f>
        <v>67133.333333333343</v>
      </c>
      <c r="N21" s="89">
        <f>+'Requerimientos de personal'!S11</f>
        <v>88616</v>
      </c>
      <c r="P21" s="130" t="s">
        <v>4067</v>
      </c>
      <c r="Q21" s="39">
        <v>8.1763556076362598E-2</v>
      </c>
      <c r="R21" s="39">
        <v>7.0095238702856888E-2</v>
      </c>
      <c r="S21" s="39">
        <v>9.1205667637012849E-2</v>
      </c>
      <c r="T21" s="39">
        <v>9.1358120242699209E-2</v>
      </c>
    </row>
    <row r="22" spans="2:20" x14ac:dyDescent="0.2">
      <c r="B22" s="55" t="s">
        <v>4093</v>
      </c>
      <c r="C22" s="89">
        <f>+Servicios!F11/12</f>
        <v>9868.3333333333339</v>
      </c>
      <c r="D22" s="89">
        <f>+C22</f>
        <v>9868.3333333333339</v>
      </c>
      <c r="E22" s="89">
        <f t="shared" ref="E22:N22" si="4">+D22</f>
        <v>9868.3333333333339</v>
      </c>
      <c r="F22" s="89">
        <f t="shared" si="4"/>
        <v>9868.3333333333339</v>
      </c>
      <c r="G22" s="89">
        <f t="shared" si="4"/>
        <v>9868.3333333333339</v>
      </c>
      <c r="H22" s="89">
        <f t="shared" si="4"/>
        <v>9868.3333333333339</v>
      </c>
      <c r="I22" s="89">
        <f t="shared" si="4"/>
        <v>9868.3333333333339</v>
      </c>
      <c r="J22" s="89">
        <f t="shared" si="4"/>
        <v>9868.3333333333339</v>
      </c>
      <c r="K22" s="89">
        <f t="shared" si="4"/>
        <v>9868.3333333333339</v>
      </c>
      <c r="L22" s="89">
        <f t="shared" si="4"/>
        <v>9868.3333333333339</v>
      </c>
      <c r="M22" s="89">
        <f t="shared" si="4"/>
        <v>9868.3333333333339</v>
      </c>
      <c r="N22" s="89">
        <f t="shared" si="4"/>
        <v>9868.3333333333339</v>
      </c>
      <c r="P22" s="130" t="s">
        <v>4160</v>
      </c>
      <c r="Q22" s="55" t="s">
        <v>4083</v>
      </c>
      <c r="R22" s="55" t="s">
        <v>4084</v>
      </c>
      <c r="S22" s="55" t="s">
        <v>4085</v>
      </c>
      <c r="T22" s="55" t="s">
        <v>4086</v>
      </c>
    </row>
    <row r="23" spans="2:20" x14ac:dyDescent="0.2">
      <c r="B23" s="55" t="s">
        <v>4094</v>
      </c>
      <c r="C23" s="89">
        <f>1200+1300+288*2</f>
        <v>3076</v>
      </c>
      <c r="D23" s="89">
        <f t="shared" ref="D23:N23" si="5">1200+1300</f>
        <v>2500</v>
      </c>
      <c r="E23" s="89">
        <f t="shared" si="5"/>
        <v>2500</v>
      </c>
      <c r="F23" s="89">
        <f t="shared" si="5"/>
        <v>2500</v>
      </c>
      <c r="G23" s="89">
        <f t="shared" si="5"/>
        <v>2500</v>
      </c>
      <c r="H23" s="89">
        <f t="shared" si="5"/>
        <v>2500</v>
      </c>
      <c r="I23" s="89">
        <f t="shared" si="5"/>
        <v>2500</v>
      </c>
      <c r="J23" s="89">
        <f t="shared" si="5"/>
        <v>2500</v>
      </c>
      <c r="K23" s="89">
        <f t="shared" si="5"/>
        <v>2500</v>
      </c>
      <c r="L23" s="89">
        <f t="shared" si="5"/>
        <v>2500</v>
      </c>
      <c r="M23" s="89">
        <f t="shared" si="5"/>
        <v>2500</v>
      </c>
      <c r="N23" s="89">
        <f t="shared" si="5"/>
        <v>2500</v>
      </c>
      <c r="O23" s="118">
        <f>SUM(C23:N23)</f>
        <v>30576</v>
      </c>
      <c r="P23" s="130" t="s">
        <v>4067</v>
      </c>
      <c r="Q23" s="39">
        <v>8.4221031320838607E-2</v>
      </c>
      <c r="R23" s="39">
        <v>8.6410345940626687E-2</v>
      </c>
      <c r="S23" s="39">
        <v>8.3285128274487807E-2</v>
      </c>
      <c r="T23" s="39">
        <v>8.2567684139876016E-2</v>
      </c>
    </row>
    <row r="24" spans="2:20" x14ac:dyDescent="0.2">
      <c r="B24" s="55" t="s">
        <v>4096</v>
      </c>
      <c r="C24" s="89">
        <f>+Insumos!O18</f>
        <v>6709.5</v>
      </c>
      <c r="D24" s="89">
        <f>+C24</f>
        <v>6709.5</v>
      </c>
      <c r="E24" s="89">
        <f>+D24</f>
        <v>6709.5</v>
      </c>
      <c r="F24" s="89">
        <f t="shared" ref="F24:N24" si="6">+E24</f>
        <v>6709.5</v>
      </c>
      <c r="G24" s="89">
        <f t="shared" si="6"/>
        <v>6709.5</v>
      </c>
      <c r="H24" s="89">
        <f t="shared" si="6"/>
        <v>6709.5</v>
      </c>
      <c r="I24" s="89">
        <f t="shared" si="6"/>
        <v>6709.5</v>
      </c>
      <c r="J24" s="89">
        <f t="shared" si="6"/>
        <v>6709.5</v>
      </c>
      <c r="K24" s="89">
        <f t="shared" si="6"/>
        <v>6709.5</v>
      </c>
      <c r="L24" s="89">
        <f t="shared" si="6"/>
        <v>6709.5</v>
      </c>
      <c r="M24" s="89">
        <f t="shared" si="6"/>
        <v>6709.5</v>
      </c>
      <c r="N24" s="89">
        <f t="shared" si="6"/>
        <v>6709.5</v>
      </c>
    </row>
    <row r="25" spans="2:20" x14ac:dyDescent="0.2">
      <c r="B25" s="55" t="s">
        <v>4095</v>
      </c>
      <c r="C25" s="89">
        <f>+'Inversión Activos Intangibles'!C22</f>
        <v>25000</v>
      </c>
      <c r="D25" s="89">
        <f>+'Inversión Activos Intangibles'!D22</f>
        <v>20000</v>
      </c>
      <c r="E25" s="89">
        <f>+'Inversión Activos Intangibles'!E22</f>
        <v>20000</v>
      </c>
      <c r="F25" s="89">
        <f>+'Inversión Activos Intangibles'!F22</f>
        <v>12500</v>
      </c>
      <c r="G25" s="89">
        <f>+'Inversión Activos Intangibles'!G22</f>
        <v>12500</v>
      </c>
      <c r="H25" s="89">
        <f>+'Inversión Activos Intangibles'!H22</f>
        <v>12500</v>
      </c>
      <c r="I25" s="89">
        <f>+'Inversión Activos Intangibles'!I22</f>
        <v>12500</v>
      </c>
      <c r="J25" s="89">
        <f>+'Inversión Activos Intangibles'!J22</f>
        <v>12500</v>
      </c>
      <c r="K25" s="89">
        <f>+'Inversión Activos Intangibles'!K22</f>
        <v>12500</v>
      </c>
      <c r="L25" s="89">
        <f>+'Inversión Activos Intangibles'!L22</f>
        <v>12500</v>
      </c>
      <c r="M25" s="89">
        <f>+'Inversión Activos Intangibles'!M22</f>
        <v>12500</v>
      </c>
      <c r="N25" s="89">
        <f>+'Inversión Activos Intangibles'!N22</f>
        <v>12500</v>
      </c>
    </row>
    <row r="26" spans="2:20" x14ac:dyDescent="0.2">
      <c r="B26" s="55" t="s">
        <v>4097</v>
      </c>
      <c r="C26" s="123">
        <f>SUM(C19:C25)</f>
        <v>850920.7333333334</v>
      </c>
      <c r="D26" s="123">
        <f t="shared" ref="D26:N26" si="7">SUM(D19:D25)</f>
        <v>809378.33333333337</v>
      </c>
      <c r="E26" s="123">
        <f t="shared" si="7"/>
        <v>898341.83333333337</v>
      </c>
      <c r="F26" s="123">
        <f t="shared" si="7"/>
        <v>928141.7333333334</v>
      </c>
      <c r="G26" s="123">
        <f t="shared" si="7"/>
        <v>884485.56666666677</v>
      </c>
      <c r="H26" s="123">
        <f t="shared" si="7"/>
        <v>747623.93333333335</v>
      </c>
      <c r="I26" s="123">
        <f t="shared" si="7"/>
        <v>996722.43333333335</v>
      </c>
      <c r="J26" s="123">
        <f t="shared" si="7"/>
        <v>951992.33333333337</v>
      </c>
      <c r="K26" s="123">
        <f t="shared" si="7"/>
        <v>883374.2333333334</v>
      </c>
      <c r="L26" s="123">
        <f t="shared" si="7"/>
        <v>904405.43333333335</v>
      </c>
      <c r="M26" s="123">
        <f t="shared" si="7"/>
        <v>899115.96666666679</v>
      </c>
      <c r="N26" s="123">
        <f t="shared" si="7"/>
        <v>913702.53333333333</v>
      </c>
    </row>
    <row r="27" spans="2:20" x14ac:dyDescent="0.2">
      <c r="B27" s="55" t="s">
        <v>4098</v>
      </c>
      <c r="C27" s="134">
        <f>+C18-C26</f>
        <v>41259.766666666605</v>
      </c>
      <c r="D27" s="134">
        <f t="shared" ref="D27:N27" si="8">+D18-D26</f>
        <v>40794.166666666628</v>
      </c>
      <c r="E27" s="134">
        <f t="shared" si="8"/>
        <v>55738.166666666628</v>
      </c>
      <c r="F27" s="134">
        <f t="shared" si="8"/>
        <v>69503.766666666605</v>
      </c>
      <c r="G27" s="134">
        <f t="shared" si="8"/>
        <v>33282.433333333232</v>
      </c>
      <c r="H27" s="134">
        <f t="shared" si="8"/>
        <v>39180.566666666651</v>
      </c>
      <c r="I27" s="134">
        <f t="shared" si="8"/>
        <v>27044.566666666651</v>
      </c>
      <c r="J27" s="134">
        <f t="shared" si="8"/>
        <v>73510.166666666628</v>
      </c>
      <c r="K27" s="134">
        <f t="shared" si="8"/>
        <v>61983.766666666605</v>
      </c>
      <c r="L27" s="134">
        <f t="shared" si="8"/>
        <v>65516.566666666651</v>
      </c>
      <c r="M27" s="134">
        <f t="shared" si="8"/>
        <v>35740.033333333209</v>
      </c>
      <c r="N27" s="134">
        <f t="shared" si="8"/>
        <v>13098.966666666674</v>
      </c>
    </row>
    <row r="28" spans="2:20" x14ac:dyDescent="0.2">
      <c r="B28" s="125" t="s">
        <v>4099</v>
      </c>
      <c r="C28" s="126">
        <f>+C27</f>
        <v>41259.766666666605</v>
      </c>
      <c r="D28" s="126">
        <f>+C28+D27</f>
        <v>82053.933333333232</v>
      </c>
      <c r="E28" s="126">
        <f t="shared" ref="E28:N28" si="9">+D28+E27</f>
        <v>137792.09999999986</v>
      </c>
      <c r="F28" s="126">
        <f t="shared" si="9"/>
        <v>207295.86666666646</v>
      </c>
      <c r="G28" s="126">
        <f t="shared" si="9"/>
        <v>240578.2999999997</v>
      </c>
      <c r="H28" s="126">
        <f t="shared" si="9"/>
        <v>279758.86666666635</v>
      </c>
      <c r="I28" s="126">
        <f t="shared" si="9"/>
        <v>306803.433333333</v>
      </c>
      <c r="J28" s="126">
        <f t="shared" si="9"/>
        <v>380313.59999999963</v>
      </c>
      <c r="K28" s="126">
        <f t="shared" si="9"/>
        <v>442297.36666666623</v>
      </c>
      <c r="L28" s="126">
        <f t="shared" si="9"/>
        <v>507813.93333333288</v>
      </c>
      <c r="M28" s="126">
        <f t="shared" si="9"/>
        <v>543553.96666666609</v>
      </c>
      <c r="N28" s="126">
        <f t="shared" si="9"/>
        <v>556652.93333333277</v>
      </c>
    </row>
    <row r="30" spans="2:20" x14ac:dyDescent="0.2">
      <c r="C30" s="83">
        <f>(SUM(C19:C20,C22:C25)/1.18)*0.18</f>
        <v>123333.6711864407</v>
      </c>
      <c r="D30" s="83">
        <f>+C26*0.25</f>
        <v>212730.18333333335</v>
      </c>
      <c r="E30" s="83">
        <f>+C21*0.25</f>
        <v>10600</v>
      </c>
    </row>
    <row r="31" spans="2:20" x14ac:dyDescent="0.2">
      <c r="C31" s="83">
        <f>+C30*0.25</f>
        <v>30833.417796610174</v>
      </c>
      <c r="D31" s="83">
        <f>+(D30/1.18)*0.18</f>
        <v>32450.366949152547</v>
      </c>
      <c r="E31" s="83">
        <f>+(E30/1.18)*0.18</f>
        <v>1616.9491525423728</v>
      </c>
    </row>
    <row r="32" spans="2:20" x14ac:dyDescent="0.2">
      <c r="E32" s="83"/>
    </row>
    <row r="33" spans="2:3" x14ac:dyDescent="0.2">
      <c r="B33" t="s">
        <v>4402</v>
      </c>
      <c r="C33" s="89">
        <f>SUM(C19:C20)/4</f>
        <v>190966.72500000001</v>
      </c>
    </row>
  </sheetData>
  <mergeCells count="4">
    <mergeCell ref="G1:G2"/>
    <mergeCell ref="H1:H2"/>
    <mergeCell ref="I1:I2"/>
    <mergeCell ref="J1:J2"/>
  </mergeCells>
  <pageMargins left="0.7" right="0.7" top="0.75" bottom="0.75" header="0.3" footer="0.3"/>
  <ignoredErrors>
    <ignoredError sqref="D17:N23" formula="1"/>
    <ignoredError sqref="K3" formulaRange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>
      <selection activeCell="B16" sqref="B16:G28"/>
    </sheetView>
  </sheetViews>
  <sheetFormatPr baseColWidth="10" defaultRowHeight="16" x14ac:dyDescent="0.2"/>
  <cols>
    <col min="2" max="2" width="15.83203125" customWidth="1"/>
    <col min="3" max="16" width="14.1640625" customWidth="1"/>
  </cols>
  <sheetData>
    <row r="1" spans="1:17" x14ac:dyDescent="0.2">
      <c r="G1" s="401" t="s">
        <v>4089</v>
      </c>
      <c r="H1" s="401" t="s">
        <v>4090</v>
      </c>
      <c r="I1" s="401" t="s">
        <v>4091</v>
      </c>
      <c r="J1" s="401" t="s">
        <v>4092</v>
      </c>
    </row>
    <row r="2" spans="1:17" x14ac:dyDescent="0.2">
      <c r="A2" s="199" t="s">
        <v>4160</v>
      </c>
      <c r="B2" s="142" t="s">
        <v>4067</v>
      </c>
      <c r="C2" t="s">
        <v>4159</v>
      </c>
      <c r="E2" t="s">
        <v>4071</v>
      </c>
      <c r="F2" t="s">
        <v>4072</v>
      </c>
      <c r="G2" s="401"/>
      <c r="H2" s="401"/>
      <c r="I2" s="401"/>
      <c r="J2" s="401"/>
      <c r="P2" s="199" t="s">
        <v>4160</v>
      </c>
      <c r="Q2" s="142" t="s">
        <v>4067</v>
      </c>
    </row>
    <row r="3" spans="1:17" x14ac:dyDescent="0.2">
      <c r="A3" s="55" t="s">
        <v>4075</v>
      </c>
      <c r="B3" s="39">
        <v>7.9484330246019613E-2</v>
      </c>
      <c r="C3" s="2">
        <f>+Presupuestos!C5</f>
        <v>252244</v>
      </c>
      <c r="E3" s="118">
        <v>44.5</v>
      </c>
      <c r="F3" s="118">
        <v>30.5</v>
      </c>
      <c r="G3">
        <v>3.8</v>
      </c>
      <c r="H3">
        <v>2.8</v>
      </c>
      <c r="I3">
        <v>0.6</v>
      </c>
      <c r="J3">
        <v>0.4</v>
      </c>
      <c r="K3">
        <f>SUM(G3:J3)</f>
        <v>7.6</v>
      </c>
      <c r="P3" s="55" t="s">
        <v>4075</v>
      </c>
      <c r="Q3" s="39">
        <v>7.9484330246019613E-2</v>
      </c>
    </row>
    <row r="4" spans="1:17" x14ac:dyDescent="0.2">
      <c r="A4" s="55" t="s">
        <v>4076</v>
      </c>
      <c r="B4" s="39">
        <v>7.5731600273392374E-2</v>
      </c>
      <c r="P4" s="55" t="s">
        <v>4076</v>
      </c>
      <c r="Q4" s="39">
        <v>7.5731600273392374E-2</v>
      </c>
    </row>
    <row r="5" spans="1:17" x14ac:dyDescent="0.2">
      <c r="A5" s="55" t="s">
        <v>4077</v>
      </c>
      <c r="B5" s="39">
        <v>8.4997359141012641E-2</v>
      </c>
      <c r="C5" s="23">
        <v>7.9484330246019613E-2</v>
      </c>
      <c r="D5" s="23">
        <v>7.5731600273392374E-2</v>
      </c>
      <c r="E5" s="23">
        <v>8.4997359141012641E-2</v>
      </c>
      <c r="F5" s="23">
        <v>8.8879938004814807E-2</v>
      </c>
      <c r="G5" s="23">
        <v>8.1763556076362598E-2</v>
      </c>
      <c r="H5" s="23">
        <v>7.0095238702856888E-2</v>
      </c>
      <c r="I5" s="23">
        <v>9.1205667637012849E-2</v>
      </c>
      <c r="J5" s="23">
        <v>9.1358120242699209E-2</v>
      </c>
      <c r="K5" s="23">
        <v>8.4221031320838607E-2</v>
      </c>
      <c r="L5" s="23">
        <v>8.6410345940626687E-2</v>
      </c>
      <c r="M5" s="23">
        <v>8.3285128274487807E-2</v>
      </c>
      <c r="N5" s="23">
        <v>8.2567684139876016E-2</v>
      </c>
      <c r="P5" s="55" t="s">
        <v>4077</v>
      </c>
      <c r="Q5" s="39">
        <v>8.4997359141012641E-2</v>
      </c>
    </row>
    <row r="6" spans="1:17" x14ac:dyDescent="0.2">
      <c r="A6" s="55" t="s">
        <v>4078</v>
      </c>
      <c r="B6" s="39">
        <v>8.8879938004814807E-2</v>
      </c>
      <c r="P6" s="55" t="s">
        <v>4078</v>
      </c>
      <c r="Q6" s="39">
        <v>8.8879938004814807E-2</v>
      </c>
    </row>
    <row r="7" spans="1:17" x14ac:dyDescent="0.2">
      <c r="A7" s="55" t="s">
        <v>4079</v>
      </c>
      <c r="B7" s="39">
        <v>8.1763556076362598E-2</v>
      </c>
      <c r="P7" s="55" t="s">
        <v>4079</v>
      </c>
      <c r="Q7" s="39">
        <v>8.1763556076362598E-2</v>
      </c>
    </row>
    <row r="8" spans="1:17" x14ac:dyDescent="0.2">
      <c r="A8" s="55" t="s">
        <v>4080</v>
      </c>
      <c r="B8" s="39">
        <v>7.0095238702856888E-2</v>
      </c>
      <c r="P8" s="55" t="s">
        <v>4080</v>
      </c>
      <c r="Q8" s="39">
        <v>7.0095238702856888E-2</v>
      </c>
    </row>
    <row r="9" spans="1:17" x14ac:dyDescent="0.2">
      <c r="A9" s="55" t="s">
        <v>4081</v>
      </c>
      <c r="B9" s="39">
        <v>9.1205667637012849E-2</v>
      </c>
      <c r="P9" s="55" t="s">
        <v>4081</v>
      </c>
      <c r="Q9" s="39">
        <v>9.1205667637012849E-2</v>
      </c>
    </row>
    <row r="10" spans="1:17" x14ac:dyDescent="0.2">
      <c r="A10" s="55" t="s">
        <v>4082</v>
      </c>
      <c r="B10" s="39">
        <v>9.1358120242699209E-2</v>
      </c>
      <c r="P10" s="55" t="s">
        <v>4082</v>
      </c>
      <c r="Q10" s="39">
        <v>9.1358120242699209E-2</v>
      </c>
    </row>
    <row r="11" spans="1:17" x14ac:dyDescent="0.2">
      <c r="A11" s="55" t="s">
        <v>4083</v>
      </c>
      <c r="B11" s="39">
        <v>8.4221031320838607E-2</v>
      </c>
      <c r="P11" s="55" t="s">
        <v>4083</v>
      </c>
      <c r="Q11" s="39">
        <v>8.4221031320838607E-2</v>
      </c>
    </row>
    <row r="12" spans="1:17" x14ac:dyDescent="0.2">
      <c r="A12" s="55" t="s">
        <v>4084</v>
      </c>
      <c r="B12" s="39">
        <v>8.6410345940626687E-2</v>
      </c>
      <c r="P12" s="55" t="s">
        <v>4084</v>
      </c>
      <c r="Q12" s="39">
        <v>8.6410345940626687E-2</v>
      </c>
    </row>
    <row r="13" spans="1:17" x14ac:dyDescent="0.2">
      <c r="A13" s="55" t="s">
        <v>4085</v>
      </c>
      <c r="B13" s="39">
        <v>8.3285128274487807E-2</v>
      </c>
      <c r="P13" s="55" t="s">
        <v>4085</v>
      </c>
      <c r="Q13" s="39">
        <v>8.3285128274487807E-2</v>
      </c>
    </row>
    <row r="14" spans="1:17" x14ac:dyDescent="0.2">
      <c r="A14" s="55" t="s">
        <v>4086</v>
      </c>
      <c r="B14" s="39">
        <v>8.2567684139876016E-2</v>
      </c>
      <c r="P14" s="55" t="s">
        <v>4086</v>
      </c>
      <c r="Q14" s="39">
        <v>8.2567684139876016E-2</v>
      </c>
    </row>
    <row r="16" spans="1:17" x14ac:dyDescent="0.2">
      <c r="B16" s="55" t="s">
        <v>4068</v>
      </c>
      <c r="C16" s="124">
        <v>43070</v>
      </c>
      <c r="D16" s="124">
        <v>43101</v>
      </c>
      <c r="E16" s="124">
        <v>43132</v>
      </c>
      <c r="F16" s="124">
        <v>43160</v>
      </c>
      <c r="G16" s="124">
        <v>43191</v>
      </c>
      <c r="H16" s="124">
        <v>43221</v>
      </c>
      <c r="I16" s="124">
        <v>43252</v>
      </c>
      <c r="J16" s="124">
        <v>43282</v>
      </c>
      <c r="K16" s="124">
        <v>43313</v>
      </c>
      <c r="L16" s="124">
        <v>43344</v>
      </c>
      <c r="M16" s="124">
        <v>43374</v>
      </c>
      <c r="N16" s="124">
        <v>43405</v>
      </c>
      <c r="O16" s="124">
        <v>43435</v>
      </c>
    </row>
    <row r="17" spans="2:21" x14ac:dyDescent="0.2">
      <c r="B17" s="55" t="s">
        <v>4069</v>
      </c>
      <c r="C17" s="37">
        <v>0</v>
      </c>
      <c r="D17" s="37">
        <f>ROUND($C$3*C5,0)</f>
        <v>20049</v>
      </c>
      <c r="E17" s="37">
        <f>ROUND($C$3*D5,0)+2</f>
        <v>19105</v>
      </c>
      <c r="F17" s="37">
        <f t="shared" ref="F17:O17" si="0">ROUND($C$3*E5,0)</f>
        <v>21440</v>
      </c>
      <c r="G17" s="37">
        <f t="shared" si="0"/>
        <v>22419</v>
      </c>
      <c r="H17" s="37">
        <f t="shared" si="0"/>
        <v>20624</v>
      </c>
      <c r="I17" s="37">
        <f t="shared" si="0"/>
        <v>17681</v>
      </c>
      <c r="J17" s="37">
        <f t="shared" si="0"/>
        <v>23006</v>
      </c>
      <c r="K17" s="37">
        <f t="shared" si="0"/>
        <v>23045</v>
      </c>
      <c r="L17" s="37">
        <f t="shared" si="0"/>
        <v>21244</v>
      </c>
      <c r="M17" s="37">
        <f t="shared" si="0"/>
        <v>21796</v>
      </c>
      <c r="N17" s="37">
        <f t="shared" si="0"/>
        <v>21008</v>
      </c>
      <c r="O17" s="37">
        <f t="shared" si="0"/>
        <v>20827</v>
      </c>
    </row>
    <row r="18" spans="2:21" x14ac:dyDescent="0.2">
      <c r="B18" s="55" t="s">
        <v>4070</v>
      </c>
      <c r="C18" s="123">
        <v>0</v>
      </c>
      <c r="D18" s="123">
        <f>+D17*$E$3</f>
        <v>892180.5</v>
      </c>
      <c r="E18" s="123">
        <f t="shared" ref="E18:O18" si="1">+E17*$E$3</f>
        <v>850172.5</v>
      </c>
      <c r="F18" s="123">
        <f t="shared" si="1"/>
        <v>954080</v>
      </c>
      <c r="G18" s="123">
        <f t="shared" si="1"/>
        <v>997645.5</v>
      </c>
      <c r="H18" s="123">
        <f t="shared" si="1"/>
        <v>917768</v>
      </c>
      <c r="I18" s="123">
        <f t="shared" si="1"/>
        <v>786804.5</v>
      </c>
      <c r="J18" s="123">
        <f t="shared" si="1"/>
        <v>1023767</v>
      </c>
      <c r="K18" s="123">
        <f t="shared" si="1"/>
        <v>1025502.5</v>
      </c>
      <c r="L18" s="123">
        <f t="shared" si="1"/>
        <v>945358</v>
      </c>
      <c r="M18" s="123">
        <f t="shared" si="1"/>
        <v>969922</v>
      </c>
      <c r="N18" s="123">
        <f t="shared" si="1"/>
        <v>934856</v>
      </c>
      <c r="O18" s="123">
        <f t="shared" si="1"/>
        <v>926801.5</v>
      </c>
      <c r="P18" s="118"/>
      <c r="Q18" s="199" t="s">
        <v>4160</v>
      </c>
      <c r="R18" s="55" t="s">
        <v>4075</v>
      </c>
      <c r="S18" s="55" t="s">
        <v>4076</v>
      </c>
      <c r="T18" s="55" t="s">
        <v>4077</v>
      </c>
      <c r="U18" s="55" t="s">
        <v>4078</v>
      </c>
    </row>
    <row r="19" spans="2:21" x14ac:dyDescent="0.2">
      <c r="B19" s="55" t="s">
        <v>4073</v>
      </c>
      <c r="C19" s="89">
        <f>+'Capital de trabajo'!C19/4</f>
        <v>152873.625</v>
      </c>
      <c r="D19" s="89">
        <f>+C19*3</f>
        <v>458620.875</v>
      </c>
      <c r="E19" s="89">
        <f>+E17*$F$3</f>
        <v>582702.5</v>
      </c>
      <c r="F19" s="89">
        <f t="shared" ref="F19:O19" si="2">+F17*$F$3</f>
        <v>653920</v>
      </c>
      <c r="G19" s="89">
        <f t="shared" si="2"/>
        <v>683779.5</v>
      </c>
      <c r="H19" s="89">
        <f t="shared" si="2"/>
        <v>629032</v>
      </c>
      <c r="I19" s="89">
        <f t="shared" si="2"/>
        <v>539270.5</v>
      </c>
      <c r="J19" s="89">
        <f t="shared" si="2"/>
        <v>701683</v>
      </c>
      <c r="K19" s="89">
        <f t="shared" si="2"/>
        <v>702872.5</v>
      </c>
      <c r="L19" s="89">
        <f t="shared" si="2"/>
        <v>647942</v>
      </c>
      <c r="M19" s="89">
        <f t="shared" si="2"/>
        <v>664778</v>
      </c>
      <c r="N19" s="89">
        <f t="shared" si="2"/>
        <v>640744</v>
      </c>
      <c r="O19" s="89">
        <f t="shared" si="2"/>
        <v>635223.5</v>
      </c>
      <c r="Q19" s="199" t="s">
        <v>4067</v>
      </c>
      <c r="R19" s="39">
        <v>7.9484330246019613E-2</v>
      </c>
      <c r="S19" s="39">
        <v>7.5731600273392374E-2</v>
      </c>
      <c r="T19" s="39">
        <v>8.4997359141012641E-2</v>
      </c>
      <c r="U19" s="39">
        <v>8.8879938004814807E-2</v>
      </c>
    </row>
    <row r="20" spans="2:21" x14ac:dyDescent="0.2">
      <c r="B20" s="55" t="s">
        <v>4088</v>
      </c>
      <c r="C20" s="89">
        <f>+'Capital de trabajo'!C20/4</f>
        <v>38093.1</v>
      </c>
      <c r="D20" s="89">
        <f>+C20*3</f>
        <v>114279.29999999999</v>
      </c>
      <c r="E20" s="89">
        <f>+$K$3*E17</f>
        <v>145198</v>
      </c>
      <c r="F20" s="89">
        <f t="shared" ref="F20:O20" si="3">+$K$3*F17</f>
        <v>162944</v>
      </c>
      <c r="G20" s="89">
        <f t="shared" si="3"/>
        <v>170384.4</v>
      </c>
      <c r="H20" s="89">
        <f t="shared" si="3"/>
        <v>156742.39999999999</v>
      </c>
      <c r="I20" s="89">
        <f t="shared" si="3"/>
        <v>134375.6</v>
      </c>
      <c r="J20" s="89">
        <f t="shared" si="3"/>
        <v>174845.6</v>
      </c>
      <c r="K20" s="89">
        <f t="shared" si="3"/>
        <v>175142</v>
      </c>
      <c r="L20" s="89">
        <f t="shared" si="3"/>
        <v>161454.39999999999</v>
      </c>
      <c r="M20" s="89">
        <f t="shared" si="3"/>
        <v>165649.60000000001</v>
      </c>
      <c r="N20" s="89">
        <f t="shared" si="3"/>
        <v>159660.79999999999</v>
      </c>
      <c r="O20" s="89">
        <f t="shared" si="3"/>
        <v>158285.19999999998</v>
      </c>
      <c r="Q20" s="199" t="s">
        <v>4160</v>
      </c>
      <c r="R20" s="55" t="s">
        <v>4079</v>
      </c>
      <c r="S20" s="55" t="s">
        <v>4080</v>
      </c>
      <c r="T20" s="55" t="s">
        <v>4081</v>
      </c>
      <c r="U20" s="55" t="s">
        <v>4082</v>
      </c>
    </row>
    <row r="21" spans="2:21" x14ac:dyDescent="0.2">
      <c r="B21" s="55" t="s">
        <v>4074</v>
      </c>
      <c r="C21" s="89">
        <v>0</v>
      </c>
      <c r="D21" s="89">
        <f>+'Requerimientos de personal'!H11</f>
        <v>42400</v>
      </c>
      <c r="E21" s="89">
        <f>+'Requerimientos de personal'!I11</f>
        <v>42400</v>
      </c>
      <c r="F21" s="89">
        <f>+'Requerimientos de personal'!J11</f>
        <v>42400</v>
      </c>
      <c r="G21" s="89">
        <f>+'Requerimientos de personal'!K11</f>
        <v>42400</v>
      </c>
      <c r="H21" s="89">
        <f>+'Requerimientos de personal'!L11</f>
        <v>67133.333333333343</v>
      </c>
      <c r="I21" s="89">
        <f>+'Requerimientos de personal'!M11</f>
        <v>42400</v>
      </c>
      <c r="J21" s="89">
        <f>+'Requerimientos de personal'!N11</f>
        <v>88616</v>
      </c>
      <c r="K21" s="89">
        <f>+'Requerimientos de personal'!O11</f>
        <v>42400</v>
      </c>
      <c r="L21" s="89">
        <f>+'Requerimientos de personal'!P11</f>
        <v>42400</v>
      </c>
      <c r="M21" s="89">
        <f>+'Requerimientos de personal'!Q11</f>
        <v>42400</v>
      </c>
      <c r="N21" s="89">
        <f>+'Requerimientos de personal'!R11</f>
        <v>67133.333333333343</v>
      </c>
      <c r="O21" s="89">
        <f>+'Requerimientos de personal'!S11</f>
        <v>88616</v>
      </c>
      <c r="Q21" s="199" t="s">
        <v>4067</v>
      </c>
      <c r="R21" s="39">
        <v>8.1763556076362598E-2</v>
      </c>
      <c r="S21" s="39">
        <v>7.0095238702856888E-2</v>
      </c>
      <c r="T21" s="39">
        <v>9.1205667637012849E-2</v>
      </c>
      <c r="U21" s="39">
        <v>9.1358120242699209E-2</v>
      </c>
    </row>
    <row r="22" spans="2:21" x14ac:dyDescent="0.2">
      <c r="B22" s="55" t="s">
        <v>4093</v>
      </c>
      <c r="C22" s="89">
        <v>0</v>
      </c>
      <c r="D22" s="89">
        <f>+Servicios!F11/12</f>
        <v>9868.3333333333339</v>
      </c>
      <c r="E22" s="89">
        <f>+D22</f>
        <v>9868.3333333333339</v>
      </c>
      <c r="F22" s="89">
        <f t="shared" ref="F22:O22" si="4">+E22</f>
        <v>9868.3333333333339</v>
      </c>
      <c r="G22" s="89">
        <f t="shared" si="4"/>
        <v>9868.3333333333339</v>
      </c>
      <c r="H22" s="89">
        <f t="shared" si="4"/>
        <v>9868.3333333333339</v>
      </c>
      <c r="I22" s="89">
        <f t="shared" si="4"/>
        <v>9868.3333333333339</v>
      </c>
      <c r="J22" s="89">
        <f t="shared" si="4"/>
        <v>9868.3333333333339</v>
      </c>
      <c r="K22" s="89">
        <f t="shared" si="4"/>
        <v>9868.3333333333339</v>
      </c>
      <c r="L22" s="89">
        <f t="shared" si="4"/>
        <v>9868.3333333333339</v>
      </c>
      <c r="M22" s="89">
        <f t="shared" si="4"/>
        <v>9868.3333333333339</v>
      </c>
      <c r="N22" s="89">
        <f t="shared" si="4"/>
        <v>9868.3333333333339</v>
      </c>
      <c r="O22" s="89">
        <f t="shared" si="4"/>
        <v>9868.3333333333339</v>
      </c>
      <c r="Q22" s="199" t="s">
        <v>4160</v>
      </c>
      <c r="R22" s="55" t="s">
        <v>4083</v>
      </c>
      <c r="S22" s="55" t="s">
        <v>4084</v>
      </c>
      <c r="T22" s="55" t="s">
        <v>4085</v>
      </c>
      <c r="U22" s="55" t="s">
        <v>4086</v>
      </c>
    </row>
    <row r="23" spans="2:21" x14ac:dyDescent="0.2">
      <c r="B23" s="55" t="s">
        <v>4094</v>
      </c>
      <c r="C23" s="89">
        <v>0</v>
      </c>
      <c r="D23" s="89">
        <f>1200+1300+288*2</f>
        <v>3076</v>
      </c>
      <c r="E23" s="89">
        <f>1200+1300</f>
        <v>2500</v>
      </c>
      <c r="F23" s="89">
        <f t="shared" ref="F23:O23" si="5">1200+1300</f>
        <v>2500</v>
      </c>
      <c r="G23" s="89">
        <f t="shared" si="5"/>
        <v>2500</v>
      </c>
      <c r="H23" s="89">
        <f t="shared" si="5"/>
        <v>2500</v>
      </c>
      <c r="I23" s="89">
        <f t="shared" si="5"/>
        <v>2500</v>
      </c>
      <c r="J23" s="89">
        <f t="shared" si="5"/>
        <v>2500</v>
      </c>
      <c r="K23" s="89">
        <f t="shared" si="5"/>
        <v>2500</v>
      </c>
      <c r="L23" s="89">
        <f t="shared" si="5"/>
        <v>2500</v>
      </c>
      <c r="M23" s="89">
        <f t="shared" si="5"/>
        <v>2500</v>
      </c>
      <c r="N23" s="89">
        <f t="shared" si="5"/>
        <v>2500</v>
      </c>
      <c r="O23" s="89">
        <f t="shared" si="5"/>
        <v>2500</v>
      </c>
      <c r="P23" s="118">
        <f>SUM(D23:O23)</f>
        <v>30576</v>
      </c>
      <c r="Q23" s="199" t="s">
        <v>4067</v>
      </c>
      <c r="R23" s="39">
        <v>8.4221031320838607E-2</v>
      </c>
      <c r="S23" s="39">
        <v>8.6410345940626687E-2</v>
      </c>
      <c r="T23" s="39">
        <v>8.3285128274487807E-2</v>
      </c>
      <c r="U23" s="39">
        <v>8.2567684139876016E-2</v>
      </c>
    </row>
    <row r="24" spans="2:21" x14ac:dyDescent="0.2">
      <c r="B24" s="55" t="s">
        <v>4096</v>
      </c>
      <c r="C24" s="89">
        <v>0</v>
      </c>
      <c r="D24" s="89">
        <f>+Insumos!O18</f>
        <v>6709.5</v>
      </c>
      <c r="E24" s="89">
        <f>+D24</f>
        <v>6709.5</v>
      </c>
      <c r="F24" s="89">
        <f>+E24</f>
        <v>6709.5</v>
      </c>
      <c r="G24" s="89">
        <f t="shared" ref="G24:O24" si="6">+F24</f>
        <v>6709.5</v>
      </c>
      <c r="H24" s="89">
        <f t="shared" si="6"/>
        <v>6709.5</v>
      </c>
      <c r="I24" s="89">
        <f t="shared" si="6"/>
        <v>6709.5</v>
      </c>
      <c r="J24" s="89">
        <f t="shared" si="6"/>
        <v>6709.5</v>
      </c>
      <c r="K24" s="89">
        <f t="shared" si="6"/>
        <v>6709.5</v>
      </c>
      <c r="L24" s="89">
        <f t="shared" si="6"/>
        <v>6709.5</v>
      </c>
      <c r="M24" s="89">
        <f t="shared" si="6"/>
        <v>6709.5</v>
      </c>
      <c r="N24" s="89">
        <f t="shared" si="6"/>
        <v>6709.5</v>
      </c>
      <c r="O24" s="89">
        <f t="shared" si="6"/>
        <v>6709.5</v>
      </c>
    </row>
    <row r="25" spans="2:21" x14ac:dyDescent="0.2">
      <c r="B25" s="55" t="s">
        <v>4095</v>
      </c>
      <c r="C25" s="89">
        <v>0</v>
      </c>
      <c r="D25" s="89">
        <f>+'Inversión Activos Intangibles'!C22</f>
        <v>25000</v>
      </c>
      <c r="E25" s="89">
        <f>+'Inversión Activos Intangibles'!D22</f>
        <v>20000</v>
      </c>
      <c r="F25" s="89">
        <f>+'Inversión Activos Intangibles'!E22</f>
        <v>20000</v>
      </c>
      <c r="G25" s="89">
        <f>+'Inversión Activos Intangibles'!F22</f>
        <v>12500</v>
      </c>
      <c r="H25" s="89">
        <f>+'Inversión Activos Intangibles'!G22</f>
        <v>12500</v>
      </c>
      <c r="I25" s="89">
        <f>+'Inversión Activos Intangibles'!H22</f>
        <v>12500</v>
      </c>
      <c r="J25" s="89">
        <f>+'Inversión Activos Intangibles'!I22</f>
        <v>12500</v>
      </c>
      <c r="K25" s="89">
        <f>+'Inversión Activos Intangibles'!J22</f>
        <v>12500</v>
      </c>
      <c r="L25" s="89">
        <f>+'Inversión Activos Intangibles'!K22</f>
        <v>12500</v>
      </c>
      <c r="M25" s="89">
        <f>+'Inversión Activos Intangibles'!L22</f>
        <v>12500</v>
      </c>
      <c r="N25" s="89">
        <f>+'Inversión Activos Intangibles'!M22</f>
        <v>12500</v>
      </c>
      <c r="O25" s="89">
        <f>+'Inversión Activos Intangibles'!N22</f>
        <v>12500</v>
      </c>
    </row>
    <row r="26" spans="2:21" x14ac:dyDescent="0.2">
      <c r="B26" s="55" t="s">
        <v>4097</v>
      </c>
      <c r="C26" s="123">
        <f>SUM(C19:C25)</f>
        <v>190966.72500000001</v>
      </c>
      <c r="D26" s="123">
        <f>SUM(D19:D25)</f>
        <v>659954.00833333342</v>
      </c>
      <c r="E26" s="123">
        <f>SUM(E19:E25)</f>
        <v>809378.33333333337</v>
      </c>
      <c r="F26" s="123">
        <f t="shared" ref="F26:O26" si="7">SUM(F19:F25)</f>
        <v>898341.83333333337</v>
      </c>
      <c r="G26" s="123">
        <f t="shared" si="7"/>
        <v>928141.7333333334</v>
      </c>
      <c r="H26" s="123">
        <f t="shared" si="7"/>
        <v>884485.56666666677</v>
      </c>
      <c r="I26" s="123">
        <f t="shared" si="7"/>
        <v>747623.93333333335</v>
      </c>
      <c r="J26" s="123">
        <f t="shared" si="7"/>
        <v>996722.43333333335</v>
      </c>
      <c r="K26" s="123">
        <f t="shared" si="7"/>
        <v>951992.33333333337</v>
      </c>
      <c r="L26" s="123">
        <f t="shared" si="7"/>
        <v>883374.2333333334</v>
      </c>
      <c r="M26" s="123">
        <f t="shared" si="7"/>
        <v>904405.43333333335</v>
      </c>
      <c r="N26" s="123">
        <f t="shared" si="7"/>
        <v>899115.96666666679</v>
      </c>
      <c r="O26" s="123">
        <f t="shared" si="7"/>
        <v>913702.53333333333</v>
      </c>
    </row>
    <row r="27" spans="2:21" x14ac:dyDescent="0.2">
      <c r="B27" s="55" t="s">
        <v>4098</v>
      </c>
      <c r="C27" s="134">
        <f>+C18-C26</f>
        <v>-190966.72500000001</v>
      </c>
      <c r="D27" s="134">
        <f>+D18-D26</f>
        <v>232226.49166666658</v>
      </c>
      <c r="E27" s="134">
        <f>+E18-E26</f>
        <v>40794.166666666628</v>
      </c>
      <c r="F27" s="134">
        <f t="shared" ref="F27:O27" si="8">+F18-F26</f>
        <v>55738.166666666628</v>
      </c>
      <c r="G27" s="134">
        <f t="shared" si="8"/>
        <v>69503.766666666605</v>
      </c>
      <c r="H27" s="134">
        <f t="shared" si="8"/>
        <v>33282.433333333232</v>
      </c>
      <c r="I27" s="134">
        <f t="shared" si="8"/>
        <v>39180.566666666651</v>
      </c>
      <c r="J27" s="134">
        <f t="shared" si="8"/>
        <v>27044.566666666651</v>
      </c>
      <c r="K27" s="134">
        <f t="shared" si="8"/>
        <v>73510.166666666628</v>
      </c>
      <c r="L27" s="134">
        <f t="shared" si="8"/>
        <v>61983.766666666605</v>
      </c>
      <c r="M27" s="134">
        <f t="shared" si="8"/>
        <v>65516.566666666651</v>
      </c>
      <c r="N27" s="134">
        <f t="shared" si="8"/>
        <v>35740.033333333209</v>
      </c>
      <c r="O27" s="134">
        <f t="shared" si="8"/>
        <v>13098.966666666674</v>
      </c>
    </row>
    <row r="28" spans="2:21" x14ac:dyDescent="0.2">
      <c r="B28" s="125" t="s">
        <v>4099</v>
      </c>
      <c r="C28" s="126">
        <f>+C27</f>
        <v>-190966.72500000001</v>
      </c>
      <c r="D28" s="126">
        <f>+C28+D27</f>
        <v>41259.766666666575</v>
      </c>
      <c r="E28" s="126">
        <f>+D28+E27</f>
        <v>82053.933333333203</v>
      </c>
      <c r="F28" s="126">
        <f t="shared" ref="F28:O28" si="9">+E28+F27</f>
        <v>137792.09999999983</v>
      </c>
      <c r="G28" s="126">
        <f t="shared" si="9"/>
        <v>207295.86666666644</v>
      </c>
      <c r="H28" s="126">
        <f t="shared" si="9"/>
        <v>240578.29999999967</v>
      </c>
      <c r="I28" s="126">
        <f t="shared" si="9"/>
        <v>279758.86666666635</v>
      </c>
      <c r="J28" s="126">
        <f t="shared" si="9"/>
        <v>306803.433333333</v>
      </c>
      <c r="K28" s="126">
        <f t="shared" si="9"/>
        <v>380313.59999999963</v>
      </c>
      <c r="L28" s="126">
        <f t="shared" si="9"/>
        <v>442297.36666666623</v>
      </c>
      <c r="M28" s="126">
        <f t="shared" si="9"/>
        <v>507813.93333333288</v>
      </c>
      <c r="N28" s="126">
        <f t="shared" si="9"/>
        <v>543553.96666666609</v>
      </c>
      <c r="O28" s="126">
        <f t="shared" si="9"/>
        <v>556652.93333333277</v>
      </c>
    </row>
    <row r="30" spans="2:21" x14ac:dyDescent="0.2">
      <c r="C30" s="83">
        <f>(SUM(D19:D20,D22:D25)/1.18)*0.18</f>
        <v>94203.153813559329</v>
      </c>
      <c r="D30" s="83">
        <f>+D26*0.25</f>
        <v>164988.50208333335</v>
      </c>
      <c r="E30" s="83">
        <f>+D21*0.25</f>
        <v>10600</v>
      </c>
    </row>
    <row r="31" spans="2:21" x14ac:dyDescent="0.2">
      <c r="C31" s="83">
        <f>+C30*0.25</f>
        <v>23550.788453389832</v>
      </c>
      <c r="D31" s="83">
        <f>+(D30/1.18)*0.18</f>
        <v>25167.737605932209</v>
      </c>
      <c r="E31" s="83">
        <f>+(E30/1.18)*0.18</f>
        <v>1616.9491525423728</v>
      </c>
    </row>
    <row r="32" spans="2:21" x14ac:dyDescent="0.2">
      <c r="E32" s="83"/>
    </row>
    <row r="33" spans="2:3" x14ac:dyDescent="0.2">
      <c r="B33" t="s">
        <v>4402</v>
      </c>
      <c r="C33" s="89">
        <f>SUM(C19:D20)/4</f>
        <v>190966.72499999998</v>
      </c>
    </row>
  </sheetData>
  <mergeCells count="4">
    <mergeCell ref="G1:G2"/>
    <mergeCell ref="H1:H2"/>
    <mergeCell ref="I1:I2"/>
    <mergeCell ref="J1:J2"/>
  </mergeCells>
  <pageMargins left="0.7" right="0.7" top="0.75" bottom="0.75" header="0.3" footer="0.3"/>
  <ignoredErrors>
    <ignoredError sqref="E23:O23 E17" formula="1"/>
    <ignoredError sqref="C26" formulaRange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18"/>
  <sheetViews>
    <sheetView topLeftCell="A5" workbookViewId="0">
      <selection activeCell="B12" sqref="B12:F18"/>
    </sheetView>
  </sheetViews>
  <sheetFormatPr baseColWidth="10" defaultRowHeight="16" x14ac:dyDescent="0.2"/>
  <cols>
    <col min="5" max="5" width="14.1640625" bestFit="1" customWidth="1"/>
    <col min="6" max="6" width="14.1640625" customWidth="1"/>
    <col min="8" max="8" width="12.33203125" bestFit="1" customWidth="1"/>
    <col min="10" max="10" width="12.33203125" bestFit="1" customWidth="1"/>
  </cols>
  <sheetData>
    <row r="2" spans="2:8" x14ac:dyDescent="0.2">
      <c r="B2" s="295" t="s">
        <v>3961</v>
      </c>
      <c r="C2" s="295"/>
      <c r="D2" s="295"/>
      <c r="E2" s="117" t="s">
        <v>4109</v>
      </c>
      <c r="H2" s="130" t="s">
        <v>4187</v>
      </c>
    </row>
    <row r="3" spans="2:8" x14ac:dyDescent="0.2">
      <c r="B3" s="391" t="s">
        <v>4110</v>
      </c>
      <c r="C3" s="391"/>
      <c r="D3" s="391"/>
      <c r="E3" s="89">
        <f>+'Inversión Activos Tangibles'!E9</f>
        <v>749199.57000000007</v>
      </c>
      <c r="F3" s="6">
        <f>+E3/$E$7</f>
        <v>0.73982431395165482</v>
      </c>
      <c r="H3" s="89">
        <v>0</v>
      </c>
    </row>
    <row r="4" spans="2:8" x14ac:dyDescent="0.2">
      <c r="B4" s="391" t="s">
        <v>4125</v>
      </c>
      <c r="C4" s="391"/>
      <c r="D4" s="391"/>
      <c r="E4" s="89">
        <f>+'Inversión Activos Intangibles'!T6</f>
        <v>35046</v>
      </c>
      <c r="F4" s="6">
        <f t="shared" ref="F4:F6" si="0">+E4/$E$7</f>
        <v>3.4607444991926105E-2</v>
      </c>
      <c r="H4" s="89">
        <v>0</v>
      </c>
    </row>
    <row r="5" spans="2:8" x14ac:dyDescent="0.2">
      <c r="B5" s="391" t="s">
        <v>4128</v>
      </c>
      <c r="C5" s="391"/>
      <c r="D5" s="391"/>
      <c r="E5" s="89">
        <f>SUM('Capital de trabajo'!C19:C20)/4</f>
        <v>190966.72500000001</v>
      </c>
      <c r="F5" s="6">
        <f t="shared" si="0"/>
        <v>0.18857702535883639</v>
      </c>
      <c r="H5" s="89">
        <v>0</v>
      </c>
    </row>
    <row r="6" spans="2:8" x14ac:dyDescent="0.2">
      <c r="B6" s="391" t="s">
        <v>4332</v>
      </c>
      <c r="C6" s="391"/>
      <c r="D6" s="391"/>
      <c r="E6" s="89">
        <f>+E3*0.05</f>
        <v>37459.978500000005</v>
      </c>
      <c r="F6" s="6">
        <f t="shared" si="0"/>
        <v>3.6991215697582742E-2</v>
      </c>
    </row>
    <row r="7" spans="2:8" x14ac:dyDescent="0.2">
      <c r="B7" s="298" t="s">
        <v>4130</v>
      </c>
      <c r="C7" s="398"/>
      <c r="D7" s="299"/>
      <c r="E7" s="128">
        <f>SUM(E3:E6)</f>
        <v>1012672.2735</v>
      </c>
    </row>
    <row r="9" spans="2:8" x14ac:dyDescent="0.2">
      <c r="E9" s="118"/>
    </row>
    <row r="10" spans="2:8" x14ac:dyDescent="0.2">
      <c r="E10" s="6"/>
      <c r="F10" s="6"/>
    </row>
    <row r="12" spans="2:8" x14ac:dyDescent="0.2">
      <c r="B12" s="295" t="s">
        <v>3961</v>
      </c>
      <c r="C12" s="295"/>
      <c r="D12" s="295"/>
      <c r="E12" s="117" t="s">
        <v>4131</v>
      </c>
      <c r="F12" s="117" t="s">
        <v>4132</v>
      </c>
    </row>
    <row r="13" spans="2:8" x14ac:dyDescent="0.2">
      <c r="B13" s="391" t="s">
        <v>4110</v>
      </c>
      <c r="C13" s="391"/>
      <c r="D13" s="391"/>
      <c r="E13" s="89">
        <v>0</v>
      </c>
      <c r="F13" s="89">
        <f>+E3-E13</f>
        <v>749199.57000000007</v>
      </c>
    </row>
    <row r="14" spans="2:8" x14ac:dyDescent="0.2">
      <c r="B14" s="391" t="s">
        <v>4125</v>
      </c>
      <c r="C14" s="391"/>
      <c r="D14" s="391"/>
      <c r="E14" s="89">
        <f>+E4</f>
        <v>35046</v>
      </c>
      <c r="F14" s="89">
        <v>0</v>
      </c>
    </row>
    <row r="15" spans="2:8" x14ac:dyDescent="0.2">
      <c r="B15" s="391" t="s">
        <v>4128</v>
      </c>
      <c r="C15" s="391"/>
      <c r="D15" s="391"/>
      <c r="E15" s="89">
        <f t="shared" ref="E15:E16" si="1">+E5</f>
        <v>190966.72500000001</v>
      </c>
      <c r="F15" s="89">
        <v>0</v>
      </c>
    </row>
    <row r="16" spans="2:8" x14ac:dyDescent="0.2">
      <c r="B16" s="391" t="s">
        <v>4129</v>
      </c>
      <c r="C16" s="391"/>
      <c r="D16" s="391"/>
      <c r="E16" s="89">
        <f t="shared" si="1"/>
        <v>37459.978500000005</v>
      </c>
      <c r="F16" s="89">
        <v>0</v>
      </c>
    </row>
    <row r="17" spans="2:6" x14ac:dyDescent="0.2">
      <c r="B17" s="298" t="s">
        <v>4130</v>
      </c>
      <c r="C17" s="398"/>
      <c r="D17" s="299"/>
      <c r="E17" s="128">
        <f>SUM(E13:E16)</f>
        <v>263472.7035</v>
      </c>
      <c r="F17" s="128">
        <f>+F13</f>
        <v>749199.57000000007</v>
      </c>
    </row>
    <row r="18" spans="2:6" x14ac:dyDescent="0.2">
      <c r="B18" s="298" t="s">
        <v>3547</v>
      </c>
      <c r="C18" s="398"/>
      <c r="D18" s="299"/>
      <c r="E18" s="39">
        <f>+E17/$E$7</f>
        <v>0.26017568604834523</v>
      </c>
      <c r="F18" s="39">
        <f>+F17/$E$7</f>
        <v>0.73982431395165482</v>
      </c>
    </row>
  </sheetData>
  <mergeCells count="13">
    <mergeCell ref="B18:D18"/>
    <mergeCell ref="B12:D12"/>
    <mergeCell ref="B13:D13"/>
    <mergeCell ref="B14:D14"/>
    <mergeCell ref="B15:D15"/>
    <mergeCell ref="B16:D16"/>
    <mergeCell ref="B17:D17"/>
    <mergeCell ref="B2:D2"/>
    <mergeCell ref="B3:D3"/>
    <mergeCell ref="B4:D4"/>
    <mergeCell ref="B5:D5"/>
    <mergeCell ref="B7:D7"/>
    <mergeCell ref="B6:D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C66"/>
  <sheetViews>
    <sheetView workbookViewId="0">
      <selection activeCell="H8" sqref="H8"/>
    </sheetView>
  </sheetViews>
  <sheetFormatPr baseColWidth="10" defaultRowHeight="16" x14ac:dyDescent="0.2"/>
  <cols>
    <col min="3" max="3" width="12.33203125" bestFit="1" customWidth="1"/>
    <col min="4" max="4" width="10.83203125" customWidth="1"/>
    <col min="5" max="6" width="8.33203125" customWidth="1"/>
    <col min="7" max="7" width="18" bestFit="1" customWidth="1"/>
    <col min="8" max="8" width="12.33203125" bestFit="1" customWidth="1"/>
    <col min="9" max="9" width="8.33203125" customWidth="1"/>
    <col min="11" max="11" width="8.33203125" customWidth="1"/>
    <col min="13" max="13" width="12.33203125" customWidth="1"/>
    <col min="14" max="14" width="11.83203125" bestFit="1" customWidth="1"/>
    <col min="16" max="16" width="11.33203125" bestFit="1" customWidth="1"/>
    <col min="17" max="17" width="12.33203125" bestFit="1" customWidth="1"/>
    <col min="19" max="19" width="12.1640625" bestFit="1" customWidth="1"/>
    <col min="20" max="20" width="13.83203125" bestFit="1" customWidth="1"/>
    <col min="21" max="23" width="12.33203125" bestFit="1" customWidth="1"/>
    <col min="24" max="24" width="13.83203125" bestFit="1" customWidth="1"/>
    <col min="27" max="27" width="11.33203125" bestFit="1" customWidth="1"/>
  </cols>
  <sheetData>
    <row r="3" spans="2:29" x14ac:dyDescent="0.2">
      <c r="B3" t="s">
        <v>4132</v>
      </c>
      <c r="C3" s="118">
        <f>+'Inversión total'!F17</f>
        <v>749199.57000000007</v>
      </c>
    </row>
    <row r="4" spans="2:29" x14ac:dyDescent="0.2">
      <c r="B4" t="s">
        <v>4152</v>
      </c>
      <c r="C4">
        <f>1/12</f>
        <v>8.3333333333333329E-2</v>
      </c>
    </row>
    <row r="5" spans="2:29" ht="16" customHeight="1" x14ac:dyDescent="0.2">
      <c r="D5" s="290" t="s">
        <v>4135</v>
      </c>
      <c r="E5" s="290" t="s">
        <v>4147</v>
      </c>
      <c r="F5" s="290" t="s">
        <v>4146</v>
      </c>
      <c r="G5" s="290" t="s">
        <v>4148</v>
      </c>
      <c r="H5" s="290" t="s">
        <v>4150</v>
      </c>
      <c r="I5" s="290" t="s">
        <v>4151</v>
      </c>
    </row>
    <row r="6" spans="2:29" ht="16" customHeight="1" x14ac:dyDescent="0.2">
      <c r="D6" s="290"/>
      <c r="E6" s="290"/>
      <c r="F6" s="290"/>
      <c r="G6" s="290"/>
      <c r="H6" s="290"/>
      <c r="I6" s="290"/>
      <c r="K6" s="130" t="s">
        <v>4152</v>
      </c>
      <c r="L6" s="130" t="s">
        <v>4153</v>
      </c>
      <c r="M6" s="130" t="s">
        <v>4154</v>
      </c>
      <c r="N6" s="130" t="s">
        <v>4155</v>
      </c>
      <c r="O6" s="130" t="s">
        <v>4156</v>
      </c>
      <c r="P6" s="130" t="s">
        <v>4150</v>
      </c>
      <c r="Q6" s="130" t="s">
        <v>4161</v>
      </c>
      <c r="S6" s="130" t="s">
        <v>1778</v>
      </c>
      <c r="T6" s="130" t="s">
        <v>4154</v>
      </c>
      <c r="U6" s="130" t="s">
        <v>4155</v>
      </c>
      <c r="V6" s="130" t="s">
        <v>4156</v>
      </c>
      <c r="W6" s="130" t="s">
        <v>4150</v>
      </c>
      <c r="X6" s="130" t="s">
        <v>4161</v>
      </c>
    </row>
    <row r="7" spans="2:29" x14ac:dyDescent="0.2">
      <c r="D7" s="290"/>
      <c r="E7" s="290"/>
      <c r="F7" s="290"/>
      <c r="G7" s="290"/>
      <c r="H7" s="290"/>
      <c r="I7" s="290"/>
      <c r="K7" s="55">
        <v>1</v>
      </c>
      <c r="L7" s="133">
        <v>43101</v>
      </c>
      <c r="M7" s="89">
        <f>+C3</f>
        <v>749199.57000000007</v>
      </c>
      <c r="N7" s="89">
        <f>+P7-O7</f>
        <v>9383.7132635615435</v>
      </c>
      <c r="O7" s="89">
        <f>+M7*$F$8</f>
        <v>6962.5339898415696</v>
      </c>
      <c r="P7" s="89">
        <f>+H8</f>
        <v>16346.247253403113</v>
      </c>
      <c r="Q7" s="89">
        <f>+M7-N7</f>
        <v>739815.85673643847</v>
      </c>
      <c r="S7" s="130">
        <v>2018</v>
      </c>
      <c r="T7" s="89">
        <f>+M7</f>
        <v>749199.57000000007</v>
      </c>
      <c r="U7" s="89">
        <f>+W7-V7</f>
        <v>118542.20920177661</v>
      </c>
      <c r="V7" s="89">
        <f>+T7*$F$21</f>
        <v>87956.02951800001</v>
      </c>
      <c r="W7" s="89">
        <f>+H21</f>
        <v>206498.23871977662</v>
      </c>
      <c r="X7" s="89">
        <f>+T7-U7</f>
        <v>630657.36079822341</v>
      </c>
      <c r="AA7" s="118">
        <f>SUM(O7:O18)</f>
        <v>77612.757839061785</v>
      </c>
    </row>
    <row r="8" spans="2:29" x14ac:dyDescent="0.2">
      <c r="D8" s="4" t="s">
        <v>4399</v>
      </c>
      <c r="E8" s="139">
        <v>0.1174</v>
      </c>
      <c r="F8" s="39">
        <f t="shared" ref="F8:F18" si="0">+(1+E8)^($C$4)-1</f>
        <v>9.2932968312322561E-3</v>
      </c>
      <c r="G8" s="4" t="s">
        <v>4149</v>
      </c>
      <c r="H8" s="89">
        <f>+$C$3*F8/(1-(1+F8)^(-60))</f>
        <v>16346.247253403113</v>
      </c>
      <c r="I8" s="39">
        <f>0.005/100</f>
        <v>5.0000000000000002E-5</v>
      </c>
      <c r="K8" s="55">
        <v>2</v>
      </c>
      <c r="L8" s="133">
        <v>43132</v>
      </c>
      <c r="M8" s="89">
        <f>+Q7</f>
        <v>739815.85673643847</v>
      </c>
      <c r="N8" s="89">
        <f>+P8-O8</f>
        <v>9470.9188962989938</v>
      </c>
      <c r="O8" s="89">
        <f t="shared" ref="O8:O66" si="1">+M8*$F$8</f>
        <v>6875.3283571041202</v>
      </c>
      <c r="P8" s="89">
        <f>+P7</f>
        <v>16346.247253403113</v>
      </c>
      <c r="Q8" s="89">
        <f>+M8-N8</f>
        <v>730344.93784013949</v>
      </c>
      <c r="S8" s="130">
        <v>2019</v>
      </c>
      <c r="T8" s="89">
        <f>+X7</f>
        <v>630657.36079822341</v>
      </c>
      <c r="U8" s="89">
        <f t="shared" ref="U8:U11" si="2">+W8-V8</f>
        <v>132459.06456206518</v>
      </c>
      <c r="V8" s="89">
        <f t="shared" ref="V8:V11" si="3">+T8*$F$21</f>
        <v>74039.17415771143</v>
      </c>
      <c r="W8" s="89">
        <f>+W7</f>
        <v>206498.23871977662</v>
      </c>
      <c r="X8" s="89">
        <f t="shared" ref="X8:X11" si="4">+T8-U8</f>
        <v>498198.29623615823</v>
      </c>
    </row>
    <row r="9" spans="2:29" x14ac:dyDescent="0.2">
      <c r="D9" s="4" t="s">
        <v>4136</v>
      </c>
      <c r="E9" s="139">
        <v>0.14019999999999999</v>
      </c>
      <c r="F9" s="39">
        <f t="shared" si="0"/>
        <v>1.0993631154397221E-2</v>
      </c>
      <c r="G9" s="4" t="s">
        <v>4149</v>
      </c>
      <c r="H9" s="89">
        <f t="shared" ref="H9:H18" si="5">+$C$3*F9/(1-(1+F9)^(-60))</f>
        <v>17120.456735052983</v>
      </c>
      <c r="I9" s="39">
        <f t="shared" ref="I9:I18" si="6">0.005/100</f>
        <v>5.0000000000000002E-5</v>
      </c>
      <c r="K9" s="55">
        <v>3</v>
      </c>
      <c r="L9" s="133">
        <v>43160</v>
      </c>
      <c r="M9" s="89">
        <f t="shared" ref="M9:M66" si="7">+Q8</f>
        <v>730344.93784013949</v>
      </c>
      <c r="N9" s="89">
        <f t="shared" ref="N9:N66" si="8">+P9-O9</f>
        <v>9558.9349568668258</v>
      </c>
      <c r="O9" s="89">
        <f t="shared" si="1"/>
        <v>6787.3122965362872</v>
      </c>
      <c r="P9" s="89">
        <f t="shared" ref="P9:P66" si="9">+P8</f>
        <v>16346.247253403113</v>
      </c>
      <c r="Q9" s="89">
        <f t="shared" ref="Q9:Q66" si="10">+M9-N9</f>
        <v>720786.00288327271</v>
      </c>
      <c r="S9" s="130">
        <v>2020</v>
      </c>
      <c r="T9" s="89">
        <f t="shared" ref="T9:T11" si="11">+X8</f>
        <v>498198.29623615823</v>
      </c>
      <c r="U9" s="89">
        <f t="shared" si="2"/>
        <v>148009.75874165163</v>
      </c>
      <c r="V9" s="89">
        <f t="shared" si="3"/>
        <v>58488.479978124982</v>
      </c>
      <c r="W9" s="89">
        <f>+W8</f>
        <v>206498.23871977662</v>
      </c>
      <c r="X9" s="89">
        <f t="shared" si="4"/>
        <v>350188.53749450657</v>
      </c>
    </row>
    <row r="10" spans="2:29" x14ac:dyDescent="0.2">
      <c r="D10" s="4" t="s">
        <v>4137</v>
      </c>
      <c r="E10" s="139">
        <v>9.5399999999999985E-2</v>
      </c>
      <c r="F10" s="39">
        <f t="shared" si="0"/>
        <v>7.6222016535938408E-3</v>
      </c>
      <c r="G10" s="4" t="s">
        <v>4149</v>
      </c>
      <c r="H10" s="89">
        <f t="shared" si="5"/>
        <v>15605.525519340526</v>
      </c>
      <c r="I10" s="39">
        <f t="shared" si="6"/>
        <v>5.0000000000000002E-5</v>
      </c>
      <c r="K10" s="55">
        <v>4</v>
      </c>
      <c r="L10" s="133">
        <v>43191</v>
      </c>
      <c r="M10" s="89">
        <f t="shared" si="7"/>
        <v>720786.00288327271</v>
      </c>
      <c r="N10" s="89">
        <f t="shared" si="8"/>
        <v>9647.7689768114305</v>
      </c>
      <c r="O10" s="89">
        <f t="shared" si="1"/>
        <v>6698.4782765916825</v>
      </c>
      <c r="P10" s="89">
        <f t="shared" si="9"/>
        <v>16346.247253403113</v>
      </c>
      <c r="Q10" s="89">
        <f t="shared" si="10"/>
        <v>711138.23390646128</v>
      </c>
      <c r="S10" s="130">
        <v>2021</v>
      </c>
      <c r="T10" s="89">
        <f t="shared" si="11"/>
        <v>350188.53749450657</v>
      </c>
      <c r="U10" s="89">
        <f t="shared" si="2"/>
        <v>165386.10441792154</v>
      </c>
      <c r="V10" s="89">
        <f t="shared" si="3"/>
        <v>41112.134301855076</v>
      </c>
      <c r="W10" s="89">
        <f>+W9</f>
        <v>206498.23871977662</v>
      </c>
      <c r="X10" s="89">
        <f t="shared" si="4"/>
        <v>184802.43307658503</v>
      </c>
    </row>
    <row r="11" spans="2:29" x14ac:dyDescent="0.2">
      <c r="D11" s="4" t="s">
        <v>4138</v>
      </c>
      <c r="E11" s="139">
        <v>9.5199999999999993E-2</v>
      </c>
      <c r="F11" s="39">
        <f t="shared" si="0"/>
        <v>7.6068692554953632E-3</v>
      </c>
      <c r="G11" s="4" t="s">
        <v>4149</v>
      </c>
      <c r="H11" s="89">
        <f t="shared" si="5"/>
        <v>15598.822756456377</v>
      </c>
      <c r="I11" s="39">
        <f t="shared" si="6"/>
        <v>5.0000000000000002E-5</v>
      </c>
      <c r="K11" s="55">
        <v>5</v>
      </c>
      <c r="L11" s="133">
        <v>43221</v>
      </c>
      <c r="M11" s="89">
        <f t="shared" si="7"/>
        <v>711138.23390646128</v>
      </c>
      <c r="N11" s="89">
        <f t="shared" si="8"/>
        <v>9737.428557672094</v>
      </c>
      <c r="O11" s="89">
        <f t="shared" si="1"/>
        <v>6608.8186957310199</v>
      </c>
      <c r="P11" s="89">
        <f t="shared" si="9"/>
        <v>16346.247253403113</v>
      </c>
      <c r="Q11" s="89">
        <f t="shared" si="10"/>
        <v>701400.8053487892</v>
      </c>
      <c r="S11" s="130">
        <v>2022</v>
      </c>
      <c r="T11" s="89">
        <f t="shared" si="11"/>
        <v>184802.43307658503</v>
      </c>
      <c r="U11" s="89">
        <f t="shared" si="2"/>
        <v>184802.43307658553</v>
      </c>
      <c r="V11" s="89">
        <f t="shared" si="3"/>
        <v>21695.805643191085</v>
      </c>
      <c r="W11" s="89">
        <f>+W10</f>
        <v>206498.23871977662</v>
      </c>
      <c r="X11" s="89">
        <f t="shared" si="4"/>
        <v>-4.9476511776447296E-10</v>
      </c>
    </row>
    <row r="12" spans="2:29" x14ac:dyDescent="0.2">
      <c r="D12" s="4" t="s">
        <v>4139</v>
      </c>
      <c r="E12" s="139">
        <v>9.3000000000000013E-2</v>
      </c>
      <c r="F12" s="39">
        <f t="shared" si="0"/>
        <v>7.4380432687306541E-3</v>
      </c>
      <c r="G12" s="4" t="s">
        <v>4149</v>
      </c>
      <c r="H12" s="89">
        <f t="shared" si="5"/>
        <v>15525.13102466473</v>
      </c>
      <c r="I12" s="39">
        <f t="shared" si="6"/>
        <v>5.0000000000000002E-5</v>
      </c>
      <c r="K12" s="55">
        <v>6</v>
      </c>
      <c r="L12" s="133">
        <v>43252</v>
      </c>
      <c r="M12" s="89">
        <f t="shared" si="7"/>
        <v>701400.8053487892</v>
      </c>
      <c r="N12" s="89">
        <f t="shared" si="8"/>
        <v>9827.9213716314589</v>
      </c>
      <c r="O12" s="89">
        <f t="shared" si="1"/>
        <v>6518.3258817716551</v>
      </c>
      <c r="P12" s="89">
        <f t="shared" si="9"/>
        <v>16346.247253403113</v>
      </c>
      <c r="Q12" s="89">
        <f t="shared" si="10"/>
        <v>691572.88397715776</v>
      </c>
    </row>
    <row r="13" spans="2:29" ht="17" thickBot="1" x14ac:dyDescent="0.25">
      <c r="D13" s="4" t="s">
        <v>4140</v>
      </c>
      <c r="E13" s="139">
        <v>0.11130000000000001</v>
      </c>
      <c r="F13" s="39">
        <f t="shared" si="0"/>
        <v>8.8329910893329977E-3</v>
      </c>
      <c r="G13" s="4" t="s">
        <v>4149</v>
      </c>
      <c r="H13" s="89">
        <f t="shared" si="5"/>
        <v>16140.2071245223</v>
      </c>
      <c r="I13" s="39">
        <f t="shared" si="6"/>
        <v>5.0000000000000002E-5</v>
      </c>
      <c r="K13" s="55">
        <v>7</v>
      </c>
      <c r="L13" s="133">
        <v>43282</v>
      </c>
      <c r="M13" s="89">
        <f t="shared" si="7"/>
        <v>691572.88397715776</v>
      </c>
      <c r="N13" s="89">
        <f t="shared" si="8"/>
        <v>9919.2551621720413</v>
      </c>
      <c r="O13" s="89">
        <f t="shared" si="1"/>
        <v>6426.9920912310727</v>
      </c>
      <c r="P13" s="89">
        <f t="shared" si="9"/>
        <v>16346.247253403113</v>
      </c>
      <c r="Q13" s="89">
        <f t="shared" si="10"/>
        <v>681653.62881498574</v>
      </c>
    </row>
    <row r="14" spans="2:29" x14ac:dyDescent="0.2">
      <c r="D14" s="4" t="s">
        <v>4141</v>
      </c>
      <c r="E14" s="139">
        <v>6.0499999999999998E-2</v>
      </c>
      <c r="F14" s="39">
        <f t="shared" si="0"/>
        <v>4.9070415389556032E-3</v>
      </c>
      <c r="G14" s="4" t="s">
        <v>4149</v>
      </c>
      <c r="H14" s="89">
        <f>+$C$3*F14/(1-(1+F14)^(-60))</f>
        <v>14445.297900483898</v>
      </c>
      <c r="I14" s="39">
        <f t="shared" si="6"/>
        <v>5.0000000000000002E-5</v>
      </c>
      <c r="K14" s="55">
        <v>8</v>
      </c>
      <c r="L14" s="133">
        <v>43313</v>
      </c>
      <c r="M14" s="89">
        <f t="shared" si="7"/>
        <v>681653.62881498574</v>
      </c>
      <c r="N14" s="89">
        <f t="shared" si="8"/>
        <v>10011.437744738838</v>
      </c>
      <c r="O14" s="89">
        <f t="shared" si="1"/>
        <v>6334.8095086642752</v>
      </c>
      <c r="P14" s="89">
        <f t="shared" si="9"/>
        <v>16346.247253403113</v>
      </c>
      <c r="Q14" s="89">
        <f t="shared" si="10"/>
        <v>671642.19107024686</v>
      </c>
      <c r="S14" s="143" t="s">
        <v>1778</v>
      </c>
      <c r="T14" s="144" t="s">
        <v>4154</v>
      </c>
      <c r="U14" s="144" t="s">
        <v>4155</v>
      </c>
      <c r="V14" s="144" t="s">
        <v>4156</v>
      </c>
      <c r="W14" s="144" t="s">
        <v>4150</v>
      </c>
      <c r="X14" s="145" t="s">
        <v>4161</v>
      </c>
    </row>
    <row r="15" spans="2:29" x14ac:dyDescent="0.2">
      <c r="D15" s="4" t="s">
        <v>4142</v>
      </c>
      <c r="E15" s="139">
        <v>9.5199999999999993E-2</v>
      </c>
      <c r="F15" s="39">
        <f t="shared" si="0"/>
        <v>7.6068692554953632E-3</v>
      </c>
      <c r="G15" s="4" t="s">
        <v>4149</v>
      </c>
      <c r="H15" s="89">
        <f t="shared" si="5"/>
        <v>15598.822756456377</v>
      </c>
      <c r="I15" s="39">
        <f t="shared" si="6"/>
        <v>5.0000000000000002E-5</v>
      </c>
      <c r="J15" s="138"/>
      <c r="K15" s="55">
        <v>9</v>
      </c>
      <c r="L15" s="133">
        <v>43344</v>
      </c>
      <c r="M15" s="89">
        <f t="shared" si="7"/>
        <v>671642.19107024686</v>
      </c>
      <c r="N15" s="89">
        <f t="shared" si="8"/>
        <v>10104.477007408099</v>
      </c>
      <c r="O15" s="89">
        <f t="shared" si="1"/>
        <v>6241.7702459950151</v>
      </c>
      <c r="P15" s="89">
        <f t="shared" si="9"/>
        <v>16346.247253403113</v>
      </c>
      <c r="Q15" s="89">
        <f t="shared" si="10"/>
        <v>661537.71406283882</v>
      </c>
      <c r="S15" s="146">
        <v>2018</v>
      </c>
      <c r="T15" s="89">
        <f>+M7</f>
        <v>749199.57000000007</v>
      </c>
      <c r="U15" s="89">
        <f>+W15-V15</f>
        <v>118542.20920177558</v>
      </c>
      <c r="V15" s="89">
        <f>SUM(O7:O18)</f>
        <v>77612.757839061785</v>
      </c>
      <c r="W15" s="89">
        <f>+P7*12</f>
        <v>196154.96704083736</v>
      </c>
      <c r="X15" s="147">
        <f>+T15-U15</f>
        <v>630657.36079822446</v>
      </c>
      <c r="Y15" s="118">
        <f>+W15*$I$8</f>
        <v>9.8077483520418678</v>
      </c>
      <c r="AA15">
        <v>39311.294315227475</v>
      </c>
      <c r="AB15">
        <v>129647.43131042106</v>
      </c>
      <c r="AC15">
        <v>8.4631666147126694</v>
      </c>
    </row>
    <row r="16" spans="2:29" x14ac:dyDescent="0.2">
      <c r="D16" s="4" t="s">
        <v>4143</v>
      </c>
      <c r="E16" s="139">
        <v>0.17300000000000001</v>
      </c>
      <c r="F16" s="39">
        <f t="shared" si="0"/>
        <v>1.3385846359511788E-2</v>
      </c>
      <c r="G16" s="4" t="s">
        <v>4149</v>
      </c>
      <c r="H16" s="89">
        <f t="shared" si="5"/>
        <v>18244.172326243552</v>
      </c>
      <c r="I16" s="39">
        <f t="shared" si="6"/>
        <v>5.0000000000000002E-5</v>
      </c>
      <c r="K16" s="55">
        <v>10</v>
      </c>
      <c r="L16" s="133">
        <v>43374</v>
      </c>
      <c r="M16" s="89">
        <f t="shared" si="7"/>
        <v>661537.71406283882</v>
      </c>
      <c r="N16" s="89">
        <f t="shared" si="8"/>
        <v>10198.380911562303</v>
      </c>
      <c r="O16" s="89">
        <f t="shared" si="1"/>
        <v>6147.8663418408105</v>
      </c>
      <c r="P16" s="89">
        <f t="shared" si="9"/>
        <v>16346.247253403113</v>
      </c>
      <c r="Q16" s="89">
        <f t="shared" si="10"/>
        <v>651339.33315127646</v>
      </c>
      <c r="S16" s="146">
        <v>2019</v>
      </c>
      <c r="T16" s="89">
        <f>+X15</f>
        <v>630657.36079822446</v>
      </c>
      <c r="U16" s="89">
        <f>+W16-V16</f>
        <v>132459.0645620641</v>
      </c>
      <c r="V16" s="89">
        <f>SUM(O19:O30)</f>
        <v>63695.902478773256</v>
      </c>
      <c r="W16" s="89">
        <f>+W15</f>
        <v>196154.96704083736</v>
      </c>
      <c r="X16" s="147">
        <f>+T16-U16</f>
        <v>498198.29623616033</v>
      </c>
      <c r="Y16" s="118">
        <f t="shared" ref="Y16:Y19" si="12">+W16*$I$8</f>
        <v>9.8077483520418678</v>
      </c>
      <c r="AA16">
        <v>31527.934697633576</v>
      </c>
      <c r="AB16">
        <v>137491.10090470148</v>
      </c>
      <c r="AC16">
        <v>8.4631666147126694</v>
      </c>
    </row>
    <row r="17" spans="4:29" x14ac:dyDescent="0.2">
      <c r="D17" s="4" t="s">
        <v>4144</v>
      </c>
      <c r="E17" s="139">
        <v>0.1208</v>
      </c>
      <c r="F17" s="39">
        <f t="shared" si="0"/>
        <v>9.5488618903134537E-3</v>
      </c>
      <c r="G17" s="4" t="s">
        <v>4149</v>
      </c>
      <c r="H17" s="89">
        <f t="shared" si="5"/>
        <v>16461.297836703514</v>
      </c>
      <c r="I17" s="39">
        <f t="shared" si="6"/>
        <v>5.0000000000000002E-5</v>
      </c>
      <c r="K17" s="55">
        <v>11</v>
      </c>
      <c r="L17" s="133">
        <v>43405</v>
      </c>
      <c r="M17" s="89">
        <f t="shared" si="7"/>
        <v>651339.33315127646</v>
      </c>
      <c r="N17" s="89">
        <f t="shared" si="8"/>
        <v>10293.157492571425</v>
      </c>
      <c r="O17" s="89">
        <f t="shared" si="1"/>
        <v>6053.0897608316882</v>
      </c>
      <c r="P17" s="89">
        <f t="shared" si="9"/>
        <v>16346.247253403113</v>
      </c>
      <c r="Q17" s="89">
        <f t="shared" si="10"/>
        <v>641046.17565870506</v>
      </c>
      <c r="S17" s="146">
        <v>2020</v>
      </c>
      <c r="T17" s="89">
        <f>+X16</f>
        <v>498198.29623616033</v>
      </c>
      <c r="U17" s="89">
        <f>+W17-V17</f>
        <v>148009.75874165053</v>
      </c>
      <c r="V17" s="89">
        <f>SUM(O31:O42)</f>
        <v>48145.208299186837</v>
      </c>
      <c r="W17" s="89">
        <f>+W16</f>
        <v>196154.96704083736</v>
      </c>
      <c r="X17" s="147">
        <f t="shared" ref="X17:X19" si="13">+T17-U17</f>
        <v>350188.53749450983</v>
      </c>
      <c r="Y17" s="118">
        <f t="shared" si="12"/>
        <v>9.8077483520418678</v>
      </c>
      <c r="AA17">
        <v>23273.681823175262</v>
      </c>
      <c r="AB17">
        <v>145809.31250943587</v>
      </c>
      <c r="AC17">
        <v>8.4631666147126694</v>
      </c>
    </row>
    <row r="18" spans="4:29" x14ac:dyDescent="0.2">
      <c r="D18" s="4" t="s">
        <v>4145</v>
      </c>
      <c r="E18" s="139">
        <v>8.1500000000000003E-2</v>
      </c>
      <c r="F18" s="39">
        <f t="shared" si="0"/>
        <v>6.5504414442880687E-3</v>
      </c>
      <c r="G18" s="4" t="s">
        <v>4149</v>
      </c>
      <c r="H18" s="89">
        <f t="shared" si="5"/>
        <v>15141.10742000334</v>
      </c>
      <c r="I18" s="39">
        <f t="shared" si="6"/>
        <v>5.0000000000000002E-5</v>
      </c>
      <c r="K18" s="55">
        <v>12</v>
      </c>
      <c r="L18" s="133">
        <v>43435</v>
      </c>
      <c r="M18" s="89">
        <f t="shared" si="7"/>
        <v>641046.17565870506</v>
      </c>
      <c r="N18" s="89">
        <f t="shared" si="8"/>
        <v>10388.814860480514</v>
      </c>
      <c r="O18" s="89">
        <f>+M18*$F$8</f>
        <v>5957.4323929226002</v>
      </c>
      <c r="P18" s="89">
        <f t="shared" si="9"/>
        <v>16346.247253403113</v>
      </c>
      <c r="Q18" s="89">
        <f t="shared" si="10"/>
        <v>630657.36079822457</v>
      </c>
      <c r="S18" s="146">
        <v>2021</v>
      </c>
      <c r="T18" s="89">
        <f t="shared" ref="T18:T19" si="14">+X17</f>
        <v>350188.53749450983</v>
      </c>
      <c r="U18" s="89">
        <f>+W18-V18</f>
        <v>165386.1044179204</v>
      </c>
      <c r="V18" s="89">
        <f>SUM(O43:O54)</f>
        <v>30768.86262291696</v>
      </c>
      <c r="W18" s="89">
        <f>+W17</f>
        <v>196154.96704083736</v>
      </c>
      <c r="X18" s="147">
        <f t="shared" si="13"/>
        <v>184802.43307658943</v>
      </c>
      <c r="Y18" s="118">
        <f t="shared" si="12"/>
        <v>9.8077483520418678</v>
      </c>
      <c r="AA18">
        <v>14520.046649812226</v>
      </c>
      <c r="AB18">
        <v>154630.77591625665</v>
      </c>
      <c r="AC18">
        <v>8.4631666147126694</v>
      </c>
    </row>
    <row r="19" spans="4:29" ht="17" thickBot="1" x14ac:dyDescent="0.25">
      <c r="K19" s="55">
        <v>13</v>
      </c>
      <c r="L19" s="133">
        <v>43466</v>
      </c>
      <c r="M19" s="89">
        <f t="shared" si="7"/>
        <v>630657.36079822457</v>
      </c>
      <c r="N19" s="89">
        <f t="shared" si="8"/>
        <v>10485.361200703675</v>
      </c>
      <c r="O19" s="89">
        <f t="shared" si="1"/>
        <v>5860.8860526994386</v>
      </c>
      <c r="P19" s="89">
        <f t="shared" si="9"/>
        <v>16346.247253403113</v>
      </c>
      <c r="Q19" s="89">
        <f t="shared" si="10"/>
        <v>620171.99959752092</v>
      </c>
      <c r="S19" s="148">
        <v>2022</v>
      </c>
      <c r="T19" s="149">
        <f t="shared" si="14"/>
        <v>184802.43307658943</v>
      </c>
      <c r="U19" s="149">
        <f>+W19-V19</f>
        <v>184802.43307658436</v>
      </c>
      <c r="V19" s="149">
        <f>SUM(O55:O66)</f>
        <v>11352.533964252991</v>
      </c>
      <c r="W19" s="149">
        <f>+W18</f>
        <v>196154.96704083736</v>
      </c>
      <c r="X19" s="150">
        <f t="shared" si="13"/>
        <v>5.0640664994716644E-9</v>
      </c>
      <c r="Y19" s="118">
        <f t="shared" si="12"/>
        <v>9.8077483520418678</v>
      </c>
      <c r="AA19">
        <v>5236.8165484607307</v>
      </c>
      <c r="AB19">
        <v>163985.93785919013</v>
      </c>
      <c r="AC19">
        <v>8.4631666147126694</v>
      </c>
    </row>
    <row r="20" spans="4:29" x14ac:dyDescent="0.2">
      <c r="K20" s="55">
        <v>14</v>
      </c>
      <c r="L20" s="133">
        <v>43497</v>
      </c>
      <c r="M20" s="89">
        <f t="shared" si="7"/>
        <v>620171.99959752092</v>
      </c>
      <c r="N20" s="89">
        <f t="shared" si="8"/>
        <v>10582.8047747245</v>
      </c>
      <c r="O20" s="89">
        <f t="shared" si="1"/>
        <v>5763.442478678613</v>
      </c>
      <c r="P20" s="89">
        <f t="shared" si="9"/>
        <v>16346.247253403113</v>
      </c>
      <c r="Q20" s="89">
        <f t="shared" si="10"/>
        <v>609589.19482279639</v>
      </c>
    </row>
    <row r="21" spans="4:29" x14ac:dyDescent="0.2">
      <c r="F21" s="139">
        <f>+E8</f>
        <v>0.1174</v>
      </c>
      <c r="H21" s="89">
        <f>+$C$3*F21/(1-(1+F21)^(-5))</f>
        <v>206498.23871977662</v>
      </c>
      <c r="K21" s="55">
        <v>15</v>
      </c>
      <c r="L21" s="133">
        <v>43525</v>
      </c>
      <c r="M21" s="89">
        <f t="shared" si="7"/>
        <v>609589.19482279639</v>
      </c>
      <c r="N21" s="89">
        <f t="shared" si="8"/>
        <v>10681.153920802997</v>
      </c>
      <c r="O21" s="89">
        <f t="shared" si="1"/>
        <v>5665.0933326001159</v>
      </c>
      <c r="P21" s="89">
        <f t="shared" si="9"/>
        <v>16346.247253403113</v>
      </c>
      <c r="Q21" s="89">
        <f t="shared" si="10"/>
        <v>598908.0409019934</v>
      </c>
      <c r="V21" s="23">
        <f>+V15/T15</f>
        <v>0.10359423703227937</v>
      </c>
      <c r="Z21" s="6">
        <f>+V7/T7</f>
        <v>0.1174</v>
      </c>
    </row>
    <row r="22" spans="4:29" x14ac:dyDescent="0.2">
      <c r="K22" s="55">
        <v>16</v>
      </c>
      <c r="L22" s="133">
        <v>43556</v>
      </c>
      <c r="M22" s="89">
        <f t="shared" si="7"/>
        <v>598908.0409019934</v>
      </c>
      <c r="N22" s="89">
        <f t="shared" si="8"/>
        <v>10780.4170546891</v>
      </c>
      <c r="O22" s="89">
        <f t="shared" si="1"/>
        <v>5565.8301987140139</v>
      </c>
      <c r="P22" s="89">
        <f t="shared" si="9"/>
        <v>16346.247253403113</v>
      </c>
      <c r="Q22" s="89">
        <f t="shared" si="10"/>
        <v>588127.62384730426</v>
      </c>
      <c r="V22" s="23">
        <f t="shared" ref="V22:V25" si="15">+V16/T16</f>
        <v>0.1009992215077823</v>
      </c>
      <c r="Z22" s="6">
        <f t="shared" ref="Z22:Z25" si="16">+V8/T8</f>
        <v>0.1174</v>
      </c>
    </row>
    <row r="23" spans="4:29" x14ac:dyDescent="0.2">
      <c r="K23" s="55">
        <v>17</v>
      </c>
      <c r="L23" s="133">
        <v>43586</v>
      </c>
      <c r="M23" s="89">
        <f t="shared" si="7"/>
        <v>588127.62384730426</v>
      </c>
      <c r="N23" s="89">
        <f t="shared" si="8"/>
        <v>10880.602670342803</v>
      </c>
      <c r="O23" s="89">
        <f t="shared" si="1"/>
        <v>5465.6445830603088</v>
      </c>
      <c r="P23" s="89">
        <f t="shared" si="9"/>
        <v>16346.247253403113</v>
      </c>
      <c r="Q23" s="89">
        <f t="shared" si="10"/>
        <v>577247.02117696148</v>
      </c>
      <c r="V23" s="23">
        <f t="shared" si="15"/>
        <v>9.6638645019300959E-2</v>
      </c>
      <c r="Z23" s="6">
        <f t="shared" si="16"/>
        <v>0.11740000000000002</v>
      </c>
    </row>
    <row r="24" spans="4:29" x14ac:dyDescent="0.2">
      <c r="K24" s="55">
        <v>18</v>
      </c>
      <c r="L24" s="133">
        <v>43617</v>
      </c>
      <c r="M24" s="89">
        <f t="shared" si="7"/>
        <v>577247.02117696148</v>
      </c>
      <c r="N24" s="89">
        <f t="shared" si="8"/>
        <v>10981.719340660999</v>
      </c>
      <c r="O24" s="89">
        <f t="shared" si="1"/>
        <v>5364.5279127421154</v>
      </c>
      <c r="P24" s="89">
        <f t="shared" si="9"/>
        <v>16346.247253403113</v>
      </c>
      <c r="Q24" s="89">
        <f t="shared" si="10"/>
        <v>566265.30183630052</v>
      </c>
      <c r="V24" s="23">
        <f t="shared" si="15"/>
        <v>8.7863705771349943E-2</v>
      </c>
      <c r="Z24" s="6">
        <f t="shared" si="16"/>
        <v>0.11740000000000002</v>
      </c>
    </row>
    <row r="25" spans="4:29" x14ac:dyDescent="0.2">
      <c r="K25" s="55">
        <v>19</v>
      </c>
      <c r="L25" s="133">
        <v>43647</v>
      </c>
      <c r="M25" s="89">
        <f t="shared" si="7"/>
        <v>566265.30183630052</v>
      </c>
      <c r="N25" s="89">
        <f t="shared" si="8"/>
        <v>11083.775718211044</v>
      </c>
      <c r="O25" s="89">
        <f t="shared" si="1"/>
        <v>5262.4715351920686</v>
      </c>
      <c r="P25" s="89">
        <f t="shared" si="9"/>
        <v>16346.247253403113</v>
      </c>
      <c r="Q25" s="89">
        <f t="shared" si="10"/>
        <v>555181.52611808944</v>
      </c>
      <c r="V25" s="23">
        <f t="shared" si="15"/>
        <v>6.1430652049629955E-2</v>
      </c>
      <c r="Z25" s="6">
        <f t="shared" si="16"/>
        <v>0.1174</v>
      </c>
    </row>
    <row r="26" spans="4:29" x14ac:dyDescent="0.2">
      <c r="K26" s="55">
        <v>20</v>
      </c>
      <c r="L26" s="133">
        <v>43678</v>
      </c>
      <c r="M26" s="89">
        <f t="shared" si="7"/>
        <v>555181.52611808944</v>
      </c>
      <c r="N26" s="89">
        <f t="shared" si="8"/>
        <v>11186.780535971186</v>
      </c>
      <c r="O26" s="89">
        <f t="shared" si="1"/>
        <v>5159.4667174319284</v>
      </c>
      <c r="P26" s="89">
        <f t="shared" si="9"/>
        <v>16346.247253403113</v>
      </c>
      <c r="Q26" s="89">
        <f t="shared" si="10"/>
        <v>543994.74558211828</v>
      </c>
      <c r="V26" s="23"/>
    </row>
    <row r="27" spans="4:29" x14ac:dyDescent="0.2">
      <c r="K27" s="55">
        <v>21</v>
      </c>
      <c r="L27" s="133">
        <v>43709</v>
      </c>
      <c r="M27" s="89">
        <f t="shared" si="7"/>
        <v>543994.74558211828</v>
      </c>
      <c r="N27" s="89">
        <f t="shared" si="8"/>
        <v>11290.742608077817</v>
      </c>
      <c r="O27" s="89">
        <f t="shared" si="1"/>
        <v>5055.5046453252971</v>
      </c>
      <c r="P27" s="89">
        <f t="shared" si="9"/>
        <v>16346.247253403113</v>
      </c>
      <c r="Q27" s="89">
        <f t="shared" si="10"/>
        <v>532704.00297404046</v>
      </c>
      <c r="T27" s="146">
        <v>2018</v>
      </c>
      <c r="U27" s="146">
        <v>2019</v>
      </c>
      <c r="V27" s="146">
        <v>2020</v>
      </c>
      <c r="W27" s="146">
        <v>2021</v>
      </c>
      <c r="X27" s="146">
        <v>2022</v>
      </c>
    </row>
    <row r="28" spans="4:29" x14ac:dyDescent="0.2">
      <c r="K28" s="55">
        <v>22</v>
      </c>
      <c r="L28" s="133">
        <v>43739</v>
      </c>
      <c r="M28" s="89">
        <f t="shared" si="7"/>
        <v>532704.00297404046</v>
      </c>
      <c r="N28" s="89">
        <f t="shared" si="8"/>
        <v>11395.670830579726</v>
      </c>
      <c r="O28" s="89">
        <f t="shared" si="1"/>
        <v>4950.5764228233884</v>
      </c>
      <c r="P28" s="89">
        <f t="shared" si="9"/>
        <v>16346.247253403113</v>
      </c>
      <c r="Q28" s="89">
        <f t="shared" si="10"/>
        <v>521308.33214346075</v>
      </c>
      <c r="S28" s="146" t="s">
        <v>4155</v>
      </c>
      <c r="T28" s="89">
        <f>+U15</f>
        <v>118542.20920177558</v>
      </c>
      <c r="U28" s="89">
        <f>+U16</f>
        <v>132459.0645620641</v>
      </c>
      <c r="V28" s="89">
        <f>+U17</f>
        <v>148009.75874165053</v>
      </c>
      <c r="W28" s="89">
        <f>+U18</f>
        <v>165386.1044179204</v>
      </c>
      <c r="X28" s="89">
        <f>+U19</f>
        <v>184802.43307658436</v>
      </c>
    </row>
    <row r="29" spans="4:29" x14ac:dyDescent="0.2">
      <c r="K29" s="55">
        <v>23</v>
      </c>
      <c r="L29" s="133">
        <v>43770</v>
      </c>
      <c r="M29" s="89">
        <f t="shared" si="7"/>
        <v>521308.33214346075</v>
      </c>
      <c r="N29" s="89">
        <f t="shared" si="8"/>
        <v>11501.574182199318</v>
      </c>
      <c r="O29" s="89">
        <f t="shared" si="1"/>
        <v>4844.6730712037961</v>
      </c>
      <c r="P29" s="89">
        <f t="shared" si="9"/>
        <v>16346.247253403113</v>
      </c>
      <c r="Q29" s="89">
        <f t="shared" si="10"/>
        <v>509806.75796126144</v>
      </c>
      <c r="S29" s="146" t="s">
        <v>4156</v>
      </c>
      <c r="T29" s="89">
        <f>+V15</f>
        <v>77612.757839061785</v>
      </c>
      <c r="U29" s="89">
        <f>+V16</f>
        <v>63695.902478773256</v>
      </c>
      <c r="V29" s="89">
        <f>+V17</f>
        <v>48145.208299186837</v>
      </c>
      <c r="W29" s="89">
        <f>+V18</f>
        <v>30768.86262291696</v>
      </c>
      <c r="X29" s="89">
        <f>+V19</f>
        <v>11352.533964252991</v>
      </c>
    </row>
    <row r="30" spans="4:29" x14ac:dyDescent="0.2">
      <c r="K30" s="55">
        <v>24</v>
      </c>
      <c r="L30" s="133">
        <v>43800</v>
      </c>
      <c r="M30" s="89">
        <f t="shared" si="7"/>
        <v>509806.75796126144</v>
      </c>
      <c r="N30" s="89">
        <f t="shared" si="8"/>
        <v>11608.461725100933</v>
      </c>
      <c r="O30" s="89">
        <f t="shared" si="1"/>
        <v>4737.7855283021809</v>
      </c>
      <c r="P30" s="89">
        <f t="shared" si="9"/>
        <v>16346.247253403113</v>
      </c>
      <c r="Q30" s="89">
        <f t="shared" si="10"/>
        <v>498198.2962361605</v>
      </c>
      <c r="S30" s="146" t="s">
        <v>4151</v>
      </c>
      <c r="T30" s="89">
        <f>+Y15</f>
        <v>9.8077483520418678</v>
      </c>
      <c r="U30" s="89">
        <f>+T30</f>
        <v>9.8077483520418678</v>
      </c>
      <c r="V30" s="89">
        <f>+U30</f>
        <v>9.8077483520418678</v>
      </c>
      <c r="W30" s="89">
        <f>+V30</f>
        <v>9.8077483520418678</v>
      </c>
      <c r="X30" s="89">
        <f>+W30</f>
        <v>9.8077483520418678</v>
      </c>
    </row>
    <row r="31" spans="4:29" x14ac:dyDescent="0.2">
      <c r="K31" s="55">
        <v>25</v>
      </c>
      <c r="L31" s="133">
        <v>43831</v>
      </c>
      <c r="M31" s="89">
        <f t="shared" si="7"/>
        <v>498198.2962361605</v>
      </c>
      <c r="N31" s="89">
        <f t="shared" si="8"/>
        <v>11716.342605666294</v>
      </c>
      <c r="O31" s="89">
        <f t="shared" si="1"/>
        <v>4629.9046477368192</v>
      </c>
      <c r="P31" s="89">
        <f t="shared" si="9"/>
        <v>16346.247253403113</v>
      </c>
      <c r="Q31" s="89">
        <f t="shared" si="10"/>
        <v>486481.95363049419</v>
      </c>
    </row>
    <row r="32" spans="4:29" x14ac:dyDescent="0.2">
      <c r="K32" s="55">
        <v>26</v>
      </c>
      <c r="L32" s="133">
        <v>43862</v>
      </c>
      <c r="M32" s="89">
        <f t="shared" si="7"/>
        <v>486481.95363049419</v>
      </c>
      <c r="N32" s="89">
        <f t="shared" si="8"/>
        <v>11825.226055277164</v>
      </c>
      <c r="O32" s="89">
        <f t="shared" si="1"/>
        <v>4521.021198125949</v>
      </c>
      <c r="P32" s="89">
        <f t="shared" si="9"/>
        <v>16346.247253403113</v>
      </c>
      <c r="Q32" s="89">
        <f t="shared" si="10"/>
        <v>474656.72757521702</v>
      </c>
    </row>
    <row r="33" spans="11:17" x14ac:dyDescent="0.2">
      <c r="K33" s="55">
        <v>27</v>
      </c>
      <c r="L33" s="133">
        <v>43891</v>
      </c>
      <c r="M33" s="89">
        <f t="shared" si="7"/>
        <v>474656.72757521702</v>
      </c>
      <c r="N33" s="89">
        <f t="shared" si="8"/>
        <v>11935.121391105276</v>
      </c>
      <c r="O33" s="89">
        <f t="shared" si="1"/>
        <v>4411.1258622978366</v>
      </c>
      <c r="P33" s="89">
        <f t="shared" si="9"/>
        <v>16346.247253403113</v>
      </c>
      <c r="Q33" s="89">
        <f t="shared" si="10"/>
        <v>462721.60618411173</v>
      </c>
    </row>
    <row r="34" spans="11:17" x14ac:dyDescent="0.2">
      <c r="K34" s="55">
        <v>28</v>
      </c>
      <c r="L34" s="133">
        <v>43922</v>
      </c>
      <c r="M34" s="89">
        <f t="shared" si="7"/>
        <v>462721.60618411173</v>
      </c>
      <c r="N34" s="89">
        <f t="shared" si="8"/>
        <v>12046.038016909608</v>
      </c>
      <c r="O34" s="89">
        <f t="shared" si="1"/>
        <v>4300.2092364935052</v>
      </c>
      <c r="P34" s="89">
        <f t="shared" si="9"/>
        <v>16346.247253403113</v>
      </c>
      <c r="Q34" s="89">
        <f t="shared" si="10"/>
        <v>450675.56816720212</v>
      </c>
    </row>
    <row r="35" spans="11:17" x14ac:dyDescent="0.2">
      <c r="K35" s="55">
        <v>29</v>
      </c>
      <c r="L35" s="133">
        <v>43952</v>
      </c>
      <c r="M35" s="89">
        <f t="shared" si="7"/>
        <v>450675.56816720212</v>
      </c>
      <c r="N35" s="89">
        <f t="shared" si="8"/>
        <v>12157.985423841057</v>
      </c>
      <c r="O35" s="89">
        <f t="shared" si="1"/>
        <v>4188.2618295620559</v>
      </c>
      <c r="P35" s="89">
        <f t="shared" si="9"/>
        <v>16346.247253403113</v>
      </c>
      <c r="Q35" s="89">
        <f t="shared" si="10"/>
        <v>438517.58274336107</v>
      </c>
    </row>
    <row r="36" spans="11:17" x14ac:dyDescent="0.2">
      <c r="K36" s="55">
        <v>30</v>
      </c>
      <c r="L36" s="133">
        <v>43983</v>
      </c>
      <c r="M36" s="89">
        <f t="shared" si="7"/>
        <v>438517.58274336107</v>
      </c>
      <c r="N36" s="89">
        <f t="shared" si="8"/>
        <v>12270.973191254607</v>
      </c>
      <c r="O36" s="89">
        <f t="shared" si="1"/>
        <v>4075.2740621485059</v>
      </c>
      <c r="P36" s="89">
        <f t="shared" si="9"/>
        <v>16346.247253403113</v>
      </c>
      <c r="Q36" s="89">
        <f t="shared" si="10"/>
        <v>426246.60955210647</v>
      </c>
    </row>
    <row r="37" spans="11:17" x14ac:dyDescent="0.2">
      <c r="K37" s="55">
        <v>31</v>
      </c>
      <c r="L37" s="133">
        <v>44013</v>
      </c>
      <c r="M37" s="89">
        <f t="shared" si="7"/>
        <v>426246.60955210647</v>
      </c>
      <c r="N37" s="89">
        <f t="shared" si="8"/>
        <v>12385.010987529029</v>
      </c>
      <c r="O37" s="89">
        <f t="shared" si="1"/>
        <v>3961.236265874084</v>
      </c>
      <c r="P37" s="89">
        <f t="shared" si="9"/>
        <v>16346.247253403113</v>
      </c>
      <c r="Q37" s="89">
        <f t="shared" si="10"/>
        <v>413861.59856457746</v>
      </c>
    </row>
    <row r="38" spans="11:17" x14ac:dyDescent="0.2">
      <c r="K38" s="55">
        <v>32</v>
      </c>
      <c r="L38" s="133">
        <v>44044</v>
      </c>
      <c r="M38" s="89">
        <f t="shared" si="7"/>
        <v>413861.59856457746</v>
      </c>
      <c r="N38" s="89">
        <f t="shared" si="8"/>
        <v>12500.108570894208</v>
      </c>
      <c r="O38" s="89">
        <f t="shared" si="1"/>
        <v>3846.1386825089039</v>
      </c>
      <c r="P38" s="89">
        <f t="shared" si="9"/>
        <v>16346.247253403113</v>
      </c>
      <c r="Q38" s="89">
        <f t="shared" si="10"/>
        <v>401361.48999368324</v>
      </c>
    </row>
    <row r="39" spans="11:17" x14ac:dyDescent="0.2">
      <c r="K39" s="55">
        <v>33</v>
      </c>
      <c r="L39" s="133">
        <v>44075</v>
      </c>
      <c r="M39" s="89">
        <f t="shared" si="7"/>
        <v>401361.48999368324</v>
      </c>
      <c r="N39" s="89">
        <f t="shared" si="8"/>
        <v>12616.27579026616</v>
      </c>
      <c r="O39" s="89">
        <f t="shared" si="1"/>
        <v>3729.9714631369534</v>
      </c>
      <c r="P39" s="89">
        <f t="shared" si="9"/>
        <v>16346.247253403113</v>
      </c>
      <c r="Q39" s="89">
        <f t="shared" si="10"/>
        <v>388745.21420341707</v>
      </c>
    </row>
    <row r="40" spans="11:17" x14ac:dyDescent="0.2">
      <c r="K40" s="55">
        <v>34</v>
      </c>
      <c r="L40" s="133">
        <v>44105</v>
      </c>
      <c r="M40" s="89">
        <f t="shared" si="7"/>
        <v>388745.21420341707</v>
      </c>
      <c r="N40" s="89">
        <f t="shared" si="8"/>
        <v>12733.522586089792</v>
      </c>
      <c r="O40" s="89">
        <f t="shared" si="1"/>
        <v>3612.7246673133204</v>
      </c>
      <c r="P40" s="89">
        <f t="shared" si="9"/>
        <v>16346.247253403113</v>
      </c>
      <c r="Q40" s="89">
        <f t="shared" si="10"/>
        <v>376011.69161732728</v>
      </c>
    </row>
    <row r="41" spans="11:17" x14ac:dyDescent="0.2">
      <c r="K41" s="55">
        <v>35</v>
      </c>
      <c r="L41" s="133">
        <v>44136</v>
      </c>
      <c r="M41" s="89">
        <f t="shared" si="7"/>
        <v>376011.69161732728</v>
      </c>
      <c r="N41" s="89">
        <f t="shared" si="8"/>
        <v>12851.858991189525</v>
      </c>
      <c r="O41" s="89">
        <f t="shared" si="1"/>
        <v>3494.388262213588</v>
      </c>
      <c r="P41" s="89">
        <f t="shared" si="9"/>
        <v>16346.247253403113</v>
      </c>
      <c r="Q41" s="89">
        <f t="shared" si="10"/>
        <v>363159.83262613777</v>
      </c>
    </row>
    <row r="42" spans="11:17" x14ac:dyDescent="0.2">
      <c r="K42" s="55">
        <v>36</v>
      </c>
      <c r="L42" s="133">
        <v>44166</v>
      </c>
      <c r="M42" s="89">
        <f t="shared" si="7"/>
        <v>363159.83262613777</v>
      </c>
      <c r="N42" s="89">
        <f t="shared" si="8"/>
        <v>12971.29513162779</v>
      </c>
      <c r="O42" s="89">
        <f t="shared" si="1"/>
        <v>3374.9521217753227</v>
      </c>
      <c r="P42" s="89">
        <f t="shared" si="9"/>
        <v>16346.247253403113</v>
      </c>
      <c r="Q42" s="89">
        <f t="shared" si="10"/>
        <v>350188.53749450995</v>
      </c>
    </row>
    <row r="43" spans="11:17" x14ac:dyDescent="0.2">
      <c r="K43" s="55">
        <v>37</v>
      </c>
      <c r="L43" s="133">
        <v>44197</v>
      </c>
      <c r="M43" s="89">
        <f t="shared" si="7"/>
        <v>350188.53749450995</v>
      </c>
      <c r="N43" s="89">
        <f t="shared" si="8"/>
        <v>13091.841227571525</v>
      </c>
      <c r="O43" s="89">
        <f t="shared" si="1"/>
        <v>3254.4060258315876</v>
      </c>
      <c r="P43" s="89">
        <f t="shared" si="9"/>
        <v>16346.247253403113</v>
      </c>
      <c r="Q43" s="89">
        <f t="shared" si="10"/>
        <v>337096.69626693841</v>
      </c>
    </row>
    <row r="44" spans="11:17" x14ac:dyDescent="0.2">
      <c r="K44" s="55">
        <v>38</v>
      </c>
      <c r="L44" s="133">
        <v>44228</v>
      </c>
      <c r="M44" s="89">
        <f t="shared" si="7"/>
        <v>337096.69626693841</v>
      </c>
      <c r="N44" s="89">
        <f t="shared" si="8"/>
        <v>13213.507594166713</v>
      </c>
      <c r="O44" s="89">
        <f t="shared" si="1"/>
        <v>3132.7396592364012</v>
      </c>
      <c r="P44" s="89">
        <f t="shared" si="9"/>
        <v>16346.247253403113</v>
      </c>
      <c r="Q44" s="89">
        <f t="shared" si="10"/>
        <v>323883.18867277168</v>
      </c>
    </row>
    <row r="45" spans="11:17" x14ac:dyDescent="0.2">
      <c r="K45" s="55">
        <v>39</v>
      </c>
      <c r="L45" s="133">
        <v>44256</v>
      </c>
      <c r="M45" s="89">
        <f t="shared" si="7"/>
        <v>323883.18867277168</v>
      </c>
      <c r="N45" s="89">
        <f t="shared" si="8"/>
        <v>13336.304642421044</v>
      </c>
      <c r="O45" s="89">
        <f t="shared" si="1"/>
        <v>3009.9426109820679</v>
      </c>
      <c r="P45" s="89">
        <f t="shared" si="9"/>
        <v>16346.247253403113</v>
      </c>
      <c r="Q45" s="89">
        <f t="shared" si="10"/>
        <v>310546.88403035066</v>
      </c>
    </row>
    <row r="46" spans="11:17" x14ac:dyDescent="0.2">
      <c r="K46" s="55">
        <v>40</v>
      </c>
      <c r="L46" s="133">
        <v>44287</v>
      </c>
      <c r="M46" s="89">
        <f t="shared" si="7"/>
        <v>310546.88403035066</v>
      </c>
      <c r="N46" s="89">
        <f t="shared" si="8"/>
        <v>13460.242880094804</v>
      </c>
      <c r="O46" s="89">
        <f t="shared" si="1"/>
        <v>2886.0043733083089</v>
      </c>
      <c r="P46" s="89">
        <f t="shared" si="9"/>
        <v>16346.247253403113</v>
      </c>
      <c r="Q46" s="89">
        <f t="shared" si="10"/>
        <v>297086.64115025586</v>
      </c>
    </row>
    <row r="47" spans="11:17" x14ac:dyDescent="0.2">
      <c r="K47" s="55">
        <v>41</v>
      </c>
      <c r="L47" s="133">
        <v>44317</v>
      </c>
      <c r="M47" s="89">
        <f t="shared" si="7"/>
        <v>297086.64115025586</v>
      </c>
      <c r="N47" s="89">
        <f t="shared" si="8"/>
        <v>13585.332912600006</v>
      </c>
      <c r="O47" s="89">
        <f t="shared" si="1"/>
        <v>2760.9143408031073</v>
      </c>
      <c r="P47" s="89">
        <f t="shared" si="9"/>
        <v>16346.247253403113</v>
      </c>
      <c r="Q47" s="89">
        <f t="shared" si="10"/>
        <v>283501.30823765585</v>
      </c>
    </row>
    <row r="48" spans="11:17" x14ac:dyDescent="0.2">
      <c r="K48" s="55">
        <v>42</v>
      </c>
      <c r="L48" s="133">
        <v>44348</v>
      </c>
      <c r="M48" s="89">
        <f t="shared" si="7"/>
        <v>283501.30823765585</v>
      </c>
      <c r="N48" s="89">
        <f t="shared" si="8"/>
        <v>13711.585443907907</v>
      </c>
      <c r="O48" s="89">
        <f t="shared" si="1"/>
        <v>2634.6618094952064</v>
      </c>
      <c r="P48" s="89">
        <f t="shared" si="9"/>
        <v>16346.247253403113</v>
      </c>
      <c r="Q48" s="89">
        <f t="shared" si="10"/>
        <v>269789.72279374796</v>
      </c>
    </row>
    <row r="49" spans="11:17" x14ac:dyDescent="0.2">
      <c r="K49" s="55">
        <v>43</v>
      </c>
      <c r="L49" s="133">
        <v>44378</v>
      </c>
      <c r="M49" s="89">
        <f t="shared" si="7"/>
        <v>269789.72279374796</v>
      </c>
      <c r="N49" s="89">
        <f t="shared" si="8"/>
        <v>13839.011277464946</v>
      </c>
      <c r="O49" s="89">
        <f t="shared" si="1"/>
        <v>2507.2359759381666</v>
      </c>
      <c r="P49" s="89">
        <f t="shared" si="9"/>
        <v>16346.247253403113</v>
      </c>
      <c r="Q49" s="89">
        <f t="shared" si="10"/>
        <v>255950.71151628302</v>
      </c>
    </row>
    <row r="50" spans="11:17" x14ac:dyDescent="0.2">
      <c r="K50" s="55">
        <v>44</v>
      </c>
      <c r="L50" s="133">
        <v>44409</v>
      </c>
      <c r="M50" s="89">
        <f t="shared" si="7"/>
        <v>255950.71151628302</v>
      </c>
      <c r="N50" s="89">
        <f t="shared" si="8"/>
        <v>13967.621317117198</v>
      </c>
      <c r="O50" s="89">
        <f t="shared" si="1"/>
        <v>2378.6259362859141</v>
      </c>
      <c r="P50" s="89">
        <f t="shared" si="9"/>
        <v>16346.247253403113</v>
      </c>
      <c r="Q50" s="89">
        <f t="shared" si="10"/>
        <v>241983.0901991658</v>
      </c>
    </row>
    <row r="51" spans="11:17" x14ac:dyDescent="0.2">
      <c r="K51" s="55">
        <v>45</v>
      </c>
      <c r="L51" s="133">
        <v>44440</v>
      </c>
      <c r="M51" s="89">
        <f t="shared" si="7"/>
        <v>241983.0901991658</v>
      </c>
      <c r="N51" s="89">
        <f t="shared" si="8"/>
        <v>14097.426568043416</v>
      </c>
      <c r="O51" s="89">
        <f t="shared" si="1"/>
        <v>2248.8206853596967</v>
      </c>
      <c r="P51" s="89">
        <f t="shared" si="9"/>
        <v>16346.247253403113</v>
      </c>
      <c r="Q51" s="89">
        <f t="shared" si="10"/>
        <v>227885.66363112238</v>
      </c>
    </row>
    <row r="52" spans="11:17" x14ac:dyDescent="0.2">
      <c r="K52" s="55">
        <v>46</v>
      </c>
      <c r="L52" s="133">
        <v>44470</v>
      </c>
      <c r="M52" s="89">
        <f t="shared" si="7"/>
        <v>227885.66363112238</v>
      </c>
      <c r="N52" s="89">
        <f t="shared" si="8"/>
        <v>14228.438137696743</v>
      </c>
      <c r="O52" s="89">
        <f t="shared" si="1"/>
        <v>2117.8091157063695</v>
      </c>
      <c r="P52" s="89">
        <f t="shared" si="9"/>
        <v>16346.247253403113</v>
      </c>
      <c r="Q52" s="89">
        <f t="shared" si="10"/>
        <v>213657.22549342565</v>
      </c>
    </row>
    <row r="53" spans="11:17" x14ac:dyDescent="0.2">
      <c r="K53" s="55">
        <v>47</v>
      </c>
      <c r="L53" s="133">
        <v>44501</v>
      </c>
      <c r="M53" s="89">
        <f t="shared" si="7"/>
        <v>213657.22549342565</v>
      </c>
      <c r="N53" s="89">
        <f t="shared" si="8"/>
        <v>14360.667236755186</v>
      </c>
      <c r="O53" s="89">
        <f t="shared" si="1"/>
        <v>1985.5800166479282</v>
      </c>
      <c r="P53" s="89">
        <f t="shared" si="9"/>
        <v>16346.247253403113</v>
      </c>
      <c r="Q53" s="89">
        <f t="shared" si="10"/>
        <v>199296.55825667045</v>
      </c>
    </row>
    <row r="54" spans="11:17" x14ac:dyDescent="0.2">
      <c r="K54" s="55">
        <v>48</v>
      </c>
      <c r="L54" s="133">
        <v>44531</v>
      </c>
      <c r="M54" s="89">
        <f t="shared" si="7"/>
        <v>199296.55825667045</v>
      </c>
      <c r="N54" s="89">
        <f t="shared" si="8"/>
        <v>14494.125180080902</v>
      </c>
      <c r="O54" s="89">
        <f t="shared" si="1"/>
        <v>1852.1220733222103</v>
      </c>
      <c r="P54" s="89">
        <f t="shared" si="9"/>
        <v>16346.247253403113</v>
      </c>
      <c r="Q54" s="89">
        <f t="shared" si="10"/>
        <v>184802.43307658954</v>
      </c>
    </row>
    <row r="55" spans="11:17" x14ac:dyDescent="0.2">
      <c r="K55" s="55">
        <v>49</v>
      </c>
      <c r="L55" s="133">
        <v>44562</v>
      </c>
      <c r="M55" s="89">
        <f t="shared" si="7"/>
        <v>184802.43307658954</v>
      </c>
      <c r="N55" s="89">
        <f t="shared" si="8"/>
        <v>14628.823387688433</v>
      </c>
      <c r="O55" s="89">
        <f t="shared" si="1"/>
        <v>1717.4238657146807</v>
      </c>
      <c r="P55" s="89">
        <f t="shared" si="9"/>
        <v>16346.247253403113</v>
      </c>
      <c r="Q55" s="89">
        <f t="shared" si="10"/>
        <v>170173.60968890111</v>
      </c>
    </row>
    <row r="56" spans="11:17" x14ac:dyDescent="0.2">
      <c r="K56" s="55">
        <v>50</v>
      </c>
      <c r="L56" s="133">
        <v>44593</v>
      </c>
      <c r="M56" s="89">
        <f t="shared" si="7"/>
        <v>170173.60968890111</v>
      </c>
      <c r="N56" s="89">
        <f t="shared" si="8"/>
        <v>14764.773385721894</v>
      </c>
      <c r="O56" s="89">
        <f t="shared" si="1"/>
        <v>1581.4738676812194</v>
      </c>
      <c r="P56" s="89">
        <f t="shared" si="9"/>
        <v>16346.247253403113</v>
      </c>
      <c r="Q56" s="89">
        <f t="shared" si="10"/>
        <v>155408.83630317921</v>
      </c>
    </row>
    <row r="57" spans="11:17" x14ac:dyDescent="0.2">
      <c r="K57" s="55">
        <v>51</v>
      </c>
      <c r="L57" s="133">
        <v>44621</v>
      </c>
      <c r="M57" s="89">
        <f t="shared" si="7"/>
        <v>155408.83630317921</v>
      </c>
      <c r="N57" s="89">
        <f t="shared" si="8"/>
        <v>14901.986807441284</v>
      </c>
      <c r="O57" s="89">
        <f t="shared" si="1"/>
        <v>1444.2604459618278</v>
      </c>
      <c r="P57" s="89">
        <f t="shared" si="9"/>
        <v>16346.247253403113</v>
      </c>
      <c r="Q57" s="89">
        <f t="shared" si="10"/>
        <v>140506.84949573793</v>
      </c>
    </row>
    <row r="58" spans="11:17" x14ac:dyDescent="0.2">
      <c r="K58" s="55">
        <v>52</v>
      </c>
      <c r="L58" s="133">
        <v>44652</v>
      </c>
      <c r="M58" s="89">
        <f t="shared" si="7"/>
        <v>140506.84949573793</v>
      </c>
      <c r="N58" s="89">
        <f t="shared" si="8"/>
        <v>15040.475394217945</v>
      </c>
      <c r="O58" s="89">
        <f t="shared" si="1"/>
        <v>1305.7718591851688</v>
      </c>
      <c r="P58" s="89">
        <f t="shared" si="9"/>
        <v>16346.247253403113</v>
      </c>
      <c r="Q58" s="89">
        <f t="shared" si="10"/>
        <v>125466.37410151999</v>
      </c>
    </row>
    <row r="59" spans="11:17" x14ac:dyDescent="0.2">
      <c r="K59" s="55">
        <v>53</v>
      </c>
      <c r="L59" s="133">
        <v>44682</v>
      </c>
      <c r="M59" s="89">
        <f t="shared" si="7"/>
        <v>125466.37410151999</v>
      </c>
      <c r="N59" s="89">
        <f t="shared" si="8"/>
        <v>15180.250996539256</v>
      </c>
      <c r="O59" s="89">
        <f t="shared" si="1"/>
        <v>1165.9962568638566</v>
      </c>
      <c r="P59" s="89">
        <f t="shared" si="9"/>
        <v>16346.247253403113</v>
      </c>
      <c r="Q59" s="89">
        <f t="shared" si="10"/>
        <v>110286.12310498074</v>
      </c>
    </row>
    <row r="60" spans="11:17" x14ac:dyDescent="0.2">
      <c r="K60" s="55">
        <v>54</v>
      </c>
      <c r="L60" s="133">
        <v>44713</v>
      </c>
      <c r="M60" s="89">
        <f t="shared" si="7"/>
        <v>110286.12310498074</v>
      </c>
      <c r="N60" s="89">
        <f t="shared" si="8"/>
        <v>15321.325575022705</v>
      </c>
      <c r="O60" s="89">
        <f t="shared" si="1"/>
        <v>1024.9216783804079</v>
      </c>
      <c r="P60" s="89">
        <f t="shared" si="9"/>
        <v>16346.247253403113</v>
      </c>
      <c r="Q60" s="89">
        <f t="shared" si="10"/>
        <v>94964.797529958028</v>
      </c>
    </row>
    <row r="61" spans="11:17" x14ac:dyDescent="0.2">
      <c r="K61" s="55">
        <v>55</v>
      </c>
      <c r="L61" s="133">
        <v>44743</v>
      </c>
      <c r="M61" s="89">
        <f t="shared" si="7"/>
        <v>94964.797529958028</v>
      </c>
      <c r="N61" s="89">
        <f t="shared" si="8"/>
        <v>15463.711201439341</v>
      </c>
      <c r="O61" s="89">
        <f t="shared" si="1"/>
        <v>882.53605196377168</v>
      </c>
      <c r="P61" s="89">
        <f t="shared" si="9"/>
        <v>16346.247253403113</v>
      </c>
      <c r="Q61" s="89">
        <f t="shared" si="10"/>
        <v>79501.086328518693</v>
      </c>
    </row>
    <row r="62" spans="11:17" x14ac:dyDescent="0.2">
      <c r="K62" s="55">
        <v>56</v>
      </c>
      <c r="L62" s="133">
        <v>44774</v>
      </c>
      <c r="M62" s="89">
        <f t="shared" si="7"/>
        <v>79501.086328518693</v>
      </c>
      <c r="N62" s="89">
        <f t="shared" si="8"/>
        <v>15607.420059746768</v>
      </c>
      <c r="O62" s="89">
        <f t="shared" si="1"/>
        <v>738.82719365634478</v>
      </c>
      <c r="P62" s="89">
        <f t="shared" si="9"/>
        <v>16346.247253403113</v>
      </c>
      <c r="Q62" s="89">
        <f t="shared" si="10"/>
        <v>63893.666268771922</v>
      </c>
    </row>
    <row r="63" spans="11:17" x14ac:dyDescent="0.2">
      <c r="K63" s="55">
        <v>57</v>
      </c>
      <c r="L63" s="133">
        <v>44805</v>
      </c>
      <c r="M63" s="89">
        <f t="shared" si="7"/>
        <v>63893.666268771922</v>
      </c>
      <c r="N63" s="89">
        <f t="shared" si="8"/>
        <v>15752.464447131724</v>
      </c>
      <c r="O63" s="89">
        <f t="shared" si="1"/>
        <v>593.7828062713894</v>
      </c>
      <c r="P63" s="89">
        <f t="shared" si="9"/>
        <v>16346.247253403113</v>
      </c>
      <c r="Q63" s="89">
        <f t="shared" si="10"/>
        <v>48141.201821640199</v>
      </c>
    </row>
    <row r="64" spans="11:17" x14ac:dyDescent="0.2">
      <c r="K64" s="55">
        <v>58</v>
      </c>
      <c r="L64" s="133">
        <v>44835</v>
      </c>
      <c r="M64" s="89">
        <f t="shared" si="7"/>
        <v>48141.201821640199</v>
      </c>
      <c r="N64" s="89">
        <f t="shared" si="8"/>
        <v>15898.856775062352</v>
      </c>
      <c r="O64" s="89">
        <f t="shared" si="1"/>
        <v>447.39047834076138</v>
      </c>
      <c r="P64" s="89">
        <f t="shared" si="9"/>
        <v>16346.247253403113</v>
      </c>
      <c r="Q64" s="89">
        <f t="shared" si="10"/>
        <v>32242.345046577848</v>
      </c>
    </row>
    <row r="65" spans="11:17" x14ac:dyDescent="0.2">
      <c r="K65" s="55">
        <v>59</v>
      </c>
      <c r="L65" s="133">
        <v>44866</v>
      </c>
      <c r="M65" s="89">
        <f t="shared" si="7"/>
        <v>32242.345046577848</v>
      </c>
      <c r="N65" s="89">
        <f t="shared" si="8"/>
        <v>16046.609570350254</v>
      </c>
      <c r="O65" s="89">
        <f t="shared" si="1"/>
        <v>299.63768305285896</v>
      </c>
      <c r="P65" s="89">
        <f t="shared" si="9"/>
        <v>16346.247253403113</v>
      </c>
      <c r="Q65" s="89">
        <f t="shared" si="10"/>
        <v>16195.735476227594</v>
      </c>
    </row>
    <row r="66" spans="11:17" x14ac:dyDescent="0.2">
      <c r="K66" s="55">
        <v>60</v>
      </c>
      <c r="L66" s="133">
        <v>44896</v>
      </c>
      <c r="M66" s="89">
        <f t="shared" si="7"/>
        <v>16195.735476227594</v>
      </c>
      <c r="N66" s="89">
        <f t="shared" si="8"/>
        <v>16195.735476222411</v>
      </c>
      <c r="O66" s="89">
        <f t="shared" si="1"/>
        <v>150.51177718070173</v>
      </c>
      <c r="P66" s="89">
        <f t="shared" si="9"/>
        <v>16346.247253403113</v>
      </c>
      <c r="Q66" s="89">
        <f t="shared" si="10"/>
        <v>5.1823008107021451E-9</v>
      </c>
    </row>
  </sheetData>
  <mergeCells count="6">
    <mergeCell ref="H5:H7"/>
    <mergeCell ref="I5:I7"/>
    <mergeCell ref="D5:D7"/>
    <mergeCell ref="E5:E7"/>
    <mergeCell ref="F5:F7"/>
    <mergeCell ref="G5:G7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34"/>
  <sheetViews>
    <sheetView showGridLines="0" topLeftCell="B5" workbookViewId="0">
      <selection activeCell="E2" sqref="E2:J11"/>
    </sheetView>
  </sheetViews>
  <sheetFormatPr baseColWidth="10" defaultRowHeight="16" x14ac:dyDescent="0.2"/>
  <cols>
    <col min="2" max="2" width="15.5" bestFit="1" customWidth="1"/>
    <col min="5" max="5" width="28" bestFit="1" customWidth="1"/>
    <col min="6" max="10" width="12.5" customWidth="1"/>
    <col min="12" max="12" width="10" customWidth="1"/>
    <col min="13" max="13" width="8.33203125" customWidth="1"/>
    <col min="14" max="18" width="11.6640625" customWidth="1"/>
  </cols>
  <sheetData>
    <row r="2" spans="2:18" x14ac:dyDescent="0.2">
      <c r="D2" t="s">
        <v>4207</v>
      </c>
      <c r="F2" s="55">
        <v>2018</v>
      </c>
      <c r="G2" s="55">
        <v>2019</v>
      </c>
      <c r="H2" s="55">
        <v>2020</v>
      </c>
      <c r="I2" s="55">
        <v>2021</v>
      </c>
      <c r="J2" s="55">
        <v>2022</v>
      </c>
      <c r="M2" s="290" t="s">
        <v>4339</v>
      </c>
      <c r="N2" s="290">
        <v>2018</v>
      </c>
      <c r="O2" s="290">
        <v>2019</v>
      </c>
      <c r="P2" s="290">
        <v>2020</v>
      </c>
      <c r="Q2" s="290">
        <v>2021</v>
      </c>
      <c r="R2" s="290">
        <v>2022</v>
      </c>
    </row>
    <row r="3" spans="2:18" x14ac:dyDescent="0.2">
      <c r="B3" t="s">
        <v>4200</v>
      </c>
      <c r="C3" s="118">
        <v>3500</v>
      </c>
      <c r="D3" s="118">
        <f>+C3</f>
        <v>3500</v>
      </c>
      <c r="E3" s="55" t="s">
        <v>4297</v>
      </c>
      <c r="F3" s="89">
        <f>+D3*12</f>
        <v>42000</v>
      </c>
      <c r="G3" s="89">
        <f>+F3</f>
        <v>42000</v>
      </c>
      <c r="H3" s="89">
        <f t="shared" ref="H3:J3" si="0">+G3</f>
        <v>42000</v>
      </c>
      <c r="I3" s="89">
        <f t="shared" si="0"/>
        <v>42000</v>
      </c>
      <c r="J3" s="89">
        <f t="shared" si="0"/>
        <v>42000</v>
      </c>
      <c r="M3" s="290"/>
      <c r="N3" s="290">
        <v>2018</v>
      </c>
      <c r="O3" s="290">
        <v>2019</v>
      </c>
      <c r="P3" s="290">
        <v>2020</v>
      </c>
      <c r="Q3" s="290">
        <v>2021</v>
      </c>
      <c r="R3" s="290">
        <v>2022</v>
      </c>
    </row>
    <row r="4" spans="2:18" x14ac:dyDescent="0.2">
      <c r="B4" t="s">
        <v>4201</v>
      </c>
      <c r="C4" s="118">
        <v>1200</v>
      </c>
      <c r="D4" s="118">
        <f t="shared" ref="D4:D8" si="1">+C4</f>
        <v>1200</v>
      </c>
      <c r="E4" s="55" t="s">
        <v>4298</v>
      </c>
      <c r="F4" s="89">
        <f t="shared" ref="F4:F9" si="2">+D4*12</f>
        <v>14400</v>
      </c>
      <c r="G4" s="89">
        <f>+F4</f>
        <v>14400</v>
      </c>
      <c r="H4" s="89">
        <f t="shared" ref="H4:J4" si="3">+G4</f>
        <v>14400</v>
      </c>
      <c r="I4" s="89">
        <f t="shared" si="3"/>
        <v>14400</v>
      </c>
      <c r="J4" s="89">
        <f t="shared" si="3"/>
        <v>14400</v>
      </c>
      <c r="L4" s="55" t="s">
        <v>4334</v>
      </c>
      <c r="M4" s="89">
        <f>+F25</f>
        <v>19</v>
      </c>
      <c r="N4" s="89">
        <f t="shared" ref="N4:R8" si="4">+$M4*F$23*6</f>
        <v>2964</v>
      </c>
      <c r="O4" s="89">
        <f t="shared" si="4"/>
        <v>3078</v>
      </c>
      <c r="P4" s="89">
        <f t="shared" si="4"/>
        <v>3192</v>
      </c>
      <c r="Q4" s="89">
        <f t="shared" si="4"/>
        <v>3306</v>
      </c>
      <c r="R4" s="89">
        <f t="shared" si="4"/>
        <v>3306</v>
      </c>
    </row>
    <row r="5" spans="2:18" x14ac:dyDescent="0.2">
      <c r="B5" t="s">
        <v>4202</v>
      </c>
      <c r="C5" s="118">
        <v>1000</v>
      </c>
      <c r="D5" s="118">
        <f t="shared" si="1"/>
        <v>1000</v>
      </c>
      <c r="E5" s="55" t="s">
        <v>4299</v>
      </c>
      <c r="F5" s="89">
        <f t="shared" si="2"/>
        <v>12000</v>
      </c>
      <c r="G5" s="89">
        <f>+F5</f>
        <v>12000</v>
      </c>
      <c r="H5" s="89">
        <f t="shared" ref="H5:J5" si="5">+G5</f>
        <v>12000</v>
      </c>
      <c r="I5" s="89">
        <f t="shared" si="5"/>
        <v>12000</v>
      </c>
      <c r="J5" s="89">
        <f t="shared" si="5"/>
        <v>12000</v>
      </c>
      <c r="L5" s="55" t="s">
        <v>4333</v>
      </c>
      <c r="M5" s="89">
        <f>+F26</f>
        <v>29</v>
      </c>
      <c r="N5" s="89">
        <f t="shared" si="4"/>
        <v>4524</v>
      </c>
      <c r="O5" s="89">
        <f t="shared" si="4"/>
        <v>4698</v>
      </c>
      <c r="P5" s="89">
        <f t="shared" si="4"/>
        <v>4872</v>
      </c>
      <c r="Q5" s="89">
        <f t="shared" si="4"/>
        <v>5046</v>
      </c>
      <c r="R5" s="89">
        <f t="shared" si="4"/>
        <v>5046</v>
      </c>
    </row>
    <row r="6" spans="2:18" x14ac:dyDescent="0.2">
      <c r="B6" t="s">
        <v>4203</v>
      </c>
      <c r="C6" s="118">
        <v>50</v>
      </c>
      <c r="D6" s="118">
        <f t="shared" si="1"/>
        <v>50</v>
      </c>
      <c r="E6" s="55" t="s">
        <v>4300</v>
      </c>
      <c r="F6" s="89">
        <f t="shared" si="2"/>
        <v>600</v>
      </c>
      <c r="G6" s="89">
        <f>+F6</f>
        <v>600</v>
      </c>
      <c r="H6" s="89">
        <f t="shared" ref="H6:J6" si="6">+G6</f>
        <v>600</v>
      </c>
      <c r="I6" s="89">
        <f t="shared" si="6"/>
        <v>600</v>
      </c>
      <c r="J6" s="89">
        <f t="shared" si="6"/>
        <v>600</v>
      </c>
      <c r="L6" s="55" t="s">
        <v>4335</v>
      </c>
      <c r="M6" s="89">
        <v>18</v>
      </c>
      <c r="N6" s="89">
        <f t="shared" si="4"/>
        <v>2808</v>
      </c>
      <c r="O6" s="89">
        <f t="shared" si="4"/>
        <v>2916</v>
      </c>
      <c r="P6" s="89">
        <f t="shared" si="4"/>
        <v>3024</v>
      </c>
      <c r="Q6" s="89">
        <f t="shared" si="4"/>
        <v>3132</v>
      </c>
      <c r="R6" s="89">
        <f t="shared" si="4"/>
        <v>3132</v>
      </c>
    </row>
    <row r="7" spans="2:18" x14ac:dyDescent="0.2">
      <c r="B7" t="s">
        <v>4204</v>
      </c>
      <c r="C7" s="118">
        <v>100</v>
      </c>
      <c r="D7" s="118">
        <f>+C7</f>
        <v>100</v>
      </c>
      <c r="E7" s="55" t="s">
        <v>4301</v>
      </c>
      <c r="F7" s="89">
        <f>+$D$7*12*F14</f>
        <v>21600</v>
      </c>
      <c r="G7" s="89">
        <f>+$D$7*12*G14</f>
        <v>22800</v>
      </c>
      <c r="H7" s="89">
        <f>+$D$7*12*H14</f>
        <v>24000</v>
      </c>
      <c r="I7" s="89">
        <f>+$D$7*12*I14</f>
        <v>25200</v>
      </c>
      <c r="J7" s="89">
        <f>+$D$7*12*J14</f>
        <v>25200</v>
      </c>
      <c r="L7" s="55" t="s">
        <v>4336</v>
      </c>
      <c r="M7" s="89">
        <v>15</v>
      </c>
      <c r="N7" s="89">
        <f t="shared" si="4"/>
        <v>2340</v>
      </c>
      <c r="O7" s="89">
        <f t="shared" si="4"/>
        <v>2430</v>
      </c>
      <c r="P7" s="89">
        <f t="shared" si="4"/>
        <v>2520</v>
      </c>
      <c r="Q7" s="89">
        <f t="shared" si="4"/>
        <v>2610</v>
      </c>
      <c r="R7" s="89">
        <f t="shared" si="4"/>
        <v>2610</v>
      </c>
    </row>
    <row r="8" spans="2:18" x14ac:dyDescent="0.2">
      <c r="B8" t="s">
        <v>4205</v>
      </c>
      <c r="C8" s="118">
        <v>1500</v>
      </c>
      <c r="D8" s="118">
        <f t="shared" si="1"/>
        <v>1500</v>
      </c>
      <c r="E8" s="55" t="s">
        <v>4397</v>
      </c>
      <c r="F8" s="89">
        <f>+D8*12</f>
        <v>18000</v>
      </c>
      <c r="G8" s="89">
        <f>+F8</f>
        <v>18000</v>
      </c>
      <c r="H8" s="89">
        <f t="shared" ref="H8:J8" si="7">+G8</f>
        <v>18000</v>
      </c>
      <c r="I8" s="89">
        <f t="shared" si="7"/>
        <v>18000</v>
      </c>
      <c r="J8" s="89">
        <f t="shared" si="7"/>
        <v>18000</v>
      </c>
      <c r="L8" s="55" t="s">
        <v>4341</v>
      </c>
      <c r="M8" s="89">
        <v>27</v>
      </c>
      <c r="N8" s="89">
        <f t="shared" si="4"/>
        <v>4212</v>
      </c>
      <c r="O8" s="89">
        <f t="shared" si="4"/>
        <v>4374</v>
      </c>
      <c r="P8" s="89">
        <f t="shared" si="4"/>
        <v>4536</v>
      </c>
      <c r="Q8" s="89">
        <f t="shared" si="4"/>
        <v>4698</v>
      </c>
      <c r="R8" s="89">
        <f t="shared" si="4"/>
        <v>4698</v>
      </c>
    </row>
    <row r="9" spans="2:18" x14ac:dyDescent="0.2">
      <c r="B9" t="s">
        <v>4206</v>
      </c>
      <c r="C9" s="118">
        <v>400</v>
      </c>
      <c r="D9" s="118">
        <f>+C9*2</f>
        <v>800</v>
      </c>
      <c r="E9" s="55" t="s">
        <v>4398</v>
      </c>
      <c r="F9" s="152">
        <f t="shared" si="2"/>
        <v>9600</v>
      </c>
      <c r="G9" s="152">
        <f>+F9</f>
        <v>9600</v>
      </c>
      <c r="H9" s="152">
        <f t="shared" ref="H9:J10" si="8">+G9</f>
        <v>9600</v>
      </c>
      <c r="I9" s="152">
        <f t="shared" si="8"/>
        <v>9600</v>
      </c>
      <c r="J9" s="152">
        <f t="shared" si="8"/>
        <v>9600</v>
      </c>
      <c r="L9" s="55" t="s">
        <v>4337</v>
      </c>
      <c r="M9" s="89">
        <f>+F30</f>
        <v>80</v>
      </c>
      <c r="N9" s="89">
        <f>+$M9*F$23*2</f>
        <v>4160</v>
      </c>
      <c r="O9" s="89">
        <f>+$M9*G$23*2</f>
        <v>4320</v>
      </c>
      <c r="P9" s="89">
        <f>+$M9*H$23*2</f>
        <v>4480</v>
      </c>
      <c r="Q9" s="89">
        <f>+$M9*I$23*2</f>
        <v>4640</v>
      </c>
      <c r="R9" s="89">
        <f>+$M9*J$23*2</f>
        <v>4640</v>
      </c>
    </row>
    <row r="10" spans="2:18" x14ac:dyDescent="0.2">
      <c r="E10" s="55" t="s">
        <v>4482</v>
      </c>
      <c r="F10" s="152">
        <f>+(30+80)*2</f>
        <v>220</v>
      </c>
      <c r="G10" s="152">
        <f>+F10</f>
        <v>220</v>
      </c>
      <c r="H10" s="152">
        <f t="shared" si="8"/>
        <v>220</v>
      </c>
      <c r="I10" s="152">
        <f t="shared" si="8"/>
        <v>220</v>
      </c>
      <c r="J10" s="152">
        <f t="shared" si="8"/>
        <v>220</v>
      </c>
      <c r="L10" s="298" t="s">
        <v>3545</v>
      </c>
      <c r="M10" s="299"/>
      <c r="N10" s="123">
        <f>SUM(N4:N9)</f>
        <v>21008</v>
      </c>
      <c r="O10" s="123">
        <f>SUM(O4:O9)</f>
        <v>21816</v>
      </c>
      <c r="P10" s="123">
        <f>SUM(P4:P9)</f>
        <v>22624</v>
      </c>
      <c r="Q10" s="123">
        <f>SUM(Q4:Q9)</f>
        <v>23432</v>
      </c>
      <c r="R10" s="123">
        <f>SUM(R4:R9)</f>
        <v>23432</v>
      </c>
    </row>
    <row r="11" spans="2:18" x14ac:dyDescent="0.2">
      <c r="E11" s="55" t="s">
        <v>3545</v>
      </c>
      <c r="F11" s="123">
        <f>SUM(F3:F10)</f>
        <v>118420</v>
      </c>
      <c r="G11" s="123">
        <f>SUM(G3:G10)</f>
        <v>119620</v>
      </c>
      <c r="H11" s="123">
        <f>SUM(H3:H10)</f>
        <v>120820</v>
      </c>
      <c r="I11" s="123">
        <f>SUM(I3:I10)</f>
        <v>122020</v>
      </c>
      <c r="J11" s="123">
        <f>SUM(J3:J10)</f>
        <v>122020</v>
      </c>
    </row>
    <row r="12" spans="2:18" x14ac:dyDescent="0.2">
      <c r="N12" s="55">
        <v>2018</v>
      </c>
      <c r="O12" s="55">
        <v>2019</v>
      </c>
      <c r="P12" s="55">
        <v>2020</v>
      </c>
      <c r="Q12" s="55">
        <v>2021</v>
      </c>
      <c r="R12" s="55">
        <v>2022</v>
      </c>
    </row>
    <row r="13" spans="2:18" x14ac:dyDescent="0.2">
      <c r="F13">
        <v>2018</v>
      </c>
      <c r="G13">
        <v>2019</v>
      </c>
      <c r="H13">
        <v>2020</v>
      </c>
      <c r="I13">
        <v>2021</v>
      </c>
      <c r="J13">
        <v>2022</v>
      </c>
      <c r="L13" s="402" t="s">
        <v>4344</v>
      </c>
      <c r="M13" s="403"/>
      <c r="N13" s="89">
        <f>+$F$32</f>
        <v>240</v>
      </c>
      <c r="O13" s="89">
        <f t="shared" ref="O13:R13" si="9">+$F$32</f>
        <v>240</v>
      </c>
      <c r="P13" s="89">
        <f t="shared" si="9"/>
        <v>240</v>
      </c>
      <c r="Q13" s="89">
        <f t="shared" si="9"/>
        <v>240</v>
      </c>
      <c r="R13" s="89">
        <f t="shared" si="9"/>
        <v>240</v>
      </c>
    </row>
    <row r="14" spans="2:18" x14ac:dyDescent="0.2">
      <c r="E14" t="s">
        <v>4208</v>
      </c>
      <c r="F14">
        <v>18</v>
      </c>
      <c r="G14">
        <v>19</v>
      </c>
      <c r="H14">
        <v>20</v>
      </c>
      <c r="I14">
        <v>21</v>
      </c>
      <c r="J14">
        <v>21</v>
      </c>
      <c r="L14" s="402" t="s">
        <v>4345</v>
      </c>
      <c r="M14" s="403"/>
      <c r="N14" s="89">
        <f>+$F$33*F14</f>
        <v>4320</v>
      </c>
      <c r="O14" s="89">
        <f>+$F$33*G14</f>
        <v>4560</v>
      </c>
      <c r="P14" s="89">
        <f>+$F$33*H14</f>
        <v>4800</v>
      </c>
      <c r="Q14" s="89">
        <f>+$F$33*I14</f>
        <v>5040</v>
      </c>
      <c r="R14" s="89">
        <f>+$F$33*J14</f>
        <v>5040</v>
      </c>
    </row>
    <row r="15" spans="2:18" x14ac:dyDescent="0.2">
      <c r="L15" s="402" t="s">
        <v>4346</v>
      </c>
      <c r="M15" s="403"/>
      <c r="N15" s="89">
        <f>+F34*2</f>
        <v>880</v>
      </c>
      <c r="O15" s="89">
        <f>+N15</f>
        <v>880</v>
      </c>
      <c r="P15" s="89">
        <f t="shared" ref="P15:R15" si="10">+O15</f>
        <v>880</v>
      </c>
      <c r="Q15" s="89">
        <f t="shared" si="10"/>
        <v>880</v>
      </c>
      <c r="R15" s="89">
        <f t="shared" si="10"/>
        <v>880</v>
      </c>
    </row>
    <row r="16" spans="2:18" x14ac:dyDescent="0.2">
      <c r="L16" s="298" t="s">
        <v>3545</v>
      </c>
      <c r="M16" s="299"/>
      <c r="N16" s="123">
        <f>SUM(N13:N15)</f>
        <v>5440</v>
      </c>
      <c r="O16" s="123">
        <f t="shared" ref="O16:R16" si="11">SUM(O13:O15)</f>
        <v>5680</v>
      </c>
      <c r="P16" s="123">
        <f t="shared" si="11"/>
        <v>5920</v>
      </c>
      <c r="Q16" s="123">
        <f t="shared" si="11"/>
        <v>6160</v>
      </c>
      <c r="R16" s="123">
        <f t="shared" si="11"/>
        <v>6160</v>
      </c>
    </row>
    <row r="20" spans="5:10" x14ac:dyDescent="0.2">
      <c r="E20" s="55" t="s">
        <v>3882</v>
      </c>
      <c r="F20" s="4">
        <f>+'Requerimientos de personal'!C22</f>
        <v>19</v>
      </c>
      <c r="G20" s="4">
        <f>+'Requerimientos de personal'!D22</f>
        <v>20</v>
      </c>
      <c r="H20" s="4">
        <f>+'Requerimientos de personal'!E22</f>
        <v>21</v>
      </c>
      <c r="I20" s="4">
        <f>+'Requerimientos de personal'!F22</f>
        <v>22</v>
      </c>
      <c r="J20" s="4">
        <f>+'Requerimientos de personal'!G22</f>
        <v>22</v>
      </c>
    </row>
    <row r="21" spans="5:10" x14ac:dyDescent="0.2">
      <c r="E21" s="55" t="s">
        <v>3952</v>
      </c>
      <c r="F21" s="4">
        <f>+'Requerimientos de personal'!C23</f>
        <v>2</v>
      </c>
      <c r="G21" s="4">
        <f>+'Requerimientos de personal'!D23</f>
        <v>2</v>
      </c>
      <c r="H21" s="4">
        <f>+'Requerimientos de personal'!E23</f>
        <v>2</v>
      </c>
      <c r="I21" s="4">
        <f>+'Requerimientos de personal'!F23</f>
        <v>2</v>
      </c>
      <c r="J21" s="4">
        <f>+'Requerimientos de personal'!G23</f>
        <v>2</v>
      </c>
    </row>
    <row r="22" spans="5:10" x14ac:dyDescent="0.2">
      <c r="E22" s="55" t="s">
        <v>3953</v>
      </c>
      <c r="F22" s="4">
        <f>+'Requerimientos de personal'!C24</f>
        <v>5</v>
      </c>
      <c r="G22" s="4">
        <f>+'Requerimientos de personal'!D24</f>
        <v>5</v>
      </c>
      <c r="H22" s="4">
        <f>+'Requerimientos de personal'!E24</f>
        <v>5</v>
      </c>
      <c r="I22" s="4">
        <f>+'Requerimientos de personal'!F24</f>
        <v>5</v>
      </c>
      <c r="J22" s="4">
        <f>+'Requerimientos de personal'!G24</f>
        <v>5</v>
      </c>
    </row>
    <row r="23" spans="5:10" x14ac:dyDescent="0.2">
      <c r="E23" s="55" t="s">
        <v>3545</v>
      </c>
      <c r="F23" s="4">
        <f>+F22+F21+F20</f>
        <v>26</v>
      </c>
      <c r="G23" s="4">
        <f t="shared" ref="G23:J23" si="12">+G22+G21+G20</f>
        <v>27</v>
      </c>
      <c r="H23" s="4">
        <f t="shared" si="12"/>
        <v>28</v>
      </c>
      <c r="I23" s="4">
        <f t="shared" si="12"/>
        <v>29</v>
      </c>
      <c r="J23" s="4">
        <f t="shared" si="12"/>
        <v>29</v>
      </c>
    </row>
    <row r="25" spans="5:10" x14ac:dyDescent="0.2">
      <c r="E25" s="55" t="s">
        <v>4334</v>
      </c>
      <c r="F25" s="4">
        <v>19</v>
      </c>
    </row>
    <row r="26" spans="5:10" x14ac:dyDescent="0.2">
      <c r="E26" s="55" t="s">
        <v>4333</v>
      </c>
      <c r="F26" s="4">
        <v>29</v>
      </c>
    </row>
    <row r="27" spans="5:10" x14ac:dyDescent="0.2">
      <c r="E27" s="55" t="s">
        <v>4335</v>
      </c>
      <c r="F27" s="4">
        <v>35</v>
      </c>
    </row>
    <row r="28" spans="5:10" x14ac:dyDescent="0.2">
      <c r="E28" s="55" t="s">
        <v>4336</v>
      </c>
      <c r="F28" s="4">
        <v>25</v>
      </c>
    </row>
    <row r="29" spans="5:10" x14ac:dyDescent="0.2">
      <c r="E29" s="55" t="s">
        <v>4342</v>
      </c>
      <c r="F29" s="4"/>
    </row>
    <row r="30" spans="5:10" x14ac:dyDescent="0.2">
      <c r="E30" s="55" t="s">
        <v>4338</v>
      </c>
      <c r="F30" s="4">
        <v>80</v>
      </c>
    </row>
    <row r="32" spans="5:10" x14ac:dyDescent="0.2">
      <c r="E32" s="176" t="s">
        <v>4344</v>
      </c>
      <c r="F32" s="4">
        <f>2*120</f>
        <v>240</v>
      </c>
    </row>
    <row r="33" spans="5:6" x14ac:dyDescent="0.2">
      <c r="E33" s="176" t="s">
        <v>4345</v>
      </c>
      <c r="F33" s="4">
        <f>2*120</f>
        <v>240</v>
      </c>
    </row>
    <row r="34" spans="5:6" x14ac:dyDescent="0.2">
      <c r="E34" s="176" t="s">
        <v>4346</v>
      </c>
      <c r="F34" s="4">
        <f>2*220</f>
        <v>440</v>
      </c>
    </row>
  </sheetData>
  <mergeCells count="11">
    <mergeCell ref="L10:M10"/>
    <mergeCell ref="L14:M14"/>
    <mergeCell ref="L13:M13"/>
    <mergeCell ref="L15:M15"/>
    <mergeCell ref="L16:M16"/>
    <mergeCell ref="R2:R3"/>
    <mergeCell ref="M2:M3"/>
    <mergeCell ref="N2:N3"/>
    <mergeCell ref="O2:O3"/>
    <mergeCell ref="P2:P3"/>
    <mergeCell ref="Q2:Q3"/>
  </mergeCells>
  <pageMargins left="0.7" right="0.7" top="0.75" bottom="0.75" header="0.3" footer="0.3"/>
  <ignoredErrors>
    <ignoredError sqref="F7 G7:J7" formula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09"/>
  <sheetViews>
    <sheetView showGridLines="0" zoomScalePageLayoutView="90" workbookViewId="0">
      <selection activeCell="C5" sqref="C5:G5"/>
    </sheetView>
  </sheetViews>
  <sheetFormatPr baseColWidth="10" defaultRowHeight="16" x14ac:dyDescent="0.2"/>
  <cols>
    <col min="2" max="2" width="21.6640625" bestFit="1" customWidth="1"/>
    <col min="3" max="7" width="15" customWidth="1"/>
    <col min="8" max="8" width="12.33203125" bestFit="1" customWidth="1"/>
    <col min="9" max="9" width="11.33203125" bestFit="1" customWidth="1"/>
    <col min="10" max="10" width="12.33203125" bestFit="1" customWidth="1"/>
    <col min="12" max="12" width="9.83203125" bestFit="1" customWidth="1"/>
    <col min="13" max="15" width="12.5" bestFit="1" customWidth="1"/>
    <col min="16" max="16" width="13.5" bestFit="1" customWidth="1"/>
    <col min="17" max="17" width="13" bestFit="1" customWidth="1"/>
    <col min="18" max="18" width="4.83203125" bestFit="1" customWidth="1"/>
    <col min="19" max="19" width="15.5" bestFit="1" customWidth="1"/>
    <col min="21" max="21" width="15.33203125" bestFit="1" customWidth="1"/>
  </cols>
  <sheetData>
    <row r="2" spans="2:16" x14ac:dyDescent="0.2">
      <c r="B2" s="406" t="s">
        <v>4163</v>
      </c>
      <c r="C2" s="406"/>
      <c r="D2" s="406"/>
      <c r="E2" s="406"/>
      <c r="F2" s="406"/>
      <c r="G2" s="406"/>
    </row>
    <row r="3" spans="2:16" x14ac:dyDescent="0.2">
      <c r="K3" s="191">
        <v>1.2</v>
      </c>
      <c r="L3">
        <f>+L$7*$K3</f>
        <v>302692.8</v>
      </c>
      <c r="M3">
        <f t="shared" ref="M3:P12" si="0">+M$7*$K3</f>
        <v>320228.39999999997</v>
      </c>
      <c r="N3">
        <f t="shared" si="0"/>
        <v>338751.6</v>
      </c>
      <c r="O3">
        <f t="shared" si="0"/>
        <v>358298.39999999997</v>
      </c>
      <c r="P3">
        <f>+P$7*$K3</f>
        <v>360945.72837540001</v>
      </c>
    </row>
    <row r="4" spans="2:16" x14ac:dyDescent="0.2">
      <c r="C4" s="55">
        <v>2018</v>
      </c>
      <c r="D4" s="55">
        <v>2019</v>
      </c>
      <c r="E4" s="55">
        <v>2020</v>
      </c>
      <c r="F4" s="55">
        <v>2021</v>
      </c>
      <c r="G4" s="55">
        <v>2022</v>
      </c>
      <c r="K4" s="191">
        <v>1.1499999999999999</v>
      </c>
      <c r="L4">
        <f>+L$7*$K4</f>
        <v>290080.59999999998</v>
      </c>
      <c r="M4">
        <f t="shared" si="0"/>
        <v>306885.55</v>
      </c>
      <c r="N4">
        <f t="shared" si="0"/>
        <v>324636.94999999995</v>
      </c>
      <c r="O4">
        <f t="shared" si="0"/>
        <v>343369.3</v>
      </c>
      <c r="P4">
        <f>+P$7*$K4</f>
        <v>345906.32302642503</v>
      </c>
    </row>
    <row r="5" spans="2:16" x14ac:dyDescent="0.2">
      <c r="B5" s="55" t="s">
        <v>4162</v>
      </c>
      <c r="C5" s="2">
        <v>252244</v>
      </c>
      <c r="D5" s="2">
        <v>266857</v>
      </c>
      <c r="E5" s="2">
        <v>282293</v>
      </c>
      <c r="F5" s="2">
        <v>298582</v>
      </c>
      <c r="G5" s="2">
        <v>300788.10697950004</v>
      </c>
      <c r="K5" s="191">
        <v>1.1000000000000001</v>
      </c>
      <c r="L5">
        <f>+L$7*$K5</f>
        <v>277468.40000000002</v>
      </c>
      <c r="M5">
        <f t="shared" si="0"/>
        <v>293542.7</v>
      </c>
      <c r="N5">
        <f t="shared" si="0"/>
        <v>310522.30000000005</v>
      </c>
      <c r="O5">
        <f t="shared" si="0"/>
        <v>328440.2</v>
      </c>
      <c r="P5">
        <f>+P$7*$K5</f>
        <v>330866.91767745005</v>
      </c>
    </row>
    <row r="6" spans="2:16" x14ac:dyDescent="0.2">
      <c r="B6" s="55" t="s">
        <v>4165</v>
      </c>
      <c r="C6" s="89">
        <v>44.5</v>
      </c>
      <c r="D6" s="89">
        <f>+C6</f>
        <v>44.5</v>
      </c>
      <c r="E6" s="89">
        <f t="shared" ref="E6:G6" si="1">+D6</f>
        <v>44.5</v>
      </c>
      <c r="F6" s="89">
        <f t="shared" si="1"/>
        <v>44.5</v>
      </c>
      <c r="G6" s="89">
        <f t="shared" si="1"/>
        <v>44.5</v>
      </c>
      <c r="K6" s="191">
        <v>1.05</v>
      </c>
      <c r="L6">
        <f>+L$7*$K6</f>
        <v>264856.2</v>
      </c>
      <c r="M6">
        <f t="shared" si="0"/>
        <v>280199.85000000003</v>
      </c>
      <c r="N6">
        <f t="shared" si="0"/>
        <v>296407.65000000002</v>
      </c>
      <c r="O6">
        <f t="shared" si="0"/>
        <v>313511.10000000003</v>
      </c>
      <c r="P6">
        <f>+P$7*$K6</f>
        <v>315827.51232847507</v>
      </c>
    </row>
    <row r="7" spans="2:16" x14ac:dyDescent="0.2">
      <c r="B7" s="55" t="s">
        <v>4070</v>
      </c>
      <c r="C7" s="153">
        <f>+C6*C5</f>
        <v>11224858</v>
      </c>
      <c r="D7" s="153">
        <f t="shared" ref="D7:G7" si="2">+D6*D5</f>
        <v>11875136.5</v>
      </c>
      <c r="E7" s="153">
        <f t="shared" si="2"/>
        <v>12562038.5</v>
      </c>
      <c r="F7" s="153">
        <f t="shared" si="2"/>
        <v>13286899</v>
      </c>
      <c r="G7" s="153">
        <f t="shared" si="2"/>
        <v>13385070.760587752</v>
      </c>
      <c r="K7" s="191">
        <v>1</v>
      </c>
      <c r="L7" s="2">
        <v>252244</v>
      </c>
      <c r="M7" s="2">
        <v>266857</v>
      </c>
      <c r="N7" s="2">
        <v>282293</v>
      </c>
      <c r="O7" s="2">
        <v>298582</v>
      </c>
      <c r="P7" s="2">
        <v>300788.10697950004</v>
      </c>
    </row>
    <row r="8" spans="2:16" x14ac:dyDescent="0.2">
      <c r="K8" s="191">
        <v>0.95</v>
      </c>
      <c r="L8">
        <f>+L$7*$K8</f>
        <v>239631.8</v>
      </c>
      <c r="M8">
        <f t="shared" si="0"/>
        <v>253514.15</v>
      </c>
      <c r="N8">
        <f t="shared" si="0"/>
        <v>268178.34999999998</v>
      </c>
      <c r="O8">
        <f t="shared" si="0"/>
        <v>283652.89999999997</v>
      </c>
      <c r="P8">
        <f>+P$7*$K8</f>
        <v>285748.701630525</v>
      </c>
    </row>
    <row r="9" spans="2:16" x14ac:dyDescent="0.2">
      <c r="K9" s="191">
        <v>0.9</v>
      </c>
      <c r="L9">
        <f t="shared" ref="L9:L11" si="3">+L$7*$K9</f>
        <v>227019.6</v>
      </c>
      <c r="M9">
        <f t="shared" si="0"/>
        <v>240171.30000000002</v>
      </c>
      <c r="N9">
        <f t="shared" si="0"/>
        <v>254063.7</v>
      </c>
      <c r="O9">
        <f t="shared" si="0"/>
        <v>268723.8</v>
      </c>
      <c r="P9">
        <f t="shared" si="0"/>
        <v>270709.29628155002</v>
      </c>
    </row>
    <row r="10" spans="2:16" x14ac:dyDescent="0.2">
      <c r="B10" s="406" t="s">
        <v>4164</v>
      </c>
      <c r="C10" s="406"/>
      <c r="D10" s="406"/>
      <c r="E10" s="406"/>
      <c r="F10" s="406"/>
      <c r="G10" s="406"/>
      <c r="K10" s="191">
        <v>0.85</v>
      </c>
      <c r="L10">
        <f t="shared" si="3"/>
        <v>214407.4</v>
      </c>
      <c r="M10">
        <f t="shared" si="0"/>
        <v>226828.44999999998</v>
      </c>
      <c r="N10">
        <f t="shared" si="0"/>
        <v>239949.05</v>
      </c>
      <c r="O10">
        <f t="shared" si="0"/>
        <v>253794.69999999998</v>
      </c>
      <c r="P10">
        <f t="shared" si="0"/>
        <v>255669.89093257501</v>
      </c>
    </row>
    <row r="11" spans="2:16" x14ac:dyDescent="0.2">
      <c r="K11" s="191">
        <v>0.8</v>
      </c>
      <c r="L11">
        <f t="shared" si="3"/>
        <v>201795.20000000001</v>
      </c>
      <c r="M11">
        <f t="shared" si="0"/>
        <v>213485.6</v>
      </c>
      <c r="N11">
        <f t="shared" si="0"/>
        <v>225834.40000000002</v>
      </c>
      <c r="O11">
        <f t="shared" si="0"/>
        <v>238865.6</v>
      </c>
      <c r="P11">
        <f>+P$7*$K11</f>
        <v>240630.48558360004</v>
      </c>
    </row>
    <row r="12" spans="2:16" x14ac:dyDescent="0.2">
      <c r="B12" s="405" t="s">
        <v>4186</v>
      </c>
      <c r="C12" s="405"/>
      <c r="D12" s="405"/>
      <c r="E12" s="405"/>
      <c r="F12" s="405"/>
      <c r="G12" s="405"/>
      <c r="K12" s="191">
        <v>0.75</v>
      </c>
      <c r="L12">
        <f>+L$7*$K12</f>
        <v>189183</v>
      </c>
      <c r="M12">
        <f t="shared" si="0"/>
        <v>200142.75</v>
      </c>
      <c r="N12">
        <f t="shared" si="0"/>
        <v>211719.75</v>
      </c>
      <c r="O12">
        <f t="shared" si="0"/>
        <v>223936.5</v>
      </c>
      <c r="P12">
        <f>+P$7*$K12</f>
        <v>225591.08023462503</v>
      </c>
    </row>
    <row r="14" spans="2:16" x14ac:dyDescent="0.2">
      <c r="C14" s="55">
        <v>2018</v>
      </c>
      <c r="D14" s="55">
        <v>2019</v>
      </c>
      <c r="E14" s="55">
        <v>2020</v>
      </c>
      <c r="F14" s="55">
        <v>2021</v>
      </c>
      <c r="G14" s="55">
        <v>2022</v>
      </c>
    </row>
    <row r="15" spans="2:16" x14ac:dyDescent="0.2">
      <c r="B15" s="132" t="s">
        <v>3545</v>
      </c>
      <c r="C15" s="123">
        <f>+'Requerimientos de personal'!H46</f>
        <v>291586.66666666669</v>
      </c>
      <c r="D15" s="123">
        <f>+'Requerimientos de personal'!I46</f>
        <v>306933.33333333337</v>
      </c>
      <c r="E15" s="123">
        <f>+'Requerimientos de personal'!J46</f>
        <v>322280</v>
      </c>
      <c r="F15" s="123">
        <f>+'Requerimientos de personal'!K46</f>
        <v>337626.66666666669</v>
      </c>
      <c r="G15" s="123">
        <f>+'Requerimientos de personal'!L46</f>
        <v>337626.66666666669</v>
      </c>
    </row>
    <row r="17" spans="2:12" x14ac:dyDescent="0.2">
      <c r="B17" s="405" t="s">
        <v>4189</v>
      </c>
      <c r="C17" s="405"/>
      <c r="D17" s="405"/>
      <c r="E17" s="405"/>
      <c r="F17" s="405"/>
      <c r="G17" s="405"/>
    </row>
    <row r="19" spans="2:12" x14ac:dyDescent="0.2">
      <c r="C19" s="55">
        <v>2018</v>
      </c>
      <c r="D19" s="55">
        <v>2019</v>
      </c>
      <c r="E19" s="55">
        <v>2020</v>
      </c>
      <c r="F19" s="55">
        <v>2021</v>
      </c>
      <c r="G19" s="55">
        <v>2022</v>
      </c>
    </row>
    <row r="20" spans="2:12" hidden="1" x14ac:dyDescent="0.2">
      <c r="B20" s="132" t="s">
        <v>4190</v>
      </c>
      <c r="C20" s="89">
        <f>+Insumos!O19</f>
        <v>80514</v>
      </c>
      <c r="D20" s="89">
        <f>+Insumos!P19</f>
        <v>84294</v>
      </c>
      <c r="E20" s="89">
        <f>+Insumos!Q19</f>
        <v>88074</v>
      </c>
      <c r="F20" s="89">
        <f>+Insumos!R19</f>
        <v>91854</v>
      </c>
      <c r="G20" s="89">
        <f>+Insumos!S19</f>
        <v>91854</v>
      </c>
    </row>
    <row r="21" spans="2:12" hidden="1" x14ac:dyDescent="0.2">
      <c r="B21" s="132" t="s">
        <v>4187</v>
      </c>
      <c r="C21" s="89">
        <v>0</v>
      </c>
      <c r="D21" s="89">
        <v>0</v>
      </c>
      <c r="E21" s="89">
        <v>0</v>
      </c>
      <c r="F21" s="89">
        <v>0</v>
      </c>
      <c r="G21" s="89">
        <v>0</v>
      </c>
    </row>
    <row r="22" spans="2:12" x14ac:dyDescent="0.2">
      <c r="B22" s="132" t="s">
        <v>3545</v>
      </c>
      <c r="C22" s="123">
        <f>+Insumos!O19</f>
        <v>80514</v>
      </c>
      <c r="D22" s="123">
        <f>+Insumos!P19</f>
        <v>84294</v>
      </c>
      <c r="E22" s="123">
        <f>+Insumos!Q19</f>
        <v>88074</v>
      </c>
      <c r="F22" s="123">
        <f>+Insumos!R19</f>
        <v>91854</v>
      </c>
      <c r="G22" s="123">
        <f>+Insumos!S19</f>
        <v>91854</v>
      </c>
    </row>
    <row r="24" spans="2:12" x14ac:dyDescent="0.2">
      <c r="B24" s="405" t="s">
        <v>4191</v>
      </c>
      <c r="C24" s="405"/>
      <c r="D24" s="405"/>
      <c r="E24" s="405"/>
      <c r="F24" s="405"/>
      <c r="G24" s="405"/>
    </row>
    <row r="26" spans="2:12" x14ac:dyDescent="0.2">
      <c r="C26" s="55">
        <v>2018</v>
      </c>
      <c r="D26" s="55">
        <v>2019</v>
      </c>
      <c r="E26" s="55">
        <v>2020</v>
      </c>
      <c r="F26" s="55">
        <v>2021</v>
      </c>
      <c r="G26" s="55">
        <v>2022</v>
      </c>
    </row>
    <row r="27" spans="2:12" x14ac:dyDescent="0.2">
      <c r="B27" s="132" t="s">
        <v>4185</v>
      </c>
      <c r="C27" s="89">
        <f>+'Requerimientos de personal'!H47</f>
        <v>113565.33333333334</v>
      </c>
      <c r="D27" s="89">
        <f>+'Requerimientos de personal'!I47</f>
        <v>113565.33333333334</v>
      </c>
      <c r="E27" s="89">
        <f>+'Requerimientos de personal'!J47</f>
        <v>113565.33333333334</v>
      </c>
      <c r="F27" s="89">
        <f>+'Requerimientos de personal'!K47</f>
        <v>113565.33333333334</v>
      </c>
      <c r="G27" s="89">
        <f>+'Requerimientos de personal'!L47</f>
        <v>113565.33333333334</v>
      </c>
    </row>
    <row r="28" spans="2:12" x14ac:dyDescent="0.2">
      <c r="B28" s="132" t="s">
        <v>4194</v>
      </c>
      <c r="C28" s="89">
        <f>L28*12</f>
        <v>600</v>
      </c>
      <c r="D28" s="89">
        <f>+C28</f>
        <v>600</v>
      </c>
      <c r="E28" s="89">
        <f t="shared" ref="E28:G28" si="4">+D28</f>
        <v>600</v>
      </c>
      <c r="F28" s="89">
        <f t="shared" si="4"/>
        <v>600</v>
      </c>
      <c r="G28" s="89">
        <f t="shared" si="4"/>
        <v>600</v>
      </c>
      <c r="L28">
        <v>50</v>
      </c>
    </row>
    <row r="29" spans="2:12" x14ac:dyDescent="0.2">
      <c r="B29" s="132" t="s">
        <v>3818</v>
      </c>
      <c r="C29" s="89">
        <f>L29*12</f>
        <v>1440</v>
      </c>
      <c r="D29" s="89">
        <f>+C29</f>
        <v>1440</v>
      </c>
      <c r="E29" s="89">
        <f t="shared" ref="E29:G29" si="5">+D29</f>
        <v>1440</v>
      </c>
      <c r="F29" s="89">
        <f t="shared" si="5"/>
        <v>1440</v>
      </c>
      <c r="G29" s="89">
        <f t="shared" si="5"/>
        <v>1440</v>
      </c>
      <c r="L29">
        <v>120</v>
      </c>
    </row>
    <row r="30" spans="2:12" x14ac:dyDescent="0.2">
      <c r="B30" s="132" t="s">
        <v>4195</v>
      </c>
      <c r="C30" s="89">
        <f>L30*12</f>
        <v>9000</v>
      </c>
      <c r="D30" s="89">
        <f>+C30</f>
        <v>9000</v>
      </c>
      <c r="E30" s="89">
        <f t="shared" ref="E30:G30" si="6">+D30</f>
        <v>9000</v>
      </c>
      <c r="F30" s="89">
        <f t="shared" si="6"/>
        <v>9000</v>
      </c>
      <c r="G30" s="89">
        <f t="shared" si="6"/>
        <v>9000</v>
      </c>
      <c r="L30">
        <v>750</v>
      </c>
    </row>
    <row r="31" spans="2:12" x14ac:dyDescent="0.2">
      <c r="B31" s="132" t="s">
        <v>3820</v>
      </c>
      <c r="C31" s="89">
        <f>'Tarifa Sedaloreto'!H6*12</f>
        <v>120</v>
      </c>
      <c r="D31" s="89">
        <f>+C31</f>
        <v>120</v>
      </c>
      <c r="E31" s="89">
        <f t="shared" ref="E31:G31" si="7">+D31</f>
        <v>120</v>
      </c>
      <c r="F31" s="89">
        <f t="shared" si="7"/>
        <v>120</v>
      </c>
      <c r="G31" s="89">
        <f t="shared" si="7"/>
        <v>120</v>
      </c>
    </row>
    <row r="32" spans="2:12" x14ac:dyDescent="0.2">
      <c r="B32" s="132" t="s">
        <v>4196</v>
      </c>
      <c r="C32" s="89">
        <f>'Tarifa Sedaloreto'!H7*$I$32*3</f>
        <v>7200</v>
      </c>
      <c r="D32" s="89">
        <f>+C32</f>
        <v>7200</v>
      </c>
      <c r="E32" s="89">
        <f t="shared" ref="E32:G32" si="8">+D32</f>
        <v>7200</v>
      </c>
      <c r="F32" s="89">
        <f t="shared" si="8"/>
        <v>7200</v>
      </c>
      <c r="G32" s="89">
        <f t="shared" si="8"/>
        <v>7200</v>
      </c>
      <c r="I32" s="4">
        <v>12</v>
      </c>
    </row>
    <row r="33" spans="2:15" x14ac:dyDescent="0.2">
      <c r="B33" s="132" t="s">
        <v>4199</v>
      </c>
      <c r="C33" s="89">
        <f>'Tarifa Sedaloreto'!$H$8*'Requerimientos de personal'!C26*$I$32</f>
        <v>8700</v>
      </c>
      <c r="D33" s="89">
        <f>'Tarifa Sedaloreto'!$H$8*'Requerimientos de personal'!D26*$I$32</f>
        <v>9048</v>
      </c>
      <c r="E33" s="89">
        <f>'Tarifa Sedaloreto'!$H$8*'Requerimientos de personal'!E26*$I$32</f>
        <v>9396</v>
      </c>
      <c r="F33" s="89">
        <f>'Tarifa Sedaloreto'!$H$8*'Requerimientos de personal'!F26*$I$32</f>
        <v>9744</v>
      </c>
      <c r="G33" s="89">
        <f>'Tarifa Sedaloreto'!$H$8*'Requerimientos de personal'!G26*$I$32</f>
        <v>9744</v>
      </c>
    </row>
    <row r="34" spans="2:15" x14ac:dyDescent="0.2">
      <c r="B34" s="132" t="s">
        <v>4093</v>
      </c>
      <c r="C34" s="89">
        <f>+Servicios!F11</f>
        <v>118420</v>
      </c>
      <c r="D34" s="89">
        <f>+Servicios!G11</f>
        <v>119620</v>
      </c>
      <c r="E34" s="89">
        <f>+Servicios!H11</f>
        <v>120820</v>
      </c>
      <c r="F34" s="89">
        <f>+Servicios!I11</f>
        <v>122020</v>
      </c>
      <c r="G34" s="89">
        <f>+Servicios!J11</f>
        <v>122020</v>
      </c>
    </row>
    <row r="35" spans="2:15" x14ac:dyDescent="0.2">
      <c r="B35" s="136" t="s">
        <v>4340</v>
      </c>
      <c r="C35" s="89">
        <f>+Servicios!N10</f>
        <v>21008</v>
      </c>
      <c r="D35" s="89">
        <f>+Servicios!O10</f>
        <v>21816</v>
      </c>
      <c r="E35" s="89">
        <f>+Servicios!P10</f>
        <v>22624</v>
      </c>
      <c r="F35" s="89">
        <f>+Servicios!Q10</f>
        <v>23432</v>
      </c>
      <c r="G35" s="89">
        <f>+Servicios!R10</f>
        <v>23432</v>
      </c>
    </row>
    <row r="36" spans="2:15" hidden="1" x14ac:dyDescent="0.2">
      <c r="B36" s="132" t="s">
        <v>4209</v>
      </c>
      <c r="C36" s="89">
        <f>SUM(C27:C35)</f>
        <v>280053.33333333337</v>
      </c>
      <c r="D36" s="89">
        <f t="shared" ref="D36:G36" si="9">SUM(D27:D35)</f>
        <v>282409.33333333337</v>
      </c>
      <c r="E36" s="89">
        <f t="shared" si="9"/>
        <v>284765.33333333337</v>
      </c>
      <c r="F36" s="89">
        <f t="shared" si="9"/>
        <v>287121.33333333337</v>
      </c>
      <c r="G36" s="89">
        <f t="shared" si="9"/>
        <v>287121.33333333337</v>
      </c>
    </row>
    <row r="37" spans="2:15" hidden="1" x14ac:dyDescent="0.2">
      <c r="B37" s="132" t="s">
        <v>4187</v>
      </c>
      <c r="C37" s="89">
        <v>0</v>
      </c>
      <c r="D37" s="89">
        <v>0</v>
      </c>
      <c r="E37" s="89">
        <v>0</v>
      </c>
      <c r="F37" s="89">
        <v>0</v>
      </c>
      <c r="G37" s="89">
        <v>0</v>
      </c>
    </row>
    <row r="38" spans="2:15" x14ac:dyDescent="0.2">
      <c r="B38" s="132" t="s">
        <v>3545</v>
      </c>
      <c r="C38" s="123">
        <f>+C37+C36</f>
        <v>280053.33333333337</v>
      </c>
      <c r="D38" s="123">
        <f>+D37+D36</f>
        <v>282409.33333333337</v>
      </c>
      <c r="E38" s="123">
        <f>+E37+E36</f>
        <v>284765.33333333337</v>
      </c>
      <c r="F38" s="123">
        <f>+F37+F36</f>
        <v>287121.33333333337</v>
      </c>
      <c r="G38" s="123">
        <f>+G37+G36</f>
        <v>287121.33333333337</v>
      </c>
      <c r="N38" s="191">
        <v>1.05</v>
      </c>
      <c r="O38" s="118">
        <v>32.024999999999999</v>
      </c>
    </row>
    <row r="39" spans="2:15" x14ac:dyDescent="0.2">
      <c r="N39" s="191">
        <v>1.04</v>
      </c>
      <c r="O39" s="118">
        <v>31.720000000000002</v>
      </c>
    </row>
    <row r="40" spans="2:15" x14ac:dyDescent="0.2">
      <c r="B40" s="405" t="s">
        <v>4214</v>
      </c>
      <c r="C40" s="405"/>
      <c r="D40" s="405"/>
      <c r="E40" s="405"/>
      <c r="F40" s="405"/>
      <c r="G40" s="405"/>
      <c r="N40" s="191">
        <v>1.03</v>
      </c>
      <c r="O40" s="118">
        <v>31.414999999999999</v>
      </c>
    </row>
    <row r="41" spans="2:15" x14ac:dyDescent="0.2">
      <c r="N41" s="191">
        <v>1.02</v>
      </c>
      <c r="O41" s="118">
        <v>31.11</v>
      </c>
    </row>
    <row r="42" spans="2:15" x14ac:dyDescent="0.2">
      <c r="C42" s="55">
        <v>2018</v>
      </c>
      <c r="D42" s="55">
        <v>2019</v>
      </c>
      <c r="E42" s="55">
        <v>2020</v>
      </c>
      <c r="F42" s="55">
        <v>2021</v>
      </c>
      <c r="G42" s="55">
        <v>2022</v>
      </c>
      <c r="L42" t="s">
        <v>4211</v>
      </c>
      <c r="M42" t="s">
        <v>4212</v>
      </c>
      <c r="N42" s="191">
        <v>1.01</v>
      </c>
      <c r="O42" s="118">
        <v>30.805</v>
      </c>
    </row>
    <row r="43" spans="2:15" x14ac:dyDescent="0.2">
      <c r="B43" s="55" t="s">
        <v>4162</v>
      </c>
      <c r="C43" s="2">
        <f>+C5</f>
        <v>252244</v>
      </c>
      <c r="D43" s="2">
        <f t="shared" ref="D43:F43" si="10">+D5</f>
        <v>266857</v>
      </c>
      <c r="E43" s="2">
        <f t="shared" si="10"/>
        <v>282293</v>
      </c>
      <c r="F43" s="2">
        <f t="shared" si="10"/>
        <v>298582</v>
      </c>
      <c r="G43" s="2">
        <f>+G5</f>
        <v>300788.10697950004</v>
      </c>
      <c r="I43" s="118"/>
      <c r="L43" s="118">
        <f>+O43</f>
        <v>30.5</v>
      </c>
      <c r="M43">
        <f>+'Capital de trabajo'!K3</f>
        <v>7.6</v>
      </c>
      <c r="N43" s="191">
        <v>1</v>
      </c>
      <c r="O43" s="118">
        <v>30.5</v>
      </c>
    </row>
    <row r="44" spans="2:15" x14ac:dyDescent="0.2">
      <c r="B44" s="55" t="s">
        <v>4005</v>
      </c>
      <c r="C44" s="89">
        <f>+L43</f>
        <v>30.5</v>
      </c>
      <c r="D44" s="89">
        <f>+C44</f>
        <v>30.5</v>
      </c>
      <c r="E44" s="89">
        <f t="shared" ref="E44:G44" si="11">+D44</f>
        <v>30.5</v>
      </c>
      <c r="F44" s="89">
        <f t="shared" si="11"/>
        <v>30.5</v>
      </c>
      <c r="G44" s="89">
        <f t="shared" si="11"/>
        <v>30.5</v>
      </c>
      <c r="N44" s="191">
        <v>0.99</v>
      </c>
      <c r="O44" s="118">
        <v>30.195</v>
      </c>
    </row>
    <row r="45" spans="2:15" x14ac:dyDescent="0.2">
      <c r="B45" s="55" t="s">
        <v>4213</v>
      </c>
      <c r="C45" s="89">
        <f>+M43</f>
        <v>7.6</v>
      </c>
      <c r="D45" s="89">
        <f>+C45</f>
        <v>7.6</v>
      </c>
      <c r="E45" s="89">
        <f t="shared" ref="E45:G45" si="12">+D45</f>
        <v>7.6</v>
      </c>
      <c r="F45" s="89">
        <f t="shared" si="12"/>
        <v>7.6</v>
      </c>
      <c r="G45" s="89">
        <f t="shared" si="12"/>
        <v>7.6</v>
      </c>
      <c r="N45" s="191">
        <v>0.98</v>
      </c>
      <c r="O45" s="118">
        <v>29.89</v>
      </c>
    </row>
    <row r="46" spans="2:15" hidden="1" x14ac:dyDescent="0.2">
      <c r="B46" s="55" t="s">
        <v>4209</v>
      </c>
      <c r="C46" s="89">
        <f>+C43*(C44+C45)</f>
        <v>9610496.4000000004</v>
      </c>
      <c r="D46" s="89">
        <f t="shared" ref="D46:G46" si="13">+D43*(D44+D45)</f>
        <v>10167251.700000001</v>
      </c>
      <c r="E46" s="89">
        <f t="shared" si="13"/>
        <v>10755363.300000001</v>
      </c>
      <c r="F46" s="89">
        <f t="shared" si="13"/>
        <v>11375974.200000001</v>
      </c>
      <c r="G46" s="89">
        <f t="shared" si="13"/>
        <v>11460026.875918953</v>
      </c>
      <c r="N46" s="191">
        <v>0.97</v>
      </c>
      <c r="O46" s="118">
        <v>29.585000000000001</v>
      </c>
    </row>
    <row r="47" spans="2:15" hidden="1" x14ac:dyDescent="0.2">
      <c r="B47" s="55" t="s">
        <v>4187</v>
      </c>
      <c r="C47" s="89">
        <f>+C43*C44*0</f>
        <v>0</v>
      </c>
      <c r="D47" s="89">
        <f>+D43*D44*0</f>
        <v>0</v>
      </c>
      <c r="E47" s="89">
        <f t="shared" ref="E47:G47" si="14">+E43*E44*0</f>
        <v>0</v>
      </c>
      <c r="F47" s="89">
        <f t="shared" si="14"/>
        <v>0</v>
      </c>
      <c r="G47" s="89">
        <f t="shared" si="14"/>
        <v>0</v>
      </c>
      <c r="N47" s="191">
        <v>0.96</v>
      </c>
      <c r="O47" s="118">
        <v>29.279999999999998</v>
      </c>
    </row>
    <row r="48" spans="2:15" x14ac:dyDescent="0.2">
      <c r="B48" s="55" t="s">
        <v>3545</v>
      </c>
      <c r="C48" s="123">
        <f>+C43*(C44+C45)</f>
        <v>9610496.4000000004</v>
      </c>
      <c r="D48" s="123">
        <f t="shared" ref="D48:G48" si="15">+D43*(D44+D45)</f>
        <v>10167251.700000001</v>
      </c>
      <c r="E48" s="123">
        <f t="shared" si="15"/>
        <v>10755363.300000001</v>
      </c>
      <c r="F48" s="123">
        <f t="shared" si="15"/>
        <v>11375974.200000001</v>
      </c>
      <c r="G48" s="123">
        <f t="shared" si="15"/>
        <v>11460026.875918953</v>
      </c>
      <c r="N48" s="191">
        <v>0.97</v>
      </c>
      <c r="O48" s="118">
        <v>29.585000000000001</v>
      </c>
    </row>
    <row r="49" spans="2:15" x14ac:dyDescent="0.2">
      <c r="N49" s="191">
        <v>0.96</v>
      </c>
      <c r="O49" s="118">
        <v>29.279999999999998</v>
      </c>
    </row>
    <row r="50" spans="2:15" x14ac:dyDescent="0.2">
      <c r="B50" s="404" t="s">
        <v>4237</v>
      </c>
      <c r="C50" s="404"/>
      <c r="D50" s="404"/>
      <c r="E50" s="404"/>
      <c r="F50" s="404"/>
      <c r="G50" s="404"/>
      <c r="N50" s="191">
        <v>0.95</v>
      </c>
      <c r="O50" s="118">
        <v>28.974999999999998</v>
      </c>
    </row>
    <row r="52" spans="2:15" x14ac:dyDescent="0.2">
      <c r="C52" s="55">
        <v>2018</v>
      </c>
      <c r="D52" s="55">
        <v>2019</v>
      </c>
      <c r="E52" s="55">
        <v>2020</v>
      </c>
      <c r="F52" s="55">
        <v>2021</v>
      </c>
      <c r="G52" s="55">
        <v>2022</v>
      </c>
    </row>
    <row r="53" spans="2:15" x14ac:dyDescent="0.2">
      <c r="B53" s="55" t="s">
        <v>4184</v>
      </c>
      <c r="C53" s="89">
        <f>+C15</f>
        <v>291586.66666666669</v>
      </c>
      <c r="D53" s="89">
        <f t="shared" ref="D53:G53" si="16">+D15</f>
        <v>306933.33333333337</v>
      </c>
      <c r="E53" s="89">
        <f t="shared" si="16"/>
        <v>322280</v>
      </c>
      <c r="F53" s="89">
        <f t="shared" si="16"/>
        <v>337626.66666666669</v>
      </c>
      <c r="G53" s="89">
        <f t="shared" si="16"/>
        <v>337626.66666666669</v>
      </c>
    </row>
    <row r="54" spans="2:15" x14ac:dyDescent="0.2">
      <c r="B54" s="55" t="s">
        <v>4217</v>
      </c>
      <c r="C54" s="89">
        <f>+C20</f>
        <v>80514</v>
      </c>
      <c r="D54" s="89">
        <f>+D20</f>
        <v>84294</v>
      </c>
      <c r="E54" s="89">
        <f>+E20</f>
        <v>88074</v>
      </c>
      <c r="F54" s="89">
        <f>+F20</f>
        <v>91854</v>
      </c>
      <c r="G54" s="89">
        <f>+G20</f>
        <v>91854</v>
      </c>
    </row>
    <row r="55" spans="2:15" x14ac:dyDescent="0.2">
      <c r="B55" s="55" t="s">
        <v>4218</v>
      </c>
      <c r="C55" s="89">
        <f>+C36</f>
        <v>280053.33333333337</v>
      </c>
      <c r="D55" s="89">
        <f>+D36</f>
        <v>282409.33333333337</v>
      </c>
      <c r="E55" s="89">
        <f>+E36</f>
        <v>284765.33333333337</v>
      </c>
      <c r="F55" s="89">
        <f>+F36</f>
        <v>287121.33333333337</v>
      </c>
      <c r="G55" s="89">
        <f>+G36</f>
        <v>287121.33333333337</v>
      </c>
    </row>
    <row r="56" spans="2:15" x14ac:dyDescent="0.2">
      <c r="B56" s="55" t="s">
        <v>4219</v>
      </c>
      <c r="C56" s="89">
        <f>+C46</f>
        <v>9610496.4000000004</v>
      </c>
      <c r="D56" s="89">
        <f t="shared" ref="D56:G56" si="17">+D46</f>
        <v>10167251.700000001</v>
      </c>
      <c r="E56" s="89">
        <f t="shared" si="17"/>
        <v>10755363.300000001</v>
      </c>
      <c r="F56" s="89">
        <f t="shared" si="17"/>
        <v>11375974.200000001</v>
      </c>
      <c r="G56" s="89">
        <f t="shared" si="17"/>
        <v>11460026.875918953</v>
      </c>
    </row>
    <row r="57" spans="2:15" x14ac:dyDescent="0.2">
      <c r="B57" s="55" t="s">
        <v>4232</v>
      </c>
      <c r="C57" s="89">
        <f>+C89+C90</f>
        <v>95996.178500000009</v>
      </c>
      <c r="D57" s="89">
        <f>+D89+D90</f>
        <v>97296.178500000009</v>
      </c>
      <c r="E57" s="89">
        <f>+E89+E90</f>
        <v>98596.178500000009</v>
      </c>
      <c r="F57" s="89">
        <f>+F89+F90</f>
        <v>99896.178500000009</v>
      </c>
      <c r="G57" s="89">
        <f>+G89+G90</f>
        <v>99896.178500000009</v>
      </c>
    </row>
    <row r="58" spans="2:15" hidden="1" x14ac:dyDescent="0.2">
      <c r="B58" s="55" t="s">
        <v>4226</v>
      </c>
      <c r="C58" s="89">
        <f>SUM(C53:C57)</f>
        <v>10358646.578500001</v>
      </c>
      <c r="D58" s="89">
        <f t="shared" ref="D58:G58" si="18">SUM(D53:D57)</f>
        <v>10938184.545166668</v>
      </c>
      <c r="E58" s="89">
        <f t="shared" si="18"/>
        <v>11549078.811833335</v>
      </c>
      <c r="F58" s="89">
        <f t="shared" si="18"/>
        <v>12192472.378500002</v>
      </c>
      <c r="G58" s="89">
        <f t="shared" si="18"/>
        <v>12276525.054418953</v>
      </c>
    </row>
    <row r="59" spans="2:15" hidden="1" x14ac:dyDescent="0.2">
      <c r="B59" s="55" t="s">
        <v>4187</v>
      </c>
      <c r="C59" s="89">
        <f>+C21+C37+C47</f>
        <v>0</v>
      </c>
      <c r="D59" s="89">
        <f>+D21+D37+D47</f>
        <v>0</v>
      </c>
      <c r="E59" s="89">
        <f>+E21+E37+E47</f>
        <v>0</v>
      </c>
      <c r="F59" s="89">
        <f>+F21+F37+F47</f>
        <v>0</v>
      </c>
      <c r="G59" s="89">
        <f>+G21+G37+G47</f>
        <v>0</v>
      </c>
    </row>
    <row r="60" spans="2:15" x14ac:dyDescent="0.2">
      <c r="B60" s="55" t="s">
        <v>3545</v>
      </c>
      <c r="C60" s="123">
        <f>+C58+C59</f>
        <v>10358646.578500001</v>
      </c>
      <c r="D60" s="123">
        <f>+D58+D59</f>
        <v>10938184.545166668</v>
      </c>
      <c r="E60" s="123">
        <f>+E58+E59</f>
        <v>11549078.811833335</v>
      </c>
      <c r="F60" s="123">
        <f>+F58+F59</f>
        <v>12192472.378500002</v>
      </c>
      <c r="G60" s="123">
        <f>+G58+G59</f>
        <v>12276525.054418953</v>
      </c>
    </row>
    <row r="62" spans="2:15" x14ac:dyDescent="0.2">
      <c r="B62" s="404" t="s">
        <v>4244</v>
      </c>
      <c r="C62" s="404"/>
      <c r="D62" s="404"/>
      <c r="E62" s="404"/>
      <c r="F62" s="404"/>
      <c r="G62" s="404"/>
    </row>
    <row r="64" spans="2:15" x14ac:dyDescent="0.2">
      <c r="C64" s="55">
        <v>2018</v>
      </c>
      <c r="D64" s="55">
        <v>2019</v>
      </c>
      <c r="E64" s="55">
        <v>2020</v>
      </c>
      <c r="F64" s="55">
        <v>2021</v>
      </c>
      <c r="G64" s="55">
        <v>2022</v>
      </c>
    </row>
    <row r="65" spans="2:12" x14ac:dyDescent="0.2">
      <c r="B65" s="132" t="s">
        <v>4245</v>
      </c>
      <c r="C65" s="89">
        <f>+'Requerimientos de personal'!H45</f>
        <v>245546.66666666669</v>
      </c>
      <c r="D65" s="89">
        <f>+'Requerimientos de personal'!I45</f>
        <v>245546.66666666669</v>
      </c>
      <c r="E65" s="89">
        <f>+'Requerimientos de personal'!J45</f>
        <v>245546.66666666669</v>
      </c>
      <c r="F65" s="89">
        <f>+'Requerimientos de personal'!K45</f>
        <v>245546.66666666669</v>
      </c>
      <c r="G65" s="89">
        <f>+'Requerimientos de personal'!L45</f>
        <v>245546.66666666669</v>
      </c>
    </row>
    <row r="66" spans="2:12" x14ac:dyDescent="0.2">
      <c r="B66" s="132" t="s">
        <v>4192</v>
      </c>
      <c r="C66" s="89">
        <f>+'Capital de trabajo'!O23</f>
        <v>30576</v>
      </c>
      <c r="D66" s="89">
        <f>2500*12</f>
        <v>30000</v>
      </c>
      <c r="E66" s="89">
        <f t="shared" ref="E66:G66" si="19">2500*12</f>
        <v>30000</v>
      </c>
      <c r="F66" s="89">
        <f t="shared" si="19"/>
        <v>30000</v>
      </c>
      <c r="G66" s="89">
        <f t="shared" si="19"/>
        <v>30000</v>
      </c>
    </row>
    <row r="67" spans="2:12" x14ac:dyDescent="0.2">
      <c r="B67" s="132" t="s">
        <v>4193</v>
      </c>
      <c r="C67" s="89">
        <f>L67*12</f>
        <v>1200</v>
      </c>
      <c r="D67" s="89">
        <f>+C67</f>
        <v>1200</v>
      </c>
      <c r="E67" s="89">
        <f t="shared" ref="E67:G67" si="20">+D67</f>
        <v>1200</v>
      </c>
      <c r="F67" s="89">
        <f t="shared" si="20"/>
        <v>1200</v>
      </c>
      <c r="G67" s="89">
        <f t="shared" si="20"/>
        <v>1200</v>
      </c>
      <c r="L67">
        <v>100</v>
      </c>
    </row>
    <row r="68" spans="2:12" x14ac:dyDescent="0.2">
      <c r="B68" s="136" t="s">
        <v>4343</v>
      </c>
      <c r="C68" s="89">
        <f>+Servicios!N16</f>
        <v>5440</v>
      </c>
      <c r="D68" s="89">
        <f>+Servicios!O16</f>
        <v>5680</v>
      </c>
      <c r="E68" s="89">
        <f>+Servicios!P16</f>
        <v>5920</v>
      </c>
      <c r="F68" s="89">
        <f>+Servicios!Q16</f>
        <v>6160</v>
      </c>
      <c r="G68" s="89">
        <f>+Servicios!R16</f>
        <v>6160</v>
      </c>
    </row>
    <row r="69" spans="2:12" x14ac:dyDescent="0.2">
      <c r="B69" s="55" t="s">
        <v>4232</v>
      </c>
      <c r="C69" s="89">
        <f>+C91+C92</f>
        <v>2311.9499999999998</v>
      </c>
      <c r="D69" s="89">
        <f t="shared" ref="D69:G69" si="21">+D91+D92</f>
        <v>2311.9499999999998</v>
      </c>
      <c r="E69" s="89">
        <f t="shared" si="21"/>
        <v>2311.9499999999998</v>
      </c>
      <c r="F69" s="89">
        <f t="shared" si="21"/>
        <v>2311.9499999999998</v>
      </c>
      <c r="G69" s="89">
        <f t="shared" si="21"/>
        <v>291.8</v>
      </c>
    </row>
    <row r="70" spans="2:12" ht="16" hidden="1" customHeight="1" x14ac:dyDescent="0.2">
      <c r="B70" s="132" t="s">
        <v>4246</v>
      </c>
      <c r="C70" s="89">
        <f>SUM(C65:C69)</f>
        <v>285074.6166666667</v>
      </c>
      <c r="D70" s="89">
        <f t="shared" ref="D70:G70" si="22">SUM(D65:D69)</f>
        <v>284738.6166666667</v>
      </c>
      <c r="E70" s="89">
        <f t="shared" si="22"/>
        <v>284978.6166666667</v>
      </c>
      <c r="F70" s="89">
        <f t="shared" si="22"/>
        <v>285218.6166666667</v>
      </c>
      <c r="G70" s="89">
        <f t="shared" si="22"/>
        <v>283198.46666666667</v>
      </c>
    </row>
    <row r="71" spans="2:12" ht="16" hidden="1" customHeight="1" x14ac:dyDescent="0.2">
      <c r="B71" s="55" t="s">
        <v>4187</v>
      </c>
      <c r="C71" s="89">
        <v>0</v>
      </c>
      <c r="D71" s="89">
        <v>0</v>
      </c>
      <c r="E71" s="89">
        <v>0</v>
      </c>
      <c r="F71" s="89">
        <v>0</v>
      </c>
      <c r="G71" s="89">
        <v>0</v>
      </c>
    </row>
    <row r="72" spans="2:12" x14ac:dyDescent="0.2">
      <c r="B72" s="55" t="s">
        <v>3545</v>
      </c>
      <c r="C72" s="123">
        <f>+C71+C70</f>
        <v>285074.6166666667</v>
      </c>
      <c r="D72" s="123">
        <f t="shared" ref="D72:G72" si="23">+D71+D70</f>
        <v>284738.6166666667</v>
      </c>
      <c r="E72" s="123">
        <f t="shared" si="23"/>
        <v>284978.6166666667</v>
      </c>
      <c r="F72" s="123">
        <f t="shared" si="23"/>
        <v>285218.6166666667</v>
      </c>
      <c r="G72" s="123">
        <f t="shared" si="23"/>
        <v>283198.46666666667</v>
      </c>
    </row>
    <row r="74" spans="2:12" x14ac:dyDescent="0.2">
      <c r="B74" s="404" t="s">
        <v>4210</v>
      </c>
      <c r="C74" s="404"/>
      <c r="D74" s="404"/>
      <c r="E74" s="404"/>
      <c r="F74" s="404"/>
      <c r="G74" s="404"/>
    </row>
    <row r="76" spans="2:12" x14ac:dyDescent="0.2">
      <c r="C76" s="55">
        <v>2018</v>
      </c>
      <c r="D76" s="55">
        <v>2019</v>
      </c>
      <c r="E76" s="55">
        <v>2020</v>
      </c>
      <c r="F76" s="55">
        <v>2021</v>
      </c>
      <c r="G76" s="55">
        <v>2022</v>
      </c>
    </row>
    <row r="77" spans="2:12" x14ac:dyDescent="0.2">
      <c r="B77" s="55" t="s">
        <v>4095</v>
      </c>
      <c r="C77" s="89">
        <f>'Inversión Activos Intangibles'!O22</f>
        <v>177500</v>
      </c>
      <c r="D77" s="89">
        <f>'Inversión Activos Intangibles'!O28</f>
        <v>126000</v>
      </c>
      <c r="E77" s="89">
        <f>+D77</f>
        <v>126000</v>
      </c>
      <c r="F77" s="89">
        <f>+E77</f>
        <v>126000</v>
      </c>
      <c r="G77" s="89">
        <f>+F77</f>
        <v>126000</v>
      </c>
    </row>
    <row r="78" spans="2:12" x14ac:dyDescent="0.2">
      <c r="B78" s="55" t="s">
        <v>4187</v>
      </c>
      <c r="C78" s="89">
        <v>0</v>
      </c>
      <c r="D78" s="89">
        <v>0</v>
      </c>
      <c r="E78" s="89">
        <v>0</v>
      </c>
      <c r="F78" s="89">
        <v>0</v>
      </c>
      <c r="G78" s="89">
        <v>0</v>
      </c>
    </row>
    <row r="79" spans="2:12" x14ac:dyDescent="0.2">
      <c r="B79" s="55" t="s">
        <v>3545</v>
      </c>
      <c r="C79" s="123">
        <f>+C77+C78</f>
        <v>177500</v>
      </c>
      <c r="D79" s="123">
        <f t="shared" ref="D79:G79" si="24">+D77+D78</f>
        <v>126000</v>
      </c>
      <c r="E79" s="123">
        <f t="shared" si="24"/>
        <v>126000</v>
      </c>
      <c r="F79" s="123">
        <f t="shared" si="24"/>
        <v>126000</v>
      </c>
      <c r="G79" s="123">
        <f t="shared" si="24"/>
        <v>126000</v>
      </c>
    </row>
    <row r="81" spans="2:19" x14ac:dyDescent="0.2">
      <c r="B81" s="404" t="s">
        <v>4215</v>
      </c>
      <c r="C81" s="404"/>
      <c r="D81" s="404"/>
      <c r="E81" s="404"/>
      <c r="F81" s="404"/>
      <c r="G81" s="404"/>
    </row>
    <row r="83" spans="2:19" x14ac:dyDescent="0.2">
      <c r="C83" s="55">
        <v>2018</v>
      </c>
      <c r="D83" s="55">
        <v>2019</v>
      </c>
      <c r="E83" s="55">
        <v>2020</v>
      </c>
      <c r="F83" s="55">
        <v>2021</v>
      </c>
      <c r="G83" s="55">
        <v>2022</v>
      </c>
    </row>
    <row r="84" spans="2:19" x14ac:dyDescent="0.2">
      <c r="B84" s="55" t="s">
        <v>4216</v>
      </c>
      <c r="C84" s="123">
        <f>+'Alternativas de financiamiento'!T29</f>
        <v>77612.757839061785</v>
      </c>
      <c r="D84" s="123">
        <f>+'Alternativas de financiamiento'!U29</f>
        <v>63695.902478773256</v>
      </c>
      <c r="E84" s="123">
        <f>+'Alternativas de financiamiento'!V29</f>
        <v>48145.208299186837</v>
      </c>
      <c r="F84" s="123">
        <f>+'Alternativas de financiamiento'!W29</f>
        <v>30768.86262291696</v>
      </c>
      <c r="G84" s="123">
        <f>+'Alternativas de financiamiento'!X29</f>
        <v>11352.533964252991</v>
      </c>
    </row>
    <row r="86" spans="2:19" x14ac:dyDescent="0.2">
      <c r="B86" s="404" t="s">
        <v>4232</v>
      </c>
      <c r="C86" s="404"/>
      <c r="D86" s="404"/>
      <c r="E86" s="404"/>
      <c r="F86" s="404"/>
      <c r="G86" s="404"/>
    </row>
    <row r="88" spans="2:19" x14ac:dyDescent="0.2">
      <c r="C88" s="55">
        <v>2018</v>
      </c>
      <c r="D88" s="55">
        <v>2019</v>
      </c>
      <c r="E88" s="55">
        <v>2020</v>
      </c>
      <c r="F88" s="55">
        <v>2021</v>
      </c>
      <c r="G88" s="55">
        <v>2022</v>
      </c>
      <c r="H88" s="130" t="s">
        <v>4256</v>
      </c>
      <c r="J88" s="295" t="s">
        <v>3961</v>
      </c>
      <c r="K88" s="295"/>
      <c r="L88" s="295"/>
      <c r="M88" s="130">
        <v>2018</v>
      </c>
      <c r="N88" s="130">
        <v>2019</v>
      </c>
      <c r="O88" s="130">
        <v>2020</v>
      </c>
      <c r="P88" s="130">
        <v>2021</v>
      </c>
      <c r="Q88" s="130">
        <v>2022</v>
      </c>
      <c r="R88" s="130" t="s">
        <v>4253</v>
      </c>
      <c r="S88" s="195" t="s">
        <v>4255</v>
      </c>
    </row>
    <row r="89" spans="2:19" x14ac:dyDescent="0.2">
      <c r="B89" s="55" t="s">
        <v>4247</v>
      </c>
      <c r="C89" s="89">
        <f>+M89*$R89</f>
        <v>15785.378500000001</v>
      </c>
      <c r="D89" s="89">
        <f t="shared" ref="D89:G90" si="25">+N89*$R89</f>
        <v>15785.378500000001</v>
      </c>
      <c r="E89" s="89">
        <f t="shared" si="25"/>
        <v>15785.378500000001</v>
      </c>
      <c r="F89" s="89">
        <f t="shared" si="25"/>
        <v>15785.378500000001</v>
      </c>
      <c r="G89" s="89">
        <f t="shared" si="25"/>
        <v>15785.378500000001</v>
      </c>
      <c r="H89" s="89">
        <f>+M89+S89-SUM(C89:G89)</f>
        <v>251780.67749999999</v>
      </c>
      <c r="J89" s="391" t="s">
        <v>4106</v>
      </c>
      <c r="K89" s="391"/>
      <c r="L89" s="391"/>
      <c r="M89" s="89">
        <f>+'Inversión Activos Tangibles'!E3-$S$89</f>
        <v>315707.57</v>
      </c>
      <c r="N89" s="89">
        <f>+M89</f>
        <v>315707.57</v>
      </c>
      <c r="O89" s="89">
        <f>+N89</f>
        <v>315707.57</v>
      </c>
      <c r="P89" s="89">
        <f>+O89</f>
        <v>315707.57</v>
      </c>
      <c r="Q89" s="89">
        <f>+P89</f>
        <v>315707.57</v>
      </c>
      <c r="R89" s="160">
        <v>0.05</v>
      </c>
      <c r="S89" s="157">
        <f>+'Terrenos y obras civiles'!H121</f>
        <v>15000</v>
      </c>
    </row>
    <row r="90" spans="2:19" x14ac:dyDescent="0.2">
      <c r="B90" s="55" t="s">
        <v>4248</v>
      </c>
      <c r="C90" s="89">
        <f>+M90*$R90</f>
        <v>80210.8</v>
      </c>
      <c r="D90" s="89">
        <f t="shared" si="25"/>
        <v>81510.8</v>
      </c>
      <c r="E90" s="89">
        <f t="shared" si="25"/>
        <v>82810.8</v>
      </c>
      <c r="F90" s="89">
        <f t="shared" si="25"/>
        <v>84110.8</v>
      </c>
      <c r="G90" s="89">
        <f t="shared" si="25"/>
        <v>84110.8</v>
      </c>
      <c r="H90" s="89">
        <f>+Q90-SUM(C90:G90)</f>
        <v>7800</v>
      </c>
      <c r="J90" s="391" t="s">
        <v>4108</v>
      </c>
      <c r="K90" s="391"/>
      <c r="L90" s="391"/>
      <c r="M90" s="89">
        <f>+'Inversión Activos Tangibles'!E5</f>
        <v>401054</v>
      </c>
      <c r="N90" s="89">
        <f>+M90+(6500)</f>
        <v>407554</v>
      </c>
      <c r="O90" s="89">
        <f t="shared" ref="O90:P90" si="26">+N90+(6500)</f>
        <v>414054</v>
      </c>
      <c r="P90" s="89">
        <f t="shared" si="26"/>
        <v>420554</v>
      </c>
      <c r="Q90" s="89">
        <f>+P90</f>
        <v>420554</v>
      </c>
      <c r="R90" s="160">
        <v>0.2</v>
      </c>
    </row>
    <row r="91" spans="2:19" x14ac:dyDescent="0.2">
      <c r="B91" s="55" t="s">
        <v>4249</v>
      </c>
      <c r="C91" s="89">
        <f>+M91*$R91</f>
        <v>291.8</v>
      </c>
      <c r="D91" s="89">
        <f>+N91*$R91</f>
        <v>291.8</v>
      </c>
      <c r="E91" s="89">
        <f t="shared" ref="E91:E92" si="27">+O91*$R91</f>
        <v>291.8</v>
      </c>
      <c r="F91" s="89">
        <f t="shared" ref="F91:F92" si="28">+P91*$R91</f>
        <v>291.8</v>
      </c>
      <c r="G91" s="89">
        <f>+Q91*$R91</f>
        <v>291.8</v>
      </c>
      <c r="H91" s="89">
        <f>+Q91-SUM(C91:G91)</f>
        <v>1459</v>
      </c>
      <c r="J91" s="391" t="s">
        <v>4250</v>
      </c>
      <c r="K91" s="391"/>
      <c r="L91" s="391"/>
      <c r="M91" s="89">
        <f>+'Inversión Activos Tangibles'!E6</f>
        <v>2918</v>
      </c>
      <c r="N91" s="89">
        <f>+M91</f>
        <v>2918</v>
      </c>
      <c r="O91" s="89">
        <f t="shared" ref="O91:Q93" si="29">+N91</f>
        <v>2918</v>
      </c>
      <c r="P91" s="89">
        <f t="shared" si="29"/>
        <v>2918</v>
      </c>
      <c r="Q91" s="89">
        <f t="shared" si="29"/>
        <v>2918</v>
      </c>
      <c r="R91" s="160">
        <v>0.1</v>
      </c>
    </row>
    <row r="92" spans="2:19" x14ac:dyDescent="0.2">
      <c r="B92" s="55" t="s">
        <v>4254</v>
      </c>
      <c r="C92" s="89">
        <f>+M92*$R92</f>
        <v>2020.1499999999999</v>
      </c>
      <c r="D92" s="89">
        <f>+N92*$R92</f>
        <v>2020.1499999999999</v>
      </c>
      <c r="E92" s="89">
        <f t="shared" si="27"/>
        <v>2020.1499999999999</v>
      </c>
      <c r="F92" s="89">
        <f t="shared" si="28"/>
        <v>2020.1499999999999</v>
      </c>
      <c r="G92" s="156">
        <v>0</v>
      </c>
      <c r="H92" s="156">
        <f>+Q92-SUM(C92:G92)</f>
        <v>0</v>
      </c>
      <c r="J92" s="391" t="s">
        <v>4252</v>
      </c>
      <c r="K92" s="399"/>
      <c r="L92" s="400"/>
      <c r="M92" s="89">
        <f>+'Inversión Activos Tangibles'!E7</f>
        <v>8080.5999999999995</v>
      </c>
      <c r="N92" s="89">
        <f>+M92</f>
        <v>8080.5999999999995</v>
      </c>
      <c r="O92" s="89">
        <f t="shared" si="29"/>
        <v>8080.5999999999995</v>
      </c>
      <c r="P92" s="89">
        <f t="shared" si="29"/>
        <v>8080.5999999999995</v>
      </c>
      <c r="Q92" s="89">
        <f t="shared" si="29"/>
        <v>8080.5999999999995</v>
      </c>
      <c r="R92" s="160">
        <v>0.25</v>
      </c>
    </row>
    <row r="93" spans="2:19" x14ac:dyDescent="0.2">
      <c r="B93" s="55" t="s">
        <v>3545</v>
      </c>
      <c r="C93" s="123">
        <f>SUM(C89:C92)</f>
        <v>98308.128500000006</v>
      </c>
      <c r="D93" s="123">
        <f t="shared" ref="D93:H93" si="30">SUM(D89:D92)</f>
        <v>99608.128500000006</v>
      </c>
      <c r="E93" s="123">
        <f t="shared" si="30"/>
        <v>100908.12850000001</v>
      </c>
      <c r="F93" s="123">
        <f t="shared" si="30"/>
        <v>102208.12850000001</v>
      </c>
      <c r="G93" s="123">
        <f t="shared" si="30"/>
        <v>100187.97850000001</v>
      </c>
      <c r="H93" s="123">
        <f t="shared" si="30"/>
        <v>261039.67749999999</v>
      </c>
      <c r="J93" s="298" t="s">
        <v>4110</v>
      </c>
      <c r="K93" s="398"/>
      <c r="L93" s="299"/>
      <c r="M93" s="128">
        <f>+'Inversión Activos Tangibles'!E9</f>
        <v>749199.57000000007</v>
      </c>
      <c r="N93" s="128">
        <f>+M93</f>
        <v>749199.57000000007</v>
      </c>
      <c r="O93" s="128">
        <f t="shared" si="29"/>
        <v>749199.57000000007</v>
      </c>
      <c r="P93" s="128">
        <f t="shared" si="29"/>
        <v>749199.57000000007</v>
      </c>
      <c r="Q93" s="128">
        <f t="shared" si="29"/>
        <v>749199.57000000007</v>
      </c>
    </row>
    <row r="95" spans="2:19" x14ac:dyDescent="0.2">
      <c r="B95" s="405" t="s">
        <v>3582</v>
      </c>
      <c r="C95" s="405"/>
      <c r="D95" s="405"/>
      <c r="E95" s="405"/>
      <c r="F95" s="405"/>
      <c r="G95" s="405"/>
    </row>
    <row r="97" spans="2:7" x14ac:dyDescent="0.2">
      <c r="C97" s="55">
        <v>2018</v>
      </c>
      <c r="D97" s="55">
        <v>2019</v>
      </c>
      <c r="E97" s="55">
        <v>2020</v>
      </c>
      <c r="F97" s="55">
        <v>2021</v>
      </c>
      <c r="G97" s="55">
        <v>2022</v>
      </c>
    </row>
    <row r="98" spans="2:7" x14ac:dyDescent="0.2">
      <c r="B98" s="55" t="s">
        <v>4184</v>
      </c>
      <c r="C98" s="89">
        <f>+C15</f>
        <v>291586.66666666669</v>
      </c>
      <c r="D98" s="89">
        <f>+D15</f>
        <v>306933.33333333337</v>
      </c>
      <c r="E98" s="89">
        <f>+E15</f>
        <v>322280</v>
      </c>
      <c r="F98" s="89">
        <f>+F15</f>
        <v>337626.66666666669</v>
      </c>
      <c r="G98" s="89">
        <f>+G15</f>
        <v>337626.66666666669</v>
      </c>
    </row>
    <row r="99" spans="2:7" x14ac:dyDescent="0.2">
      <c r="B99" s="55" t="s">
        <v>4217</v>
      </c>
      <c r="C99" s="89">
        <f>+C20</f>
        <v>80514</v>
      </c>
      <c r="D99" s="89">
        <f>+D20</f>
        <v>84294</v>
      </c>
      <c r="E99" s="89">
        <f>+E20</f>
        <v>88074</v>
      </c>
      <c r="F99" s="89">
        <f>+F20</f>
        <v>91854</v>
      </c>
      <c r="G99" s="89">
        <f>+G20</f>
        <v>91854</v>
      </c>
    </row>
    <row r="100" spans="2:7" x14ac:dyDescent="0.2">
      <c r="B100" s="55" t="s">
        <v>4218</v>
      </c>
      <c r="C100" s="89">
        <f>+C36</f>
        <v>280053.33333333337</v>
      </c>
      <c r="D100" s="89">
        <f>+D36</f>
        <v>282409.33333333337</v>
      </c>
      <c r="E100" s="89">
        <f>+E36</f>
        <v>284765.33333333337</v>
      </c>
      <c r="F100" s="89">
        <f>+F36</f>
        <v>287121.33333333337</v>
      </c>
      <c r="G100" s="89">
        <f>+G36</f>
        <v>287121.33333333337</v>
      </c>
    </row>
    <row r="101" spans="2:7" x14ac:dyDescent="0.2">
      <c r="B101" s="55" t="s">
        <v>4219</v>
      </c>
      <c r="C101" s="89">
        <f>+C46</f>
        <v>9610496.4000000004</v>
      </c>
      <c r="D101" s="89">
        <f>+D46</f>
        <v>10167251.700000001</v>
      </c>
      <c r="E101" s="89">
        <f>+E46</f>
        <v>10755363.300000001</v>
      </c>
      <c r="F101" s="89">
        <f>+F46</f>
        <v>11375974.200000001</v>
      </c>
      <c r="G101" s="89">
        <f>+G46</f>
        <v>11460026.875918953</v>
      </c>
    </row>
    <row r="102" spans="2:7" x14ac:dyDescent="0.2">
      <c r="B102" s="55" t="s">
        <v>4246</v>
      </c>
      <c r="C102" s="89">
        <f>+C70</f>
        <v>285074.6166666667</v>
      </c>
      <c r="D102" s="89">
        <f t="shared" ref="D102:G102" si="31">+D70</f>
        <v>284738.6166666667</v>
      </c>
      <c r="E102" s="89">
        <f t="shared" si="31"/>
        <v>284978.6166666667</v>
      </c>
      <c r="F102" s="89">
        <f t="shared" si="31"/>
        <v>285218.6166666667</v>
      </c>
      <c r="G102" s="89">
        <f t="shared" si="31"/>
        <v>283198.46666666667</v>
      </c>
    </row>
    <row r="103" spans="2:7" x14ac:dyDescent="0.2">
      <c r="B103" s="55" t="s">
        <v>4220</v>
      </c>
      <c r="C103" s="89">
        <f>+C77</f>
        <v>177500</v>
      </c>
      <c r="D103" s="89">
        <f t="shared" ref="D103:G103" si="32">+D77</f>
        <v>126000</v>
      </c>
      <c r="E103" s="89">
        <f t="shared" si="32"/>
        <v>126000</v>
      </c>
      <c r="F103" s="89">
        <f t="shared" si="32"/>
        <v>126000</v>
      </c>
      <c r="G103" s="89">
        <f t="shared" si="32"/>
        <v>126000</v>
      </c>
    </row>
    <row r="104" spans="2:7" x14ac:dyDescent="0.2">
      <c r="B104" s="55" t="s">
        <v>4221</v>
      </c>
      <c r="C104" s="89">
        <f>+C84</f>
        <v>77612.757839061785</v>
      </c>
      <c r="D104" s="89">
        <f t="shared" ref="D104:G104" si="33">+D84</f>
        <v>63695.902478773256</v>
      </c>
      <c r="E104" s="89">
        <f t="shared" si="33"/>
        <v>48145.208299186837</v>
      </c>
      <c r="F104" s="89">
        <f t="shared" si="33"/>
        <v>30768.86262291696</v>
      </c>
      <c r="G104" s="89">
        <f t="shared" si="33"/>
        <v>11352.533964252991</v>
      </c>
    </row>
    <row r="105" spans="2:7" x14ac:dyDescent="0.2">
      <c r="B105" s="55" t="s">
        <v>4187</v>
      </c>
      <c r="C105" s="89">
        <f>+C59+C71+C78</f>
        <v>0</v>
      </c>
      <c r="D105" s="89">
        <f>+D59+D71+D78</f>
        <v>0</v>
      </c>
      <c r="E105" s="89">
        <f>+E59+E71+E78</f>
        <v>0</v>
      </c>
      <c r="F105" s="89">
        <f>+F59+F71+F78</f>
        <v>0</v>
      </c>
      <c r="G105" s="89">
        <f>+G59+G71+G78</f>
        <v>0</v>
      </c>
    </row>
    <row r="106" spans="2:7" x14ac:dyDescent="0.2">
      <c r="B106" s="55" t="s">
        <v>3545</v>
      </c>
      <c r="C106" s="123">
        <f>SUM(C98:C105)</f>
        <v>10802837.774505729</v>
      </c>
      <c r="D106" s="123">
        <f t="shared" ref="D106:G106" si="34">SUM(D98:D105)</f>
        <v>11315322.885812107</v>
      </c>
      <c r="E106" s="123">
        <f t="shared" si="34"/>
        <v>11909606.458299188</v>
      </c>
      <c r="F106" s="123">
        <f t="shared" si="34"/>
        <v>12534563.679289585</v>
      </c>
      <c r="G106" s="123">
        <f t="shared" si="34"/>
        <v>12597179.876549872</v>
      </c>
    </row>
    <row r="108" spans="2:7" x14ac:dyDescent="0.2">
      <c r="B108" s="55" t="s">
        <v>4222</v>
      </c>
      <c r="C108" s="155">
        <f>+C7-C106</f>
        <v>422020.22549427114</v>
      </c>
      <c r="D108" s="155">
        <f>+D7-D106</f>
        <v>559813.61418789253</v>
      </c>
      <c r="E108" s="155">
        <f>+E7-E106</f>
        <v>652432.04170081206</v>
      </c>
      <c r="F108" s="155">
        <f>+F7-F106</f>
        <v>752335.32071041502</v>
      </c>
      <c r="G108" s="155">
        <f>+G7-G106</f>
        <v>787890.88403788023</v>
      </c>
    </row>
    <row r="109" spans="2:7" x14ac:dyDescent="0.2">
      <c r="C109" s="118">
        <f>+C7-SUM(C98:C104)</f>
        <v>422020.22549427114</v>
      </c>
    </row>
  </sheetData>
  <mergeCells count="18">
    <mergeCell ref="B40:G40"/>
    <mergeCell ref="B2:G2"/>
    <mergeCell ref="B10:G10"/>
    <mergeCell ref="B12:G12"/>
    <mergeCell ref="B17:G17"/>
    <mergeCell ref="B24:G24"/>
    <mergeCell ref="J93:L93"/>
    <mergeCell ref="B74:G74"/>
    <mergeCell ref="B81:G81"/>
    <mergeCell ref="B95:G95"/>
    <mergeCell ref="B50:G50"/>
    <mergeCell ref="B62:G62"/>
    <mergeCell ref="B86:G86"/>
    <mergeCell ref="J88:L88"/>
    <mergeCell ref="J89:L89"/>
    <mergeCell ref="J90:L90"/>
    <mergeCell ref="J91:L91"/>
    <mergeCell ref="J92:L92"/>
  </mergeCells>
  <pageMargins left="0.7" right="0.7" top="0.75" bottom="0.75" header="0.3" footer="0.3"/>
  <ignoredErrors>
    <ignoredError sqref="Q90 N90:P90" formula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5"/>
  <sheetViews>
    <sheetView showGridLines="0" workbookViewId="0">
      <selection activeCell="B4" sqref="B4:G15"/>
    </sheetView>
  </sheetViews>
  <sheetFormatPr baseColWidth="10" defaultRowHeight="16" x14ac:dyDescent="0.2"/>
  <cols>
    <col min="2" max="2" width="26.6640625" customWidth="1"/>
    <col min="3" max="7" width="13.33203125" customWidth="1"/>
    <col min="9" max="9" width="2.6640625" bestFit="1" customWidth="1"/>
  </cols>
  <sheetData>
    <row r="2" spans="2:10" x14ac:dyDescent="0.2">
      <c r="B2" s="406" t="s">
        <v>4223</v>
      </c>
      <c r="C2" s="406"/>
      <c r="D2" s="406"/>
      <c r="E2" s="406"/>
      <c r="F2" s="406"/>
      <c r="G2" s="406"/>
    </row>
    <row r="4" spans="2:10" x14ac:dyDescent="0.2">
      <c r="C4" s="55">
        <v>2018</v>
      </c>
      <c r="D4" s="55">
        <v>2019</v>
      </c>
      <c r="E4" s="55">
        <v>2020</v>
      </c>
      <c r="F4" s="55">
        <v>2021</v>
      </c>
      <c r="G4" s="55">
        <v>2022</v>
      </c>
      <c r="I4" s="55" t="s">
        <v>4236</v>
      </c>
      <c r="J4" s="158">
        <v>0.29499999999999998</v>
      </c>
    </row>
    <row r="5" spans="2:10" x14ac:dyDescent="0.2">
      <c r="B5" s="55" t="s">
        <v>4224</v>
      </c>
      <c r="C5" s="37">
        <f>+Presupuestos!C7</f>
        <v>11224858</v>
      </c>
      <c r="D5" s="37">
        <f>+Presupuestos!D7</f>
        <v>11875136.5</v>
      </c>
      <c r="E5" s="37">
        <f>+Presupuestos!E7</f>
        <v>12562038.5</v>
      </c>
      <c r="F5" s="37">
        <f>+Presupuestos!F7</f>
        <v>13286899</v>
      </c>
      <c r="G5" s="37">
        <f>+Presupuestos!G7</f>
        <v>13385070.760587752</v>
      </c>
    </row>
    <row r="6" spans="2:10" x14ac:dyDescent="0.2">
      <c r="B6" s="55" t="s">
        <v>4225</v>
      </c>
      <c r="C6" s="127">
        <f>+C5</f>
        <v>11224858</v>
      </c>
      <c r="D6" s="127">
        <f t="shared" ref="D6:G6" si="0">+D5</f>
        <v>11875136.5</v>
      </c>
      <c r="E6" s="127">
        <f t="shared" si="0"/>
        <v>12562038.5</v>
      </c>
      <c r="F6" s="127">
        <f t="shared" si="0"/>
        <v>13286899</v>
      </c>
      <c r="G6" s="127">
        <f t="shared" si="0"/>
        <v>13385070.760587752</v>
      </c>
    </row>
    <row r="7" spans="2:10" x14ac:dyDescent="0.2">
      <c r="B7" s="55" t="s">
        <v>4226</v>
      </c>
      <c r="C7" s="37">
        <f>+Presupuestos!C60</f>
        <v>10358646.578500001</v>
      </c>
      <c r="D7" s="37">
        <f>+Presupuestos!D60</f>
        <v>10938184.545166668</v>
      </c>
      <c r="E7" s="37">
        <f>+Presupuestos!E60</f>
        <v>11549078.811833335</v>
      </c>
      <c r="F7" s="37">
        <f>+Presupuestos!F60</f>
        <v>12192472.378500002</v>
      </c>
      <c r="G7" s="37">
        <f>+Presupuestos!G60</f>
        <v>12276525.054418953</v>
      </c>
    </row>
    <row r="8" spans="2:10" x14ac:dyDescent="0.2">
      <c r="B8" s="55" t="s">
        <v>4227</v>
      </c>
      <c r="C8" s="127">
        <f>+C6-C7</f>
        <v>866211.42149999924</v>
      </c>
      <c r="D8" s="127">
        <f t="shared" ref="D8:G8" si="1">+D6-D7</f>
        <v>936951.95483333245</v>
      </c>
      <c r="E8" s="127">
        <f t="shared" si="1"/>
        <v>1012959.6881666649</v>
      </c>
      <c r="F8" s="127">
        <f t="shared" si="1"/>
        <v>1094426.6214999985</v>
      </c>
      <c r="G8" s="127">
        <f t="shared" si="1"/>
        <v>1108545.7061687987</v>
      </c>
    </row>
    <row r="9" spans="2:10" x14ac:dyDescent="0.2">
      <c r="B9" s="55" t="s">
        <v>4228</v>
      </c>
      <c r="C9" s="37">
        <f>+Presupuestos!C72</f>
        <v>285074.6166666667</v>
      </c>
      <c r="D9" s="37">
        <f>+Presupuestos!D72</f>
        <v>284738.6166666667</v>
      </c>
      <c r="E9" s="37">
        <f>+Presupuestos!E72</f>
        <v>284978.6166666667</v>
      </c>
      <c r="F9" s="37">
        <f>+Presupuestos!F72</f>
        <v>285218.6166666667</v>
      </c>
      <c r="G9" s="37">
        <f>+Presupuestos!G72</f>
        <v>283198.46666666667</v>
      </c>
    </row>
    <row r="10" spans="2:10" x14ac:dyDescent="0.2">
      <c r="B10" s="55" t="s">
        <v>4231</v>
      </c>
      <c r="C10" s="37">
        <f>+Presupuestos!C79</f>
        <v>177500</v>
      </c>
      <c r="D10" s="37">
        <f>+Presupuestos!D79</f>
        <v>126000</v>
      </c>
      <c r="E10" s="37">
        <f>+Presupuestos!E79</f>
        <v>126000</v>
      </c>
      <c r="F10" s="37">
        <f>+Presupuestos!F79</f>
        <v>126000</v>
      </c>
      <c r="G10" s="37">
        <f>+Presupuestos!G79</f>
        <v>126000</v>
      </c>
    </row>
    <row r="11" spans="2:10" x14ac:dyDescent="0.2">
      <c r="B11" s="55" t="s">
        <v>4230</v>
      </c>
      <c r="C11" s="127">
        <f>C8-SUM(C9:C10)</f>
        <v>403636.80483333254</v>
      </c>
      <c r="D11" s="127">
        <f>D8-SUM(D9:D10)</f>
        <v>526213.33816666575</v>
      </c>
      <c r="E11" s="127">
        <f>E8-SUM(E9:E10)</f>
        <v>601981.07149999822</v>
      </c>
      <c r="F11" s="127">
        <f>F8-SUM(F9:F10)</f>
        <v>683208.0048333318</v>
      </c>
      <c r="G11" s="127">
        <f>G8-SUM(G9:G10)</f>
        <v>699347.23950213206</v>
      </c>
    </row>
    <row r="12" spans="2:10" x14ac:dyDescent="0.2">
      <c r="B12" s="55" t="s">
        <v>4221</v>
      </c>
      <c r="C12" s="37">
        <f>+Presupuestos!C84</f>
        <v>77612.757839061785</v>
      </c>
      <c r="D12" s="37">
        <f>+Presupuestos!D84</f>
        <v>63695.902478773256</v>
      </c>
      <c r="E12" s="37">
        <f>+Presupuestos!E84</f>
        <v>48145.208299186837</v>
      </c>
      <c r="F12" s="37">
        <f>+Presupuestos!F84</f>
        <v>30768.86262291696</v>
      </c>
      <c r="G12" s="37">
        <f>+Presupuestos!G84</f>
        <v>11352.533964252991</v>
      </c>
    </row>
    <row r="13" spans="2:10" x14ac:dyDescent="0.2">
      <c r="B13" s="55" t="s">
        <v>4233</v>
      </c>
      <c r="C13" s="127">
        <f>C11-SUM(C12:C12)</f>
        <v>326024.04699427076</v>
      </c>
      <c r="D13" s="127">
        <f>D11-SUM(D12:D12)</f>
        <v>462517.43568789249</v>
      </c>
      <c r="E13" s="127">
        <f>E11-SUM(E12:E12)</f>
        <v>553835.86320081144</v>
      </c>
      <c r="F13" s="127">
        <f>F11-SUM(F12:F12)</f>
        <v>652439.14221041487</v>
      </c>
      <c r="G13" s="127">
        <f>G11-SUM(G12:G12)</f>
        <v>687994.70553787902</v>
      </c>
    </row>
    <row r="14" spans="2:10" x14ac:dyDescent="0.2">
      <c r="B14" s="55" t="s">
        <v>4234</v>
      </c>
      <c r="C14" s="37">
        <f>+C13*$J$4</f>
        <v>96177.09386330987</v>
      </c>
      <c r="D14" s="37">
        <f t="shared" ref="D14:G14" si="2">+D13*$J$4</f>
        <v>136442.64352792827</v>
      </c>
      <c r="E14" s="37">
        <f t="shared" si="2"/>
        <v>163381.57964423936</v>
      </c>
      <c r="F14" s="37">
        <f t="shared" si="2"/>
        <v>192469.54695207239</v>
      </c>
      <c r="G14" s="37">
        <f t="shared" si="2"/>
        <v>202958.4381336743</v>
      </c>
    </row>
    <row r="15" spans="2:10" x14ac:dyDescent="0.2">
      <c r="B15" s="55" t="s">
        <v>4235</v>
      </c>
      <c r="C15" s="267">
        <f>+C13-C14</f>
        <v>229846.95313096087</v>
      </c>
      <c r="D15" s="267">
        <f t="shared" ref="D15:G15" si="3">+D13-D14</f>
        <v>326074.79215996421</v>
      </c>
      <c r="E15" s="267">
        <f t="shared" si="3"/>
        <v>390454.28355657205</v>
      </c>
      <c r="F15" s="267">
        <f t="shared" si="3"/>
        <v>459969.59525834245</v>
      </c>
      <c r="G15" s="267">
        <f t="shared" si="3"/>
        <v>485036.2674042047</v>
      </c>
    </row>
  </sheetData>
  <mergeCells count="1">
    <mergeCell ref="B2: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46"/>
  <sheetViews>
    <sheetView topLeftCell="A21" workbookViewId="0">
      <selection activeCell="P39" sqref="P39"/>
    </sheetView>
  </sheetViews>
  <sheetFormatPr baseColWidth="10" defaultColWidth="10.83203125" defaultRowHeight="15" x14ac:dyDescent="0.2"/>
  <cols>
    <col min="1" max="16384" width="10.83203125" style="201"/>
  </cols>
  <sheetData>
    <row r="2" spans="1:16" ht="16" x14ac:dyDescent="0.2">
      <c r="A2" s="201" t="s">
        <v>1778</v>
      </c>
      <c r="B2" s="202">
        <v>2006</v>
      </c>
      <c r="C2" s="202">
        <v>2007</v>
      </c>
      <c r="D2" s="202">
        <v>2008</v>
      </c>
      <c r="E2" s="202">
        <v>2009</v>
      </c>
      <c r="F2" s="202">
        <v>2010</v>
      </c>
      <c r="G2" s="202">
        <v>2011</v>
      </c>
      <c r="H2" s="202">
        <v>2012</v>
      </c>
      <c r="I2" s="202">
        <v>2013</v>
      </c>
      <c r="J2" s="202">
        <v>2014</v>
      </c>
      <c r="K2" s="202">
        <v>2015</v>
      </c>
      <c r="L2" s="202">
        <v>2016</v>
      </c>
      <c r="M2" s="202">
        <v>2017</v>
      </c>
      <c r="N2" s="202" t="s">
        <v>4403</v>
      </c>
      <c r="O2" s="202" t="s">
        <v>4404</v>
      </c>
      <c r="P2" s="202" t="s">
        <v>4354</v>
      </c>
    </row>
    <row r="3" spans="1:16" ht="16" x14ac:dyDescent="0.2">
      <c r="A3" s="201" t="s">
        <v>4405</v>
      </c>
      <c r="B3" s="203">
        <v>7.5</v>
      </c>
      <c r="C3" s="203">
        <v>8.5</v>
      </c>
      <c r="D3" s="203">
        <v>9.1</v>
      </c>
      <c r="E3" s="203">
        <v>1</v>
      </c>
      <c r="F3" s="203">
        <v>8.5</v>
      </c>
      <c r="G3" s="203">
        <v>6.5</v>
      </c>
      <c r="H3" s="203">
        <v>6</v>
      </c>
      <c r="I3" s="203">
        <v>5.8</v>
      </c>
      <c r="J3" s="203">
        <v>2.4</v>
      </c>
      <c r="K3" s="203">
        <v>3.3</v>
      </c>
      <c r="L3" s="203">
        <v>4</v>
      </c>
      <c r="M3" s="203">
        <v>2.5</v>
      </c>
      <c r="N3" s="203">
        <v>4</v>
      </c>
      <c r="O3" s="203">
        <v>4</v>
      </c>
      <c r="P3" s="203">
        <v>5.4</v>
      </c>
    </row>
    <row r="4" spans="1:16" ht="64" x14ac:dyDescent="0.2">
      <c r="C4" s="201" t="s">
        <v>4405</v>
      </c>
      <c r="D4" s="202" t="s">
        <v>4469</v>
      </c>
    </row>
    <row r="5" spans="1:16" ht="16" x14ac:dyDescent="0.2">
      <c r="B5" s="202">
        <v>2006</v>
      </c>
      <c r="C5" s="204">
        <v>7.5</v>
      </c>
      <c r="D5" s="277">
        <f>+C20</f>
        <v>5.3153846153846152</v>
      </c>
    </row>
    <row r="6" spans="1:16" ht="16" x14ac:dyDescent="0.2">
      <c r="B6" s="202">
        <v>2007</v>
      </c>
      <c r="C6" s="204">
        <v>8.5</v>
      </c>
      <c r="D6" s="277">
        <f>+D5</f>
        <v>5.3153846153846152</v>
      </c>
    </row>
    <row r="7" spans="1:16" ht="16" x14ac:dyDescent="0.2">
      <c r="B7" s="202">
        <v>2008</v>
      </c>
      <c r="C7" s="204">
        <v>9.1</v>
      </c>
      <c r="D7" s="277">
        <f t="shared" ref="D7:D19" si="0">+D6</f>
        <v>5.3153846153846152</v>
      </c>
    </row>
    <row r="8" spans="1:16" ht="16" x14ac:dyDescent="0.2">
      <c r="B8" s="202">
        <v>2009</v>
      </c>
      <c r="C8" s="204">
        <v>1</v>
      </c>
      <c r="D8" s="277">
        <f t="shared" si="0"/>
        <v>5.3153846153846152</v>
      </c>
    </row>
    <row r="9" spans="1:16" ht="16" x14ac:dyDescent="0.2">
      <c r="B9" s="202">
        <v>2010</v>
      </c>
      <c r="C9" s="204">
        <v>8.5</v>
      </c>
      <c r="D9" s="277">
        <f t="shared" si="0"/>
        <v>5.3153846153846152</v>
      </c>
    </row>
    <row r="10" spans="1:16" ht="16" x14ac:dyDescent="0.2">
      <c r="B10" s="202">
        <v>2011</v>
      </c>
      <c r="C10" s="204">
        <v>6.5</v>
      </c>
      <c r="D10" s="277">
        <f t="shared" si="0"/>
        <v>5.3153846153846152</v>
      </c>
    </row>
    <row r="11" spans="1:16" ht="16" x14ac:dyDescent="0.2">
      <c r="B11" s="202">
        <v>2012</v>
      </c>
      <c r="C11" s="204">
        <v>6</v>
      </c>
      <c r="D11" s="277">
        <f t="shared" si="0"/>
        <v>5.3153846153846152</v>
      </c>
    </row>
    <row r="12" spans="1:16" ht="16" x14ac:dyDescent="0.2">
      <c r="B12" s="202">
        <v>2013</v>
      </c>
      <c r="C12" s="204">
        <v>5.8</v>
      </c>
      <c r="D12" s="277">
        <f t="shared" si="0"/>
        <v>5.3153846153846152</v>
      </c>
    </row>
    <row r="13" spans="1:16" ht="16" x14ac:dyDescent="0.2">
      <c r="B13" s="202">
        <v>2014</v>
      </c>
      <c r="C13" s="204">
        <v>2.4</v>
      </c>
      <c r="D13" s="277">
        <f t="shared" si="0"/>
        <v>5.3153846153846152</v>
      </c>
    </row>
    <row r="14" spans="1:16" ht="16" x14ac:dyDescent="0.2">
      <c r="B14" s="202">
        <v>2015</v>
      </c>
      <c r="C14" s="204">
        <v>3.3</v>
      </c>
      <c r="D14" s="277">
        <f t="shared" si="0"/>
        <v>5.3153846153846152</v>
      </c>
    </row>
    <row r="15" spans="1:16" ht="16" x14ac:dyDescent="0.2">
      <c r="B15" s="202">
        <v>2016</v>
      </c>
      <c r="C15" s="204">
        <v>4</v>
      </c>
      <c r="D15" s="277">
        <f t="shared" si="0"/>
        <v>5.3153846153846152</v>
      </c>
    </row>
    <row r="16" spans="1:16" ht="16" x14ac:dyDescent="0.2">
      <c r="B16" s="202">
        <v>2017</v>
      </c>
      <c r="C16" s="204">
        <v>2.5</v>
      </c>
      <c r="D16" s="277">
        <f t="shared" si="0"/>
        <v>5.3153846153846152</v>
      </c>
    </row>
    <row r="17" spans="2:4" ht="16" x14ac:dyDescent="0.2">
      <c r="B17" s="203">
        <v>2018</v>
      </c>
      <c r="C17" s="204">
        <v>4</v>
      </c>
      <c r="D17" s="277">
        <f t="shared" si="0"/>
        <v>5.3153846153846152</v>
      </c>
    </row>
    <row r="18" spans="2:4" ht="16" x14ac:dyDescent="0.2">
      <c r="B18" s="203" t="s">
        <v>4404</v>
      </c>
      <c r="C18" s="204">
        <v>4</v>
      </c>
      <c r="D18" s="277">
        <f t="shared" si="0"/>
        <v>5.3153846153846152</v>
      </c>
    </row>
    <row r="19" spans="2:4" ht="16" x14ac:dyDescent="0.2">
      <c r="B19" s="203" t="s">
        <v>4468</v>
      </c>
      <c r="C19" s="204">
        <v>4</v>
      </c>
      <c r="D19" s="277">
        <f t="shared" si="0"/>
        <v>5.3153846153846152</v>
      </c>
    </row>
    <row r="20" spans="2:4" ht="32" x14ac:dyDescent="0.2">
      <c r="B20" s="202" t="s">
        <v>4406</v>
      </c>
      <c r="C20" s="204">
        <f>AVERAGE(C5:C17)</f>
        <v>5.3153846153846152</v>
      </c>
    </row>
    <row r="33" spans="2:4" ht="64" x14ac:dyDescent="0.2">
      <c r="C33" s="288" t="s">
        <v>4405</v>
      </c>
      <c r="D33" s="202" t="s">
        <v>4513</v>
      </c>
    </row>
    <row r="34" spans="2:4" ht="16" x14ac:dyDescent="0.2">
      <c r="B34" s="202">
        <v>2006</v>
      </c>
      <c r="C34" s="204">
        <v>7.5</v>
      </c>
      <c r="D34" s="277">
        <f>+C46</f>
        <v>5.4493021704153461</v>
      </c>
    </row>
    <row r="35" spans="2:4" ht="16" x14ac:dyDescent="0.2">
      <c r="B35" s="202">
        <v>2007</v>
      </c>
      <c r="C35" s="204">
        <v>8.5</v>
      </c>
      <c r="D35" s="277">
        <f>+D34</f>
        <v>5.4493021704153461</v>
      </c>
    </row>
    <row r="36" spans="2:4" ht="16" x14ac:dyDescent="0.2">
      <c r="B36" s="202">
        <v>2008</v>
      </c>
      <c r="C36" s="287">
        <v>9.806813598299911</v>
      </c>
      <c r="D36" s="277">
        <f t="shared" ref="D36:D45" si="1">+D35</f>
        <v>5.4493021704153461</v>
      </c>
    </row>
    <row r="37" spans="2:4" ht="16" x14ac:dyDescent="0.2">
      <c r="B37" s="202">
        <v>2009</v>
      </c>
      <c r="C37" s="287">
        <v>-0.94847011222650224</v>
      </c>
      <c r="D37" s="277">
        <f t="shared" si="1"/>
        <v>5.4493021704153461</v>
      </c>
    </row>
    <row r="38" spans="2:4" ht="16" x14ac:dyDescent="0.2">
      <c r="B38" s="202">
        <v>2010</v>
      </c>
      <c r="C38" s="287">
        <v>8.1469427516618822</v>
      </c>
      <c r="D38" s="277">
        <f t="shared" si="1"/>
        <v>5.4493021704153461</v>
      </c>
    </row>
    <row r="39" spans="2:4" ht="16" x14ac:dyDescent="0.2">
      <c r="B39" s="202">
        <v>2011</v>
      </c>
      <c r="C39" s="287">
        <v>8.8280754191659696</v>
      </c>
      <c r="D39" s="277">
        <f t="shared" si="1"/>
        <v>5.4493021704153461</v>
      </c>
    </row>
    <row r="40" spans="2:4" ht="16" x14ac:dyDescent="0.2">
      <c r="B40" s="202">
        <v>2012</v>
      </c>
      <c r="C40" s="287">
        <v>10.8504164374027</v>
      </c>
      <c r="D40" s="277">
        <f t="shared" si="1"/>
        <v>5.4493021704153461</v>
      </c>
    </row>
    <row r="41" spans="2:4" ht="16" x14ac:dyDescent="0.2">
      <c r="B41" s="202">
        <v>2013</v>
      </c>
      <c r="C41" s="287">
        <v>6.7082716400307163</v>
      </c>
      <c r="D41" s="277">
        <f t="shared" si="1"/>
        <v>5.4493021704153461</v>
      </c>
    </row>
    <row r="42" spans="2:4" ht="16" x14ac:dyDescent="0.2">
      <c r="B42" s="202">
        <v>2014</v>
      </c>
      <c r="C42" s="287">
        <v>4.2000469145717432</v>
      </c>
      <c r="D42" s="277">
        <f t="shared" si="1"/>
        <v>5.4493021704153461</v>
      </c>
    </row>
    <row r="43" spans="2:4" ht="16" x14ac:dyDescent="0.2">
      <c r="B43" s="202">
        <v>2015</v>
      </c>
      <c r="C43" s="287">
        <v>2.49232119350593</v>
      </c>
      <c r="D43" s="277">
        <f t="shared" si="1"/>
        <v>5.4493021704153461</v>
      </c>
    </row>
    <row r="44" spans="2:4" ht="16" x14ac:dyDescent="0.2">
      <c r="B44" s="202">
        <v>2016</v>
      </c>
      <c r="C44" s="287">
        <v>2.9205150828130826</v>
      </c>
      <c r="D44" s="277">
        <f t="shared" si="1"/>
        <v>5.4493021704153461</v>
      </c>
    </row>
    <row r="45" spans="2:4" ht="16" x14ac:dyDescent="0.2">
      <c r="B45" s="202">
        <v>2017</v>
      </c>
      <c r="C45" s="287">
        <v>1.4880887789280308</v>
      </c>
      <c r="D45" s="277">
        <f t="shared" si="1"/>
        <v>5.4493021704153461</v>
      </c>
    </row>
    <row r="46" spans="2:4" ht="32" x14ac:dyDescent="0.2">
      <c r="B46" s="202" t="s">
        <v>4512</v>
      </c>
      <c r="C46" s="204">
        <f>AVERAGE(C36:C45)</f>
        <v>5.4493021704153461</v>
      </c>
    </row>
  </sheetData>
  <pageMargins left="0.7" right="0.7" top="0.75" bottom="0.75" header="0.3" footer="0.3"/>
  <pageSetup orientation="portrait" horizontalDpi="4294967295" verticalDpi="4294967295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1"/>
  <sheetViews>
    <sheetView showGridLines="0" topLeftCell="A12" zoomScale="150" workbookViewId="0">
      <selection activeCell="B23" sqref="B23:G31"/>
    </sheetView>
  </sheetViews>
  <sheetFormatPr baseColWidth="10" defaultRowHeight="16" x14ac:dyDescent="0.2"/>
  <cols>
    <col min="2" max="2" width="20" customWidth="1"/>
    <col min="3" max="7" width="15" customWidth="1"/>
  </cols>
  <sheetData>
    <row r="2" spans="2:7" x14ac:dyDescent="0.2">
      <c r="B2" s="406" t="s">
        <v>4279</v>
      </c>
      <c r="C2" s="406"/>
      <c r="D2" s="406"/>
      <c r="E2" s="406"/>
      <c r="F2" s="406"/>
      <c r="G2" s="406"/>
    </row>
    <row r="4" spans="2:7" x14ac:dyDescent="0.2">
      <c r="C4" s="55">
        <v>2018</v>
      </c>
      <c r="D4" s="55">
        <v>2019</v>
      </c>
      <c r="E4" s="55">
        <v>2020</v>
      </c>
      <c r="F4" s="55">
        <v>2021</v>
      </c>
      <c r="G4" s="55">
        <v>2022</v>
      </c>
    </row>
    <row r="5" spans="2:7" x14ac:dyDescent="0.2">
      <c r="B5" s="132" t="s">
        <v>4184</v>
      </c>
      <c r="C5" s="89">
        <f>+Presupuestos!C15</f>
        <v>291586.66666666669</v>
      </c>
      <c r="D5" s="89">
        <f>+Presupuestos!D15</f>
        <v>306933.33333333337</v>
      </c>
      <c r="E5" s="89">
        <f>+Presupuestos!E15</f>
        <v>322280</v>
      </c>
      <c r="F5" s="89">
        <f>+Presupuestos!F15</f>
        <v>337626.66666666669</v>
      </c>
      <c r="G5" s="89">
        <f>+Presupuestos!G15</f>
        <v>337626.66666666669</v>
      </c>
    </row>
    <row r="6" spans="2:7" x14ac:dyDescent="0.2">
      <c r="B6" s="132" t="s">
        <v>4217</v>
      </c>
      <c r="C6" s="89">
        <f>+Presupuestos!C22</f>
        <v>80514</v>
      </c>
      <c r="D6" s="89">
        <f>+Presupuestos!D22</f>
        <v>84294</v>
      </c>
      <c r="E6" s="89">
        <f>+Presupuestos!E22</f>
        <v>88074</v>
      </c>
      <c r="F6" s="89">
        <f>+Presupuestos!F22</f>
        <v>91854</v>
      </c>
      <c r="G6" s="89">
        <f>+Presupuestos!G22</f>
        <v>91854</v>
      </c>
    </row>
    <row r="7" spans="2:7" x14ac:dyDescent="0.2">
      <c r="B7" s="132" t="s">
        <v>4280</v>
      </c>
      <c r="C7" s="89">
        <f>+Presupuestos!C38</f>
        <v>280053.33333333337</v>
      </c>
      <c r="D7" s="89">
        <f>+Presupuestos!D38</f>
        <v>282409.33333333337</v>
      </c>
      <c r="E7" s="89">
        <f>+Presupuestos!E38</f>
        <v>284765.33333333337</v>
      </c>
      <c r="F7" s="89">
        <f>+Presupuestos!F38</f>
        <v>287121.33333333337</v>
      </c>
      <c r="G7" s="89">
        <f>+Presupuestos!G38</f>
        <v>287121.33333333337</v>
      </c>
    </row>
    <row r="8" spans="2:7" x14ac:dyDescent="0.2">
      <c r="B8" s="132" t="s">
        <v>4246</v>
      </c>
      <c r="C8" s="89">
        <f>+Presupuestos!C72-Presupuestos!C69</f>
        <v>282762.66666666669</v>
      </c>
      <c r="D8" s="89">
        <f>+Presupuestos!D72-Presupuestos!D69</f>
        <v>282426.66666666669</v>
      </c>
      <c r="E8" s="89">
        <f>+Presupuestos!E72-Presupuestos!E69</f>
        <v>282666.66666666669</v>
      </c>
      <c r="F8" s="89">
        <f>+Presupuestos!F72-Presupuestos!F69</f>
        <v>282906.66666666669</v>
      </c>
      <c r="G8" s="89">
        <f>+Presupuestos!G72-Presupuestos!G69</f>
        <v>282906.66666666669</v>
      </c>
    </row>
    <row r="9" spans="2:7" x14ac:dyDescent="0.2">
      <c r="B9" s="132" t="s">
        <v>4229</v>
      </c>
      <c r="C9" s="89">
        <f>+Presupuestos!C79</f>
        <v>177500</v>
      </c>
      <c r="D9" s="89">
        <f>+Presupuestos!D79</f>
        <v>126000</v>
      </c>
      <c r="E9" s="89">
        <f>+Presupuestos!E79</f>
        <v>126000</v>
      </c>
      <c r="F9" s="89">
        <f>+Presupuestos!F79</f>
        <v>126000</v>
      </c>
      <c r="G9" s="89">
        <f>+Presupuestos!G79</f>
        <v>126000</v>
      </c>
    </row>
    <row r="10" spans="2:7" x14ac:dyDescent="0.2">
      <c r="B10" s="132" t="s">
        <v>4221</v>
      </c>
      <c r="C10" s="89">
        <f>+Presupuestos!C84</f>
        <v>77612.757839061785</v>
      </c>
      <c r="D10" s="89">
        <f>+Presupuestos!D84</f>
        <v>63695.902478773256</v>
      </c>
      <c r="E10" s="89">
        <f>+Presupuestos!E84</f>
        <v>48145.208299186837</v>
      </c>
      <c r="F10" s="89">
        <f>+Presupuestos!F84</f>
        <v>30768.86262291696</v>
      </c>
      <c r="G10" s="89">
        <f>+Presupuestos!G84</f>
        <v>11352.533964252991</v>
      </c>
    </row>
    <row r="11" spans="2:7" x14ac:dyDescent="0.2">
      <c r="B11" s="132" t="s">
        <v>4232</v>
      </c>
      <c r="C11" s="89">
        <f>+Presupuestos!C93</f>
        <v>98308.128500000006</v>
      </c>
      <c r="D11" s="89">
        <f>+Presupuestos!D93</f>
        <v>99608.128500000006</v>
      </c>
      <c r="E11" s="89">
        <f>+Presupuestos!E93</f>
        <v>100908.12850000001</v>
      </c>
      <c r="F11" s="89">
        <f>+Presupuestos!F93</f>
        <v>102208.12850000001</v>
      </c>
      <c r="G11" s="89">
        <f>+Presupuestos!G93</f>
        <v>100187.97850000001</v>
      </c>
    </row>
    <row r="12" spans="2:7" x14ac:dyDescent="0.2">
      <c r="B12" s="132" t="s">
        <v>3545</v>
      </c>
      <c r="C12" s="123">
        <f>SUM(C5:C11)</f>
        <v>1288337.5530057286</v>
      </c>
      <c r="D12" s="123">
        <f t="shared" ref="D12:G12" si="0">SUM(D5:D11)</f>
        <v>1245367.3643121067</v>
      </c>
      <c r="E12" s="123">
        <f t="shared" si="0"/>
        <v>1252839.3367991869</v>
      </c>
      <c r="F12" s="123">
        <f t="shared" si="0"/>
        <v>1258485.6577895838</v>
      </c>
      <c r="G12" s="123">
        <f t="shared" si="0"/>
        <v>1237049.1791309197</v>
      </c>
    </row>
    <row r="15" spans="2:7" x14ac:dyDescent="0.2">
      <c r="B15" s="406" t="s">
        <v>4281</v>
      </c>
      <c r="C15" s="406"/>
      <c r="D15" s="406"/>
      <c r="E15" s="406"/>
      <c r="F15" s="406"/>
      <c r="G15" s="406"/>
    </row>
    <row r="17" spans="2:7" x14ac:dyDescent="0.2">
      <c r="C17" s="55">
        <v>2018</v>
      </c>
      <c r="D17" s="55">
        <v>2019</v>
      </c>
      <c r="E17" s="55">
        <v>2020</v>
      </c>
      <c r="F17" s="55">
        <v>2021</v>
      </c>
      <c r="G17" s="55">
        <v>2022</v>
      </c>
    </row>
    <row r="18" spans="2:7" x14ac:dyDescent="0.2">
      <c r="B18" s="132" t="s">
        <v>4282</v>
      </c>
      <c r="C18" s="123">
        <f>+Presupuestos!C48</f>
        <v>9610496.4000000004</v>
      </c>
      <c r="D18" s="123">
        <f>+Presupuestos!D48</f>
        <v>10167251.700000001</v>
      </c>
      <c r="E18" s="123">
        <f>+Presupuestos!E48</f>
        <v>10755363.300000001</v>
      </c>
      <c r="F18" s="123">
        <f>+Presupuestos!F48</f>
        <v>11375974.200000001</v>
      </c>
      <c r="G18" s="123">
        <f>+Presupuestos!G48</f>
        <v>11460026.875918953</v>
      </c>
    </row>
    <row r="21" spans="2:7" x14ac:dyDescent="0.2">
      <c r="B21" s="406" t="s">
        <v>4283</v>
      </c>
      <c r="C21" s="406"/>
      <c r="D21" s="406"/>
      <c r="E21" s="406"/>
      <c r="F21" s="406"/>
      <c r="G21" s="406"/>
    </row>
    <row r="23" spans="2:7" x14ac:dyDescent="0.2">
      <c r="C23" s="55">
        <v>2018</v>
      </c>
      <c r="D23" s="55">
        <v>2019</v>
      </c>
      <c r="E23" s="55">
        <v>2020</v>
      </c>
      <c r="F23" s="55">
        <v>2021</v>
      </c>
      <c r="G23" s="55">
        <v>2022</v>
      </c>
    </row>
    <row r="24" spans="2:7" x14ac:dyDescent="0.2">
      <c r="B24" s="55" t="s">
        <v>4162</v>
      </c>
      <c r="C24" s="2">
        <f>+Presupuestos!C5</f>
        <v>252244</v>
      </c>
      <c r="D24" s="2">
        <f>+Presupuestos!D5</f>
        <v>266857</v>
      </c>
      <c r="E24" s="2">
        <f>+Presupuestos!E5</f>
        <v>282293</v>
      </c>
      <c r="F24" s="2">
        <f>+Presupuestos!F5</f>
        <v>298582</v>
      </c>
      <c r="G24" s="2">
        <f>+Presupuestos!G5</f>
        <v>300788.10697950004</v>
      </c>
    </row>
    <row r="25" spans="2:7" x14ac:dyDescent="0.2">
      <c r="B25" s="132" t="s">
        <v>4284</v>
      </c>
      <c r="C25" s="89">
        <f>+C18</f>
        <v>9610496.4000000004</v>
      </c>
      <c r="D25" s="89">
        <f t="shared" ref="D25:G25" si="1">+D18</f>
        <v>10167251.700000001</v>
      </c>
      <c r="E25" s="89">
        <f t="shared" si="1"/>
        <v>10755363.300000001</v>
      </c>
      <c r="F25" s="89">
        <f t="shared" si="1"/>
        <v>11375974.200000001</v>
      </c>
      <c r="G25" s="89">
        <f t="shared" si="1"/>
        <v>11460026.875918953</v>
      </c>
    </row>
    <row r="26" spans="2:7" x14ac:dyDescent="0.2">
      <c r="B26" s="132" t="s">
        <v>4285</v>
      </c>
      <c r="C26" s="89">
        <f>+C12</f>
        <v>1288337.5530057286</v>
      </c>
      <c r="D26" s="89">
        <f t="shared" ref="D26:G26" si="2">+D12</f>
        <v>1245367.3643121067</v>
      </c>
      <c r="E26" s="89">
        <f t="shared" si="2"/>
        <v>1252839.3367991869</v>
      </c>
      <c r="F26" s="89">
        <f t="shared" si="2"/>
        <v>1258485.6577895838</v>
      </c>
      <c r="G26" s="89">
        <f t="shared" si="2"/>
        <v>1237049.1791309197</v>
      </c>
    </row>
    <row r="27" spans="2:7" x14ac:dyDescent="0.2">
      <c r="B27" s="132" t="s">
        <v>3940</v>
      </c>
      <c r="C27" s="89">
        <v>44</v>
      </c>
      <c r="D27" s="89">
        <v>44</v>
      </c>
      <c r="E27" s="89">
        <v>44</v>
      </c>
      <c r="F27" s="89">
        <v>44</v>
      </c>
      <c r="G27" s="89">
        <v>44</v>
      </c>
    </row>
    <row r="28" spans="2:7" x14ac:dyDescent="0.2">
      <c r="B28" s="132" t="s">
        <v>4286</v>
      </c>
      <c r="C28" s="89">
        <f>+C25/C24</f>
        <v>38.1</v>
      </c>
      <c r="D28" s="89">
        <f t="shared" ref="D28:G28" si="3">+D25/D24</f>
        <v>38.1</v>
      </c>
      <c r="E28" s="89">
        <f t="shared" si="3"/>
        <v>38.1</v>
      </c>
      <c r="F28" s="89">
        <f t="shared" si="3"/>
        <v>38.1</v>
      </c>
      <c r="G28" s="89">
        <f t="shared" si="3"/>
        <v>38.1</v>
      </c>
    </row>
    <row r="29" spans="2:7" x14ac:dyDescent="0.2">
      <c r="B29" s="132" t="s">
        <v>4347</v>
      </c>
      <c r="C29" s="89">
        <f>+C27-C28</f>
        <v>5.8999999999999986</v>
      </c>
      <c r="D29" s="89">
        <f t="shared" ref="D29:G29" si="4">+D27-D28</f>
        <v>5.8999999999999986</v>
      </c>
      <c r="E29" s="89">
        <f t="shared" si="4"/>
        <v>5.8999999999999986</v>
      </c>
      <c r="F29" s="89">
        <f t="shared" si="4"/>
        <v>5.8999999999999986</v>
      </c>
      <c r="G29" s="89">
        <f t="shared" si="4"/>
        <v>5.8999999999999986</v>
      </c>
    </row>
    <row r="30" spans="2:7" x14ac:dyDescent="0.2">
      <c r="B30" s="132" t="s">
        <v>4288</v>
      </c>
      <c r="C30" s="177">
        <f>ROUNDUP(C26/C29,0)</f>
        <v>218363</v>
      </c>
      <c r="D30" s="177">
        <f t="shared" ref="D30:G30" si="5">ROUNDUP(D26/D29,0)</f>
        <v>211080</v>
      </c>
      <c r="E30" s="177">
        <f t="shared" si="5"/>
        <v>212346</v>
      </c>
      <c r="F30" s="177">
        <f t="shared" si="5"/>
        <v>213303</v>
      </c>
      <c r="G30" s="177">
        <f t="shared" si="5"/>
        <v>209670</v>
      </c>
    </row>
    <row r="31" spans="2:7" x14ac:dyDescent="0.2">
      <c r="B31" s="132" t="s">
        <v>4287</v>
      </c>
      <c r="C31" s="123">
        <f>+C30*C27</f>
        <v>9607972</v>
      </c>
      <c r="D31" s="123">
        <f t="shared" ref="D31:G31" si="6">+D30*D27</f>
        <v>9287520</v>
      </c>
      <c r="E31" s="123">
        <f t="shared" si="6"/>
        <v>9343224</v>
      </c>
      <c r="F31" s="123">
        <f t="shared" si="6"/>
        <v>9385332</v>
      </c>
      <c r="G31" s="123">
        <f t="shared" si="6"/>
        <v>9225480</v>
      </c>
    </row>
  </sheetData>
  <mergeCells count="3">
    <mergeCell ref="B2:G2"/>
    <mergeCell ref="B15:G15"/>
    <mergeCell ref="B21:G2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46"/>
  <sheetViews>
    <sheetView showGridLines="0" topLeftCell="A15" workbookViewId="0">
      <selection activeCell="A37" sqref="A37:XFD37"/>
    </sheetView>
  </sheetViews>
  <sheetFormatPr baseColWidth="10" defaultRowHeight="16" x14ac:dyDescent="0.2"/>
  <cols>
    <col min="2" max="2" width="30" customWidth="1"/>
    <col min="3" max="8" width="13.33203125" customWidth="1"/>
    <col min="10" max="14" width="11.5" bestFit="1" customWidth="1"/>
  </cols>
  <sheetData>
    <row r="2" spans="2:8" x14ac:dyDescent="0.2">
      <c r="B2" s="406" t="s">
        <v>4257</v>
      </c>
      <c r="C2" s="406"/>
      <c r="D2" s="406"/>
      <c r="E2" s="406"/>
      <c r="F2" s="406"/>
      <c r="G2" s="406"/>
      <c r="H2" s="406"/>
    </row>
    <row r="4" spans="2:8" x14ac:dyDescent="0.2">
      <c r="C4" s="55">
        <v>2017</v>
      </c>
      <c r="D4" s="55">
        <v>2018</v>
      </c>
      <c r="E4" s="55">
        <v>2019</v>
      </c>
      <c r="F4" s="55">
        <v>2020</v>
      </c>
      <c r="G4" s="55">
        <v>2021</v>
      </c>
      <c r="H4" s="55">
        <v>2022</v>
      </c>
    </row>
    <row r="5" spans="2:8" x14ac:dyDescent="0.2">
      <c r="B5" s="59"/>
      <c r="C5" s="408" t="s">
        <v>4260</v>
      </c>
      <c r="D5" s="408"/>
      <c r="E5" s="408"/>
      <c r="F5" s="408"/>
      <c r="G5" s="408"/>
      <c r="H5" s="409"/>
    </row>
    <row r="6" spans="2:8" x14ac:dyDescent="0.2">
      <c r="B6" s="55" t="s">
        <v>4258</v>
      </c>
      <c r="C6" s="156">
        <v>0</v>
      </c>
      <c r="D6" s="156">
        <v>0</v>
      </c>
      <c r="E6" s="156">
        <v>0</v>
      </c>
      <c r="F6" s="156">
        <v>0</v>
      </c>
      <c r="G6" s="156">
        <v>0</v>
      </c>
      <c r="H6" s="156">
        <v>0</v>
      </c>
    </row>
    <row r="7" spans="2:8" x14ac:dyDescent="0.2">
      <c r="B7" s="59"/>
      <c r="C7" s="410" t="s">
        <v>4259</v>
      </c>
      <c r="D7" s="410"/>
      <c r="E7" s="410"/>
      <c r="F7" s="410"/>
      <c r="G7" s="410"/>
      <c r="H7" s="410"/>
    </row>
    <row r="8" spans="2:8" x14ac:dyDescent="0.2">
      <c r="B8" s="55" t="s">
        <v>4268</v>
      </c>
      <c r="C8" s="388"/>
      <c r="D8" s="388"/>
      <c r="E8" s="388"/>
      <c r="F8" s="388"/>
      <c r="G8" s="388"/>
      <c r="H8" s="388"/>
    </row>
    <row r="9" spans="2:8" x14ac:dyDescent="0.2">
      <c r="B9" s="55" t="s">
        <v>4261</v>
      </c>
      <c r="C9" s="156">
        <v>0</v>
      </c>
      <c r="D9" s="156">
        <v>0</v>
      </c>
      <c r="E9" s="156">
        <v>0</v>
      </c>
      <c r="F9" s="156">
        <v>0</v>
      </c>
      <c r="G9" s="156">
        <v>0</v>
      </c>
      <c r="H9" s="156">
        <v>0</v>
      </c>
    </row>
    <row r="10" spans="2:8" x14ac:dyDescent="0.2">
      <c r="B10" s="55" t="s">
        <v>4262</v>
      </c>
      <c r="C10" s="156">
        <v>0</v>
      </c>
      <c r="D10" s="156">
        <v>0</v>
      </c>
      <c r="E10" s="156">
        <v>0</v>
      </c>
      <c r="F10" s="156">
        <v>0</v>
      </c>
      <c r="G10" s="156">
        <v>0</v>
      </c>
      <c r="H10" s="156">
        <v>0</v>
      </c>
    </row>
    <row r="11" spans="2:8" x14ac:dyDescent="0.2">
      <c r="B11" s="55" t="s">
        <v>4128</v>
      </c>
      <c r="C11" s="156">
        <v>0</v>
      </c>
      <c r="D11" s="156">
        <v>0</v>
      </c>
      <c r="E11" s="156">
        <v>0</v>
      </c>
      <c r="F11" s="156">
        <v>0</v>
      </c>
      <c r="G11" s="156">
        <v>0</v>
      </c>
      <c r="H11" s="156">
        <v>0</v>
      </c>
    </row>
    <row r="12" spans="2:8" x14ac:dyDescent="0.2">
      <c r="B12" s="55" t="s">
        <v>4269</v>
      </c>
      <c r="C12" s="388"/>
      <c r="D12" s="388"/>
      <c r="E12" s="388"/>
      <c r="F12" s="388"/>
      <c r="G12" s="388"/>
      <c r="H12" s="388"/>
    </row>
    <row r="13" spans="2:8" x14ac:dyDescent="0.2">
      <c r="B13" s="55" t="s">
        <v>4226</v>
      </c>
      <c r="C13" s="156">
        <v>0</v>
      </c>
      <c r="D13" s="89">
        <f>+Presupuestos!C59</f>
        <v>0</v>
      </c>
      <c r="E13" s="89">
        <f>+Presupuestos!D59</f>
        <v>0</v>
      </c>
      <c r="F13" s="89">
        <f>+Presupuestos!E59</f>
        <v>0</v>
      </c>
      <c r="G13" s="89">
        <f>+Presupuestos!F59</f>
        <v>0</v>
      </c>
      <c r="H13" s="89">
        <f>+Presupuestos!G59</f>
        <v>0</v>
      </c>
    </row>
    <row r="14" spans="2:8" x14ac:dyDescent="0.2">
      <c r="B14" s="55" t="s">
        <v>4228</v>
      </c>
      <c r="C14" s="156">
        <v>0</v>
      </c>
      <c r="D14" s="89">
        <f>+Presupuestos!C71</f>
        <v>0</v>
      </c>
      <c r="E14" s="89">
        <f>+Presupuestos!D71</f>
        <v>0</v>
      </c>
      <c r="F14" s="89">
        <f>+Presupuestos!E71</f>
        <v>0</v>
      </c>
      <c r="G14" s="89">
        <f>+Presupuestos!F71</f>
        <v>0</v>
      </c>
      <c r="H14" s="89">
        <f>+Presupuestos!G71</f>
        <v>0</v>
      </c>
    </row>
    <row r="15" spans="2:8" x14ac:dyDescent="0.2">
      <c r="B15" s="55" t="s">
        <v>4231</v>
      </c>
      <c r="C15" s="156">
        <v>0</v>
      </c>
      <c r="D15" s="89">
        <f>+Presupuestos!C78</f>
        <v>0</v>
      </c>
      <c r="E15" s="89">
        <f>+Presupuestos!D78</f>
        <v>0</v>
      </c>
      <c r="F15" s="89">
        <f>+Presupuestos!E78</f>
        <v>0</v>
      </c>
      <c r="G15" s="89">
        <f>+Presupuestos!F78</f>
        <v>0</v>
      </c>
      <c r="H15" s="89">
        <f>+Presupuestos!G78</f>
        <v>0</v>
      </c>
    </row>
    <row r="16" spans="2:8" x14ac:dyDescent="0.2">
      <c r="B16" s="55" t="s">
        <v>4263</v>
      </c>
      <c r="C16" s="89">
        <f>SUM(C9:C15)</f>
        <v>0</v>
      </c>
      <c r="D16" s="89">
        <f t="shared" ref="D16:H16" si="0">SUM(D9:D15)</f>
        <v>0</v>
      </c>
      <c r="E16" s="89">
        <f t="shared" si="0"/>
        <v>0</v>
      </c>
      <c r="F16" s="89">
        <f t="shared" si="0"/>
        <v>0</v>
      </c>
      <c r="G16" s="89">
        <f t="shared" si="0"/>
        <v>0</v>
      </c>
      <c r="H16" s="89">
        <f t="shared" si="0"/>
        <v>0</v>
      </c>
    </row>
    <row r="19" spans="2:8" x14ac:dyDescent="0.2">
      <c r="B19" s="406" t="s">
        <v>4265</v>
      </c>
      <c r="C19" s="406"/>
      <c r="D19" s="406"/>
      <c r="E19" s="406"/>
      <c r="F19" s="406"/>
      <c r="G19" s="406"/>
      <c r="H19" s="406"/>
    </row>
    <row r="21" spans="2:8" x14ac:dyDescent="0.2">
      <c r="C21" s="55">
        <v>2017</v>
      </c>
      <c r="D21" s="55">
        <v>2018</v>
      </c>
      <c r="E21" s="55">
        <v>2019</v>
      </c>
      <c r="F21" s="55">
        <v>2020</v>
      </c>
      <c r="G21" s="55">
        <v>2021</v>
      </c>
      <c r="H21" s="55">
        <v>2022</v>
      </c>
    </row>
    <row r="22" spans="2:8" x14ac:dyDescent="0.2">
      <c r="B22" s="59"/>
      <c r="C22" s="408" t="s">
        <v>4070</v>
      </c>
      <c r="D22" s="408"/>
      <c r="E22" s="408"/>
      <c r="F22" s="408"/>
      <c r="G22" s="408"/>
      <c r="H22" s="409"/>
    </row>
    <row r="23" spans="2:8" x14ac:dyDescent="0.2">
      <c r="B23" s="55" t="s">
        <v>4289</v>
      </c>
      <c r="C23" s="275">
        <v>0</v>
      </c>
      <c r="D23" s="268">
        <f>+Presupuestos!C7</f>
        <v>11224858</v>
      </c>
      <c r="E23" s="268">
        <f>+Presupuestos!D7</f>
        <v>11875136.5</v>
      </c>
      <c r="F23" s="268">
        <f>+Presupuestos!E7</f>
        <v>12562038.5</v>
      </c>
      <c r="G23" s="268">
        <f>+Presupuestos!F7</f>
        <v>13286899</v>
      </c>
      <c r="H23" s="268">
        <f>+Presupuestos!G7</f>
        <v>13385070.760587752</v>
      </c>
    </row>
    <row r="24" spans="2:8" x14ac:dyDescent="0.2">
      <c r="B24" s="55" t="s">
        <v>4266</v>
      </c>
      <c r="C24" s="275">
        <v>0</v>
      </c>
      <c r="D24" s="275">
        <v>0</v>
      </c>
      <c r="E24" s="275">
        <v>0</v>
      </c>
      <c r="F24" s="275">
        <v>0</v>
      </c>
      <c r="G24" s="275">
        <v>0</v>
      </c>
      <c r="H24" s="275">
        <f>+Presupuestos!H93</f>
        <v>261039.67749999999</v>
      </c>
    </row>
    <row r="25" spans="2:8" x14ac:dyDescent="0.2">
      <c r="B25" s="55" t="s">
        <v>4264</v>
      </c>
      <c r="C25" s="275">
        <v>0</v>
      </c>
      <c r="D25" s="268">
        <f>+D24+D23</f>
        <v>11224858</v>
      </c>
      <c r="E25" s="268">
        <f t="shared" ref="E25:H25" si="1">+E24+E23</f>
        <v>11875136.5</v>
      </c>
      <c r="F25" s="268">
        <f t="shared" si="1"/>
        <v>12562038.5</v>
      </c>
      <c r="G25" s="268">
        <f t="shared" si="1"/>
        <v>13286899</v>
      </c>
      <c r="H25" s="268">
        <f t="shared" si="1"/>
        <v>13646110.438087752</v>
      </c>
    </row>
    <row r="26" spans="2:8" x14ac:dyDescent="0.2">
      <c r="B26" s="59"/>
      <c r="C26" s="407" t="s">
        <v>4097</v>
      </c>
      <c r="D26" s="407"/>
      <c r="E26" s="407"/>
      <c r="F26" s="407"/>
      <c r="G26" s="407"/>
      <c r="H26" s="407"/>
    </row>
    <row r="27" spans="2:8" x14ac:dyDescent="0.2">
      <c r="B27" s="55" t="s">
        <v>4268</v>
      </c>
      <c r="C27" s="411"/>
      <c r="D27" s="411"/>
      <c r="E27" s="411"/>
      <c r="F27" s="411"/>
      <c r="G27" s="411"/>
      <c r="H27" s="411"/>
    </row>
    <row r="28" spans="2:8" x14ac:dyDescent="0.2">
      <c r="B28" s="55" t="s">
        <v>4261</v>
      </c>
      <c r="C28" s="268">
        <f>+'Inversión total'!E3</f>
        <v>749199.57000000007</v>
      </c>
      <c r="D28" s="268">
        <v>6500</v>
      </c>
      <c r="E28" s="268">
        <v>6500</v>
      </c>
      <c r="F28" s="268">
        <v>6500</v>
      </c>
      <c r="G28" s="268">
        <v>6500</v>
      </c>
      <c r="H28" s="268">
        <v>0</v>
      </c>
    </row>
    <row r="29" spans="2:8" x14ac:dyDescent="0.2">
      <c r="B29" s="55" t="s">
        <v>4262</v>
      </c>
      <c r="C29" s="268">
        <f>+'Inversión total'!E4</f>
        <v>35046</v>
      </c>
      <c r="D29" s="275">
        <v>0</v>
      </c>
      <c r="E29" s="275">
        <v>0</v>
      </c>
      <c r="F29" s="275">
        <v>0</v>
      </c>
      <c r="G29" s="275">
        <v>0</v>
      </c>
      <c r="H29" s="275">
        <v>0</v>
      </c>
    </row>
    <row r="30" spans="2:8" x14ac:dyDescent="0.2">
      <c r="B30" s="55" t="s">
        <v>4128</v>
      </c>
      <c r="C30" s="268">
        <f>+'Inversión total'!E5</f>
        <v>190966.72500000001</v>
      </c>
      <c r="D30" s="275">
        <v>0</v>
      </c>
      <c r="E30" s="275">
        <v>0</v>
      </c>
      <c r="F30" s="275">
        <v>0</v>
      </c>
      <c r="G30" s="275">
        <v>0</v>
      </c>
      <c r="H30" s="275">
        <v>0</v>
      </c>
    </row>
    <row r="31" spans="2:8" x14ac:dyDescent="0.2">
      <c r="B31" s="55" t="s">
        <v>4129</v>
      </c>
      <c r="C31" s="268">
        <f>+'Inversión total'!E6</f>
        <v>37459.978500000005</v>
      </c>
      <c r="D31" s="275">
        <v>0</v>
      </c>
      <c r="E31" s="275">
        <v>0</v>
      </c>
      <c r="F31" s="275">
        <v>0</v>
      </c>
      <c r="G31" s="275">
        <v>0</v>
      </c>
      <c r="H31" s="275">
        <v>0</v>
      </c>
    </row>
    <row r="32" spans="2:8" x14ac:dyDescent="0.2">
      <c r="B32" s="55" t="s">
        <v>4269</v>
      </c>
      <c r="C32" s="411"/>
      <c r="D32" s="411"/>
      <c r="E32" s="411"/>
      <c r="F32" s="411"/>
      <c r="G32" s="411"/>
      <c r="H32" s="411"/>
    </row>
    <row r="33" spans="2:14" x14ac:dyDescent="0.2">
      <c r="B33" s="161" t="s">
        <v>4226</v>
      </c>
      <c r="C33" s="275">
        <v>0</v>
      </c>
      <c r="D33" s="268">
        <f>+Presupuestos!C60-Presupuestos!C57</f>
        <v>10262650.4</v>
      </c>
      <c r="E33" s="268">
        <f>+Presupuestos!D60-Presupuestos!D57</f>
        <v>10840888.366666667</v>
      </c>
      <c r="F33" s="268">
        <f>+Presupuestos!E60-Presupuestos!E57</f>
        <v>11450482.633333335</v>
      </c>
      <c r="G33" s="268">
        <f>+Presupuestos!F60-Presupuestos!F57</f>
        <v>12092576.200000001</v>
      </c>
      <c r="H33" s="268">
        <f>+Presupuestos!G60-Presupuestos!G57</f>
        <v>12176628.875918953</v>
      </c>
    </row>
    <row r="34" spans="2:14" x14ac:dyDescent="0.2">
      <c r="B34" s="161" t="s">
        <v>4228</v>
      </c>
      <c r="C34" s="275">
        <v>0</v>
      </c>
      <c r="D34" s="268">
        <f>+Presupuestos!C72-Presupuestos!C69</f>
        <v>282762.66666666669</v>
      </c>
      <c r="E34" s="268">
        <f>+Presupuestos!D72-Presupuestos!D69</f>
        <v>282426.66666666669</v>
      </c>
      <c r="F34" s="268">
        <f>+Presupuestos!E72-Presupuestos!E69</f>
        <v>282666.66666666669</v>
      </c>
      <c r="G34" s="268">
        <f>+Presupuestos!F72-Presupuestos!F69</f>
        <v>282906.66666666669</v>
      </c>
      <c r="H34" s="268">
        <f>+Presupuestos!G72-Presupuestos!G69</f>
        <v>282906.66666666669</v>
      </c>
    </row>
    <row r="35" spans="2:14" x14ac:dyDescent="0.2">
      <c r="B35" s="161" t="s">
        <v>4231</v>
      </c>
      <c r="C35" s="275">
        <v>0</v>
      </c>
      <c r="D35" s="268">
        <f>+Presupuestos!C79</f>
        <v>177500</v>
      </c>
      <c r="E35" s="268">
        <f>+Presupuestos!D79</f>
        <v>126000</v>
      </c>
      <c r="F35" s="268">
        <f>+Presupuestos!E79</f>
        <v>126000</v>
      </c>
      <c r="G35" s="268">
        <f>+Presupuestos!F79</f>
        <v>126000</v>
      </c>
      <c r="H35" s="268">
        <f>+Presupuestos!G79</f>
        <v>126000</v>
      </c>
    </row>
    <row r="36" spans="2:14" x14ac:dyDescent="0.2">
      <c r="B36" s="162" t="s">
        <v>4270</v>
      </c>
      <c r="C36" s="275">
        <v>0</v>
      </c>
      <c r="D36" s="268">
        <f>'Estado de resultados'!C14+'Flujo de caja'!D44</f>
        <v>119072.85742583309</v>
      </c>
      <c r="E36" s="268">
        <f>'Estado de resultados'!D14+'Flujo de caja'!E44</f>
        <v>155232.93475916638</v>
      </c>
      <c r="F36" s="268">
        <f>'Estado de resultados'!E14+'Flujo de caja'!F44</f>
        <v>177584.41609249948</v>
      </c>
      <c r="G36" s="268">
        <f>'Estado de resultados'!F14+'Flujo de caja'!G44</f>
        <v>201546.3614258329</v>
      </c>
      <c r="H36" s="268">
        <f>'Estado de resultados'!G14+'Flujo de caja'!H44</f>
        <v>206307.43565312892</v>
      </c>
    </row>
    <row r="37" spans="2:14" x14ac:dyDescent="0.2">
      <c r="B37" s="55" t="s">
        <v>4271</v>
      </c>
      <c r="C37" s="268">
        <f>SUM(C33:C36,C28:C31)</f>
        <v>1012672.2735</v>
      </c>
      <c r="D37" s="268">
        <f>SUM(D33:D36,D28:D31)</f>
        <v>10848485.9240925</v>
      </c>
      <c r="E37" s="268">
        <f t="shared" ref="E37:H37" si="2">SUM(E33:E36,E28:E31)</f>
        <v>11411047.968092499</v>
      </c>
      <c r="F37" s="268">
        <f t="shared" si="2"/>
        <v>12043233.716092501</v>
      </c>
      <c r="G37" s="268">
        <f t="shared" si="2"/>
        <v>12709529.228092501</v>
      </c>
      <c r="H37" s="268">
        <f t="shared" si="2"/>
        <v>12791842.978238748</v>
      </c>
    </row>
    <row r="38" spans="2:14" x14ac:dyDescent="0.2">
      <c r="B38" s="163" t="s">
        <v>4272</v>
      </c>
      <c r="C38" s="269">
        <f>+C25-C37</f>
        <v>-1012672.2735</v>
      </c>
      <c r="D38" s="269">
        <f>+D25-D37</f>
        <v>376372.07590750046</v>
      </c>
      <c r="E38" s="269">
        <f t="shared" ref="E38:H38" si="3">+E25-E37</f>
        <v>464088.5319075007</v>
      </c>
      <c r="F38" s="269">
        <f t="shared" si="3"/>
        <v>518804.78390749916</v>
      </c>
      <c r="G38" s="269">
        <f t="shared" si="3"/>
        <v>577369.77190749906</v>
      </c>
      <c r="H38" s="269">
        <f t="shared" si="3"/>
        <v>854267.4598490037</v>
      </c>
      <c r="J38" s="164">
        <f>+D38/12</f>
        <v>31364.339658958372</v>
      </c>
      <c r="K38" s="164">
        <f t="shared" ref="K38:N38" si="4">+E38/12</f>
        <v>38674.044325625058</v>
      </c>
      <c r="L38" s="164">
        <f t="shared" si="4"/>
        <v>43233.731992291599</v>
      </c>
      <c r="M38" s="164">
        <f t="shared" si="4"/>
        <v>48114.147658958253</v>
      </c>
      <c r="N38" s="164">
        <f t="shared" si="4"/>
        <v>71188.954987416975</v>
      </c>
    </row>
    <row r="39" spans="2:14" x14ac:dyDescent="0.2">
      <c r="B39" s="59"/>
      <c r="C39" s="407" t="s">
        <v>4132</v>
      </c>
      <c r="D39" s="407"/>
      <c r="E39" s="407"/>
      <c r="F39" s="407"/>
      <c r="G39" s="407"/>
      <c r="H39" s="407"/>
    </row>
    <row r="40" spans="2:14" x14ac:dyDescent="0.2">
      <c r="B40" s="42" t="s">
        <v>4273</v>
      </c>
      <c r="C40" s="268">
        <f>+'Inversión total'!F17</f>
        <v>749199.57000000007</v>
      </c>
      <c r="D40" s="275">
        <v>0</v>
      </c>
      <c r="E40" s="275">
        <v>0</v>
      </c>
      <c r="F40" s="275">
        <v>0</v>
      </c>
      <c r="G40" s="275">
        <v>0</v>
      </c>
      <c r="H40" s="275">
        <v>0</v>
      </c>
    </row>
    <row r="41" spans="2:14" x14ac:dyDescent="0.2">
      <c r="B41" s="42" t="s">
        <v>4274</v>
      </c>
      <c r="C41" s="275">
        <v>0</v>
      </c>
      <c r="D41" s="268">
        <f>+'Alternativas de financiamiento'!T28</f>
        <v>118542.20920177558</v>
      </c>
      <c r="E41" s="268">
        <f>+'Alternativas de financiamiento'!U28</f>
        <v>132459.0645620641</v>
      </c>
      <c r="F41" s="268">
        <f>+'Alternativas de financiamiento'!V28</f>
        <v>148009.75874165053</v>
      </c>
      <c r="G41" s="268">
        <f>+'Alternativas de financiamiento'!W28</f>
        <v>165386.1044179204</v>
      </c>
      <c r="H41" s="268">
        <f>+'Alternativas de financiamiento'!X28</f>
        <v>184802.43307658436</v>
      </c>
    </row>
    <row r="42" spans="2:14" x14ac:dyDescent="0.2">
      <c r="B42" s="42" t="s">
        <v>4275</v>
      </c>
      <c r="C42" s="275">
        <v>0</v>
      </c>
      <c r="D42" s="268">
        <f>+'Alternativas de financiamiento'!T29</f>
        <v>77612.757839061785</v>
      </c>
      <c r="E42" s="268">
        <f>+'Alternativas de financiamiento'!U29</f>
        <v>63695.902478773256</v>
      </c>
      <c r="F42" s="268">
        <f>+'Alternativas de financiamiento'!V29</f>
        <v>48145.208299186837</v>
      </c>
      <c r="G42" s="268">
        <f>+'Alternativas de financiamiento'!W29</f>
        <v>30768.86262291696</v>
      </c>
      <c r="H42" s="268">
        <f>+'Alternativas de financiamiento'!X29</f>
        <v>11352.533964252991</v>
      </c>
    </row>
    <row r="43" spans="2:14" hidden="1" x14ac:dyDescent="0.2">
      <c r="B43" s="42" t="s">
        <v>4151</v>
      </c>
      <c r="C43" s="275">
        <v>0</v>
      </c>
      <c r="D43" s="268"/>
      <c r="E43" s="268"/>
      <c r="F43" s="268"/>
      <c r="G43" s="268"/>
      <c r="H43" s="268"/>
      <c r="J43" s="23">
        <f>0.005/100</f>
        <v>5.0000000000000002E-5</v>
      </c>
    </row>
    <row r="44" spans="2:14" x14ac:dyDescent="0.2">
      <c r="B44" s="42" t="s">
        <v>4276</v>
      </c>
      <c r="C44" s="275">
        <v>0</v>
      </c>
      <c r="D44" s="268">
        <f>+(D42+D43)*0.295</f>
        <v>22895.763562523225</v>
      </c>
      <c r="E44" s="268">
        <f>+(E42+E43)*0.295</f>
        <v>18790.291231238109</v>
      </c>
      <c r="F44" s="268">
        <f>+(F42+F43)*0.295</f>
        <v>14202.836448260116</v>
      </c>
      <c r="G44" s="268">
        <f>+(G42+G43)*0.295</f>
        <v>9076.8144737605035</v>
      </c>
      <c r="H44" s="268">
        <f>+(H42+H43)*0.295</f>
        <v>3348.9975194546319</v>
      </c>
    </row>
    <row r="45" spans="2:14" x14ac:dyDescent="0.2">
      <c r="B45" s="42" t="s">
        <v>4277</v>
      </c>
      <c r="C45" s="269">
        <f>+C40-C43</f>
        <v>749199.57000000007</v>
      </c>
      <c r="D45" s="269">
        <f>+D44-D43-D42-D41</f>
        <v>-173259.20347831416</v>
      </c>
      <c r="E45" s="269">
        <f>+E44-E43-E42-E41</f>
        <v>-177364.67580959926</v>
      </c>
      <c r="F45" s="269">
        <f>+F44-F43-F42-F41</f>
        <v>-181952.13059257725</v>
      </c>
      <c r="G45" s="269">
        <f>+G44-G43-G42-G41</f>
        <v>-187078.15256707685</v>
      </c>
      <c r="H45" s="269">
        <f>+H44-H43-H42-H41</f>
        <v>-192805.96952138271</v>
      </c>
    </row>
    <row r="46" spans="2:14" x14ac:dyDescent="0.2">
      <c r="B46" s="42" t="s">
        <v>4278</v>
      </c>
      <c r="C46" s="269">
        <f t="shared" ref="C46:H46" si="5">+C38+C45</f>
        <v>-263472.70349999995</v>
      </c>
      <c r="D46" s="269">
        <f t="shared" si="5"/>
        <v>203112.8724291863</v>
      </c>
      <c r="E46" s="269">
        <f t="shared" si="5"/>
        <v>286723.85609790147</v>
      </c>
      <c r="F46" s="269">
        <f t="shared" si="5"/>
        <v>336852.65331492189</v>
      </c>
      <c r="G46" s="269">
        <f t="shared" si="5"/>
        <v>390291.61934042221</v>
      </c>
      <c r="H46" s="269">
        <f t="shared" si="5"/>
        <v>661461.490327621</v>
      </c>
      <c r="J46" s="164">
        <f>+D46/12</f>
        <v>16926.072702432193</v>
      </c>
      <c r="K46" s="164">
        <f t="shared" ref="K46" si="6">+E46/12</f>
        <v>23893.654674825124</v>
      </c>
      <c r="L46" s="164">
        <f t="shared" ref="L46" si="7">+F46/12</f>
        <v>28071.054442910157</v>
      </c>
      <c r="M46" s="164">
        <f t="shared" ref="M46" si="8">+G46/12</f>
        <v>32524.301611701852</v>
      </c>
      <c r="N46" s="164">
        <f t="shared" ref="N46" si="9">+H46/12</f>
        <v>55121.790860635083</v>
      </c>
    </row>
  </sheetData>
  <mergeCells count="11">
    <mergeCell ref="C39:H39"/>
    <mergeCell ref="B2:H2"/>
    <mergeCell ref="C5:H5"/>
    <mergeCell ref="C7:H7"/>
    <mergeCell ref="B19:H19"/>
    <mergeCell ref="C22:H22"/>
    <mergeCell ref="C26:H26"/>
    <mergeCell ref="C27:H27"/>
    <mergeCell ref="C8:H8"/>
    <mergeCell ref="C12:H12"/>
    <mergeCell ref="C32:H32"/>
  </mergeCells>
  <pageMargins left="0.7" right="0.7" top="0.75" bottom="0.75" header="0.3" footer="0.3"/>
  <pageSetup orientation="portrait" horizontalDpi="4294967295" verticalDpi="4294967295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35"/>
  <sheetViews>
    <sheetView showGridLines="0" workbookViewId="0">
      <selection activeCell="B33" sqref="B33:D35"/>
    </sheetView>
  </sheetViews>
  <sheetFormatPr baseColWidth="10" defaultRowHeight="16" x14ac:dyDescent="0.2"/>
  <cols>
    <col min="2" max="2" width="22.5" customWidth="1"/>
    <col min="3" max="4" width="15" customWidth="1"/>
    <col min="6" max="6" width="12.33203125" bestFit="1" customWidth="1"/>
    <col min="9" max="9" width="17.1640625" bestFit="1" customWidth="1"/>
    <col min="10" max="10" width="17" bestFit="1" customWidth="1"/>
    <col min="11" max="11" width="6.5" bestFit="1" customWidth="1"/>
    <col min="12" max="12" width="19.1640625" bestFit="1" customWidth="1"/>
    <col min="13" max="13" width="20.5" bestFit="1" customWidth="1"/>
  </cols>
  <sheetData>
    <row r="2" spans="2:6" x14ac:dyDescent="0.2">
      <c r="B2" s="406" t="s">
        <v>4292</v>
      </c>
      <c r="C2" s="406"/>
      <c r="D2" s="406"/>
    </row>
    <row r="3" spans="2:6" ht="17" thickBot="1" x14ac:dyDescent="0.25"/>
    <row r="4" spans="2:6" x14ac:dyDescent="0.2">
      <c r="B4" s="418" t="s">
        <v>4290</v>
      </c>
      <c r="C4" s="419"/>
      <c r="D4" s="420"/>
    </row>
    <row r="5" spans="2:6" x14ac:dyDescent="0.2">
      <c r="B5" s="421" t="s">
        <v>4293</v>
      </c>
      <c r="C5" s="422"/>
      <c r="D5" s="423"/>
    </row>
    <row r="6" spans="2:6" x14ac:dyDescent="0.2">
      <c r="B6" s="421" t="s">
        <v>4291</v>
      </c>
      <c r="C6" s="422"/>
      <c r="D6" s="423"/>
    </row>
    <row r="7" spans="2:6" ht="17" thickBot="1" x14ac:dyDescent="0.25">
      <c r="B7" s="424" t="s">
        <v>4294</v>
      </c>
      <c r="C7" s="425"/>
      <c r="D7" s="426"/>
    </row>
    <row r="8" spans="2:6" ht="17" thickBot="1" x14ac:dyDescent="0.25"/>
    <row r="9" spans="2:6" x14ac:dyDescent="0.2">
      <c r="B9" s="415" t="s">
        <v>4295</v>
      </c>
      <c r="C9" s="416"/>
      <c r="D9" s="167">
        <v>0.68</v>
      </c>
      <c r="E9" t="s">
        <v>4311</v>
      </c>
    </row>
    <row r="10" spans="2:6" x14ac:dyDescent="0.2">
      <c r="B10" s="417" t="s">
        <v>4313</v>
      </c>
      <c r="C10" s="388"/>
      <c r="D10" s="168">
        <v>0.12560000000000002</v>
      </c>
      <c r="E10" t="s">
        <v>4314</v>
      </c>
    </row>
    <row r="11" spans="2:6" x14ac:dyDescent="0.2">
      <c r="B11" s="417" t="s">
        <v>4302</v>
      </c>
      <c r="C11" s="388"/>
      <c r="D11" s="168">
        <v>1.7999999999999999E-2</v>
      </c>
      <c r="E11" t="s">
        <v>4312</v>
      </c>
    </row>
    <row r="12" spans="2:6" x14ac:dyDescent="0.2">
      <c r="B12" s="417" t="s">
        <v>4303</v>
      </c>
      <c r="C12" s="388"/>
      <c r="D12" s="168">
        <v>1.34E-2</v>
      </c>
      <c r="E12" t="s">
        <v>4310</v>
      </c>
    </row>
    <row r="13" spans="2:6" x14ac:dyDescent="0.2">
      <c r="B13" s="417" t="s">
        <v>4305</v>
      </c>
      <c r="C13" s="388"/>
      <c r="D13" s="168">
        <v>0.29499999999999998</v>
      </c>
    </row>
    <row r="14" spans="2:6" x14ac:dyDescent="0.2">
      <c r="B14" s="412" t="s">
        <v>4304</v>
      </c>
      <c r="C14" s="295"/>
      <c r="D14" s="169">
        <f>+D9*(1+(1-D13)*(D15/D16))</f>
        <v>2.043201079606336</v>
      </c>
    </row>
    <row r="15" spans="2:6" x14ac:dyDescent="0.2">
      <c r="B15" s="417" t="s">
        <v>4306</v>
      </c>
      <c r="C15" s="388"/>
      <c r="D15" s="147">
        <f>+'Inversión total'!F17</f>
        <v>749199.57000000007</v>
      </c>
      <c r="F15" s="286">
        <f>+D15/D17</f>
        <v>0.73982431395165471</v>
      </c>
    </row>
    <row r="16" spans="2:6" x14ac:dyDescent="0.2">
      <c r="B16" s="417" t="s">
        <v>4307</v>
      </c>
      <c r="C16" s="388"/>
      <c r="D16" s="147">
        <f>+'Inversión total'!E17</f>
        <v>263472.7035</v>
      </c>
      <c r="F16" s="286">
        <f>+D16/D17</f>
        <v>0.26017568604834518</v>
      </c>
    </row>
    <row r="17" spans="2:4" x14ac:dyDescent="0.2">
      <c r="B17" s="417" t="s">
        <v>4308</v>
      </c>
      <c r="C17" s="388"/>
      <c r="D17" s="147">
        <f>+D16+D15</f>
        <v>1012672.2735000001</v>
      </c>
    </row>
    <row r="18" spans="2:4" x14ac:dyDescent="0.2">
      <c r="B18" s="417" t="s">
        <v>4309</v>
      </c>
      <c r="C18" s="388"/>
      <c r="D18" s="170">
        <f>+'Alternativas de financiamiento'!E8</f>
        <v>0.1174</v>
      </c>
    </row>
    <row r="19" spans="2:4" x14ac:dyDescent="0.2">
      <c r="B19" s="412" t="s">
        <v>4315</v>
      </c>
      <c r="C19" s="295"/>
      <c r="D19" s="171">
        <f>D14*(D10-D11)+D11+D12</f>
        <v>0.2512484361656418</v>
      </c>
    </row>
    <row r="20" spans="2:4" ht="17" thickBot="1" x14ac:dyDescent="0.25">
      <c r="B20" s="413" t="s">
        <v>4316</v>
      </c>
      <c r="C20" s="414"/>
      <c r="D20" s="172">
        <f>(D15/D17)*D18*(1-D13)+(D16/D17)*D19</f>
        <v>0.12660177324080632</v>
      </c>
    </row>
    <row r="23" spans="2:4" x14ac:dyDescent="0.2">
      <c r="B23" s="406" t="s">
        <v>4317</v>
      </c>
      <c r="C23" s="406"/>
      <c r="D23" s="406"/>
    </row>
    <row r="25" spans="2:4" x14ac:dyDescent="0.2">
      <c r="C25" s="130" t="s">
        <v>4321</v>
      </c>
      <c r="D25" s="130" t="s">
        <v>4138</v>
      </c>
    </row>
    <row r="26" spans="2:4" x14ac:dyDescent="0.2">
      <c r="B26" s="55" t="s">
        <v>4318</v>
      </c>
      <c r="C26" s="166">
        <f>+D20</f>
        <v>0.12660177324080632</v>
      </c>
      <c r="D26" s="166">
        <f>+D19</f>
        <v>0.2512484361656418</v>
      </c>
    </row>
    <row r="27" spans="2:4" x14ac:dyDescent="0.2">
      <c r="B27" s="55" t="s">
        <v>4319</v>
      </c>
      <c r="C27" s="165">
        <f>IRR('Flujo de caja'!C38:H38)</f>
        <v>0.39545016583277737</v>
      </c>
      <c r="D27" s="165">
        <f>IRR('Flujo de caja'!C46:H46)</f>
        <v>0.98939829678053526</v>
      </c>
    </row>
    <row r="28" spans="2:4" x14ac:dyDescent="0.2">
      <c r="B28" s="55" t="s">
        <v>4320</v>
      </c>
      <c r="C28" s="89">
        <f>NPV(C26,'Flujo de caja'!C38:H38)</f>
        <v>780197.95399439521</v>
      </c>
      <c r="D28" s="89">
        <f>NPV(D26,'Flujo de caja'!C46:H46)</f>
        <v>502570.46458936494</v>
      </c>
    </row>
    <row r="31" spans="2:4" x14ac:dyDescent="0.2">
      <c r="B31" s="406" t="s">
        <v>4322</v>
      </c>
      <c r="C31" s="406"/>
      <c r="D31" s="406"/>
    </row>
    <row r="33" spans="2:4" x14ac:dyDescent="0.2">
      <c r="B33" s="412" t="s">
        <v>4323</v>
      </c>
      <c r="C33" s="295"/>
      <c r="D33" s="89">
        <f>NPV(C26,'Flujo de caja'!D25:H25)</f>
        <v>43871584.710482925</v>
      </c>
    </row>
    <row r="34" spans="2:4" x14ac:dyDescent="0.2">
      <c r="B34" s="412" t="s">
        <v>4109</v>
      </c>
      <c r="C34" s="295"/>
      <c r="D34" s="89">
        <f>NPV(C26,'Flujo de caja'!D37:H37)</f>
        <v>41979940.038534001</v>
      </c>
    </row>
    <row r="35" spans="2:4" x14ac:dyDescent="0.2">
      <c r="B35" s="412" t="s">
        <v>4324</v>
      </c>
      <c r="C35" s="295"/>
      <c r="D35" s="173">
        <f>+D33/D34</f>
        <v>1.0450606806539637</v>
      </c>
    </row>
  </sheetData>
  <mergeCells count="22">
    <mergeCell ref="B4:D4"/>
    <mergeCell ref="B5:D5"/>
    <mergeCell ref="B6:D6"/>
    <mergeCell ref="B2:D2"/>
    <mergeCell ref="B7:D7"/>
    <mergeCell ref="B20:C20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3:D23"/>
    <mergeCell ref="B31:D31"/>
    <mergeCell ref="B33:C33"/>
    <mergeCell ref="B34:C34"/>
    <mergeCell ref="B35:C3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showGridLines="0" workbookViewId="0">
      <selection activeCell="B12" sqref="B12:E15"/>
    </sheetView>
  </sheetViews>
  <sheetFormatPr baseColWidth="10" defaultRowHeight="16" x14ac:dyDescent="0.2"/>
  <cols>
    <col min="2" max="2" width="24.6640625" bestFit="1" customWidth="1"/>
    <col min="3" max="8" width="15" customWidth="1"/>
    <col min="9" max="9" width="4.1640625" customWidth="1"/>
    <col min="10" max="10" width="5.5" bestFit="1" customWidth="1"/>
    <col min="11" max="11" width="7" bestFit="1" customWidth="1"/>
  </cols>
  <sheetData>
    <row r="2" spans="2:11" x14ac:dyDescent="0.2">
      <c r="B2" s="406" t="s">
        <v>4351</v>
      </c>
      <c r="C2" s="406"/>
      <c r="D2" s="406"/>
      <c r="E2" s="406"/>
      <c r="F2" s="406"/>
      <c r="G2" s="406"/>
      <c r="H2" s="406"/>
    </row>
    <row r="4" spans="2:11" x14ac:dyDescent="0.2">
      <c r="C4" s="181">
        <v>2017</v>
      </c>
      <c r="D4" s="181">
        <v>2018</v>
      </c>
      <c r="E4" s="181">
        <v>2019</v>
      </c>
      <c r="F4" s="181">
        <v>2020</v>
      </c>
      <c r="G4" s="181">
        <v>2021</v>
      </c>
      <c r="H4" s="181">
        <v>2022</v>
      </c>
      <c r="J4" s="55" t="s">
        <v>4350</v>
      </c>
      <c r="K4" s="9">
        <f>+'COK - WACC'!D20</f>
        <v>0.12660177324080632</v>
      </c>
    </row>
    <row r="5" spans="2:11" x14ac:dyDescent="0.2">
      <c r="B5" s="42" t="s">
        <v>4272</v>
      </c>
      <c r="C5" s="179">
        <f>+'Flujo de caja'!C38</f>
        <v>-1012672.2735</v>
      </c>
      <c r="D5" s="179">
        <f>+'Flujo de caja'!D38</f>
        <v>376372.07590750046</v>
      </c>
      <c r="E5" s="179">
        <f>+'Flujo de caja'!E38</f>
        <v>464088.5319075007</v>
      </c>
      <c r="F5" s="179">
        <f>+'Flujo de caja'!F38</f>
        <v>518804.78390749916</v>
      </c>
      <c r="G5" s="179">
        <f>+'Flujo de caja'!G38</f>
        <v>577369.77190749906</v>
      </c>
      <c r="H5" s="179">
        <f>+'Flujo de caja'!H38</f>
        <v>854267.4598490037</v>
      </c>
    </row>
    <row r="6" spans="2:11" x14ac:dyDescent="0.2">
      <c r="B6" s="55" t="s">
        <v>4348</v>
      </c>
      <c r="C6" s="179">
        <f>+C5</f>
        <v>-1012672.2735</v>
      </c>
      <c r="D6" s="179">
        <f>NPV($K$4,D5)</f>
        <v>334077.29762826546</v>
      </c>
      <c r="E6" s="179">
        <f>NPV($K$4,0,E5)</f>
        <v>365645.2834848506</v>
      </c>
      <c r="F6" s="179">
        <f>NPV($K$4,0,0,F5)</f>
        <v>362821.22111991065</v>
      </c>
      <c r="G6" s="179">
        <f>NPV($K$4,0,0,0,G5)</f>
        <v>358403.56497380504</v>
      </c>
      <c r="H6" s="179">
        <f>NPV($K$4,0,0,0,0,H5)</f>
        <v>470697.30474210286</v>
      </c>
      <c r="I6" s="178"/>
    </row>
    <row r="7" spans="2:11" x14ac:dyDescent="0.2">
      <c r="B7" s="55" t="s">
        <v>4349</v>
      </c>
      <c r="C7" s="179">
        <f>+C6</f>
        <v>-1012672.2735</v>
      </c>
      <c r="D7" s="179">
        <f>+C7+D6</f>
        <v>-678594.97587173455</v>
      </c>
      <c r="E7" s="179">
        <f t="shared" ref="E7:H7" si="0">+D7+E6</f>
        <v>-312949.69238688395</v>
      </c>
      <c r="F7" s="179">
        <f t="shared" si="0"/>
        <v>49871.528733026702</v>
      </c>
      <c r="G7" s="179">
        <f t="shared" si="0"/>
        <v>408275.09370683174</v>
      </c>
      <c r="H7" s="179">
        <f t="shared" si="0"/>
        <v>878972.39844893455</v>
      </c>
      <c r="I7" s="178"/>
    </row>
    <row r="8" spans="2:11" x14ac:dyDescent="0.2">
      <c r="C8" s="180"/>
      <c r="D8" s="180"/>
      <c r="E8" s="180"/>
      <c r="F8" s="180"/>
      <c r="G8" s="180"/>
      <c r="H8" s="180"/>
      <c r="I8" s="178"/>
    </row>
    <row r="9" spans="2:11" x14ac:dyDescent="0.2">
      <c r="C9" s="180"/>
      <c r="D9" s="180"/>
      <c r="E9" s="180"/>
      <c r="F9" s="180"/>
      <c r="G9" s="180"/>
      <c r="H9" s="180"/>
      <c r="I9" s="178"/>
    </row>
    <row r="10" spans="2:11" x14ac:dyDescent="0.2">
      <c r="B10" s="406" t="s">
        <v>4352</v>
      </c>
      <c r="C10" s="406"/>
      <c r="D10" s="406"/>
      <c r="E10" s="406"/>
      <c r="F10" s="406"/>
      <c r="G10" s="406"/>
      <c r="H10" s="406"/>
      <c r="I10" s="178"/>
    </row>
    <row r="12" spans="2:11" x14ac:dyDescent="0.2">
      <c r="C12" s="181">
        <v>2017</v>
      </c>
      <c r="D12" s="181">
        <v>2018</v>
      </c>
      <c r="E12" s="181">
        <v>2019</v>
      </c>
      <c r="F12" s="181">
        <v>2020</v>
      </c>
      <c r="G12" s="181">
        <v>2021</v>
      </c>
      <c r="H12" s="181">
        <v>2022</v>
      </c>
      <c r="J12" s="55" t="s">
        <v>4350</v>
      </c>
      <c r="K12" s="9">
        <f>+'COK - WACC'!D19</f>
        <v>0.2512484361656418</v>
      </c>
    </row>
    <row r="13" spans="2:11" x14ac:dyDescent="0.2">
      <c r="B13" s="42" t="s">
        <v>4278</v>
      </c>
      <c r="C13" s="179">
        <f>+'Flujo de caja'!C46</f>
        <v>-263472.70349999995</v>
      </c>
      <c r="D13" s="179">
        <f>+'Flujo de caja'!D46</f>
        <v>203112.8724291863</v>
      </c>
      <c r="E13" s="179">
        <f>+'Flujo de caja'!E46</f>
        <v>286723.85609790147</v>
      </c>
      <c r="F13" s="179">
        <f>+'Flujo de caja'!F46</f>
        <v>336852.65331492189</v>
      </c>
      <c r="G13" s="179">
        <f>+'Flujo de caja'!G46</f>
        <v>390291.61934042221</v>
      </c>
      <c r="H13" s="179">
        <f>+'Flujo de caja'!H46</f>
        <v>661461.490327621</v>
      </c>
    </row>
    <row r="14" spans="2:11" x14ac:dyDescent="0.2">
      <c r="B14" s="55" t="s">
        <v>4348</v>
      </c>
      <c r="C14" s="179">
        <f>+C13</f>
        <v>-263472.70349999995</v>
      </c>
      <c r="D14" s="179">
        <f>NPV($K$12,D13)</f>
        <v>162328.17285399427</v>
      </c>
      <c r="E14" s="179">
        <f>NPV($K$12,0,E13)</f>
        <v>183137.26891966167</v>
      </c>
      <c r="F14" s="179">
        <f>NPV($K$12,0,0,F13)</f>
        <v>171952.83063924918</v>
      </c>
      <c r="G14" s="179">
        <f>NPV($K$12,0,0,0,G13)</f>
        <v>159226.38494980452</v>
      </c>
      <c r="H14" s="179">
        <f>NPV($K$12,0,0,0,0,H13)</f>
        <v>215668.55401777328</v>
      </c>
    </row>
    <row r="15" spans="2:11" x14ac:dyDescent="0.2">
      <c r="B15" s="55" t="s">
        <v>4349</v>
      </c>
      <c r="C15" s="179">
        <f>+C14</f>
        <v>-263472.70349999995</v>
      </c>
      <c r="D15" s="179">
        <f>+C15+D14</f>
        <v>-101144.53064600567</v>
      </c>
      <c r="E15" s="179">
        <f t="shared" ref="E15" si="1">+D15+E14</f>
        <v>81992.738273655996</v>
      </c>
      <c r="F15" s="179">
        <f t="shared" ref="F15" si="2">+E15+F14</f>
        <v>253945.56891290518</v>
      </c>
      <c r="G15" s="179">
        <f t="shared" ref="G15" si="3">+F15+G14</f>
        <v>413171.95386270969</v>
      </c>
      <c r="H15" s="179">
        <f t="shared" ref="H15" si="4">+G15+H14</f>
        <v>628840.50788048294</v>
      </c>
    </row>
  </sheetData>
  <mergeCells count="2">
    <mergeCell ref="B2:H2"/>
    <mergeCell ref="B10:H10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32"/>
  <sheetViews>
    <sheetView workbookViewId="0">
      <selection activeCell="J9" sqref="J9"/>
    </sheetView>
  </sheetViews>
  <sheetFormatPr baseColWidth="10" defaultRowHeight="16" x14ac:dyDescent="0.2"/>
  <cols>
    <col min="2" max="2" width="6.6640625" customWidth="1"/>
    <col min="3" max="3" width="14.1640625" customWidth="1"/>
    <col min="4" max="4" width="13" bestFit="1" customWidth="1"/>
    <col min="5" max="6" width="8.33203125" customWidth="1"/>
    <col min="7" max="7" width="6.6640625" customWidth="1"/>
    <col min="8" max="9" width="12.5" customWidth="1"/>
  </cols>
  <sheetData>
    <row r="2" spans="2:9" x14ac:dyDescent="0.2">
      <c r="B2" s="406" t="s">
        <v>4389</v>
      </c>
      <c r="C2" s="406"/>
      <c r="D2" s="406"/>
      <c r="E2" s="406"/>
      <c r="F2" s="406"/>
      <c r="G2" s="406"/>
      <c r="H2" s="406"/>
      <c r="I2" s="406"/>
    </row>
    <row r="4" spans="2:9" x14ac:dyDescent="0.2">
      <c r="B4" s="175" t="s">
        <v>3547</v>
      </c>
      <c r="C4" s="175" t="s">
        <v>4379</v>
      </c>
      <c r="D4" s="175" t="s">
        <v>4380</v>
      </c>
      <c r="E4" s="175" t="s">
        <v>4381</v>
      </c>
      <c r="F4" s="175" t="s">
        <v>4382</v>
      </c>
      <c r="G4" s="175" t="s">
        <v>4324</v>
      </c>
      <c r="H4" s="175" t="s">
        <v>4383</v>
      </c>
      <c r="I4" s="175" t="s">
        <v>4384</v>
      </c>
    </row>
    <row r="5" spans="2:9" x14ac:dyDescent="0.2">
      <c r="B5" s="191">
        <v>1.1000000000000001</v>
      </c>
      <c r="C5" s="192">
        <v>1159530.3441868569</v>
      </c>
      <c r="D5" s="192">
        <v>782403.06028260605</v>
      </c>
      <c r="E5" s="193">
        <v>0.50997710720326617</v>
      </c>
      <c r="F5" s="193">
        <v>1.3063250675243094</v>
      </c>
      <c r="G5" s="34">
        <v>1.0508657570680717</v>
      </c>
      <c r="H5" s="5" t="s">
        <v>4385</v>
      </c>
      <c r="I5" s="5" t="s">
        <v>4386</v>
      </c>
    </row>
    <row r="6" spans="2:9" x14ac:dyDescent="0.2">
      <c r="B6" s="191">
        <v>1.05</v>
      </c>
      <c r="C6" s="192">
        <v>969735.42688413698</v>
      </c>
      <c r="D6" s="192">
        <v>640862.82129105798</v>
      </c>
      <c r="E6" s="193">
        <v>0.45367136350895509</v>
      </c>
      <c r="F6" s="193">
        <v>1.1521668662508833</v>
      </c>
      <c r="G6" s="34">
        <v>1.0480930065330147</v>
      </c>
      <c r="H6" s="5" t="s">
        <v>4385</v>
      </c>
      <c r="I6" s="5" t="s">
        <v>4386</v>
      </c>
    </row>
    <row r="7" spans="2:9" x14ac:dyDescent="0.2">
      <c r="B7" s="191">
        <v>1</v>
      </c>
      <c r="C7" s="192">
        <v>780197.95399439521</v>
      </c>
      <c r="D7" s="192">
        <v>502570.46458936494</v>
      </c>
      <c r="E7" s="193">
        <v>0.39545016583277737</v>
      </c>
      <c r="F7" s="193">
        <v>0.98939829678053526</v>
      </c>
      <c r="G7" s="34">
        <v>1.0450606806539637</v>
      </c>
      <c r="H7" s="5" t="s">
        <v>4385</v>
      </c>
      <c r="I7" s="5" t="s">
        <v>4386</v>
      </c>
    </row>
    <row r="8" spans="2:9" x14ac:dyDescent="0.2">
      <c r="B8" s="191">
        <v>0.95</v>
      </c>
      <c r="C8" s="192">
        <v>590910.1250425498</v>
      </c>
      <c r="D8" s="192">
        <v>367791.39564455638</v>
      </c>
      <c r="E8" s="193">
        <v>0.33504646072770838</v>
      </c>
      <c r="F8" s="193">
        <v>0.81783430101460874</v>
      </c>
      <c r="G8" s="34">
        <v>1.0417305496175584</v>
      </c>
      <c r="H8" s="5" t="s">
        <v>4387</v>
      </c>
      <c r="I8" s="5" t="s">
        <v>4386</v>
      </c>
    </row>
    <row r="9" spans="2:9" x14ac:dyDescent="0.2">
      <c r="B9" s="191">
        <v>0.9</v>
      </c>
      <c r="C9" s="192">
        <v>401886.17525524256</v>
      </c>
      <c r="D9" s="192">
        <v>236803.36924695529</v>
      </c>
      <c r="E9" s="193">
        <v>0.27213431427212553</v>
      </c>
      <c r="F9" s="193">
        <v>0.63770567159964142</v>
      </c>
      <c r="G9" s="34">
        <v>1.0380564800939989</v>
      </c>
      <c r="H9" s="5" t="s">
        <v>4387</v>
      </c>
      <c r="I9" s="5" t="s">
        <v>4385</v>
      </c>
    </row>
    <row r="10" spans="2:9" x14ac:dyDescent="0.2">
      <c r="B10" s="191">
        <v>0.85</v>
      </c>
      <c r="C10" s="192">
        <v>213141.08238734803</v>
      </c>
      <c r="D10" s="192">
        <v>109920.94032477548</v>
      </c>
      <c r="E10" s="193">
        <v>0.20628074588336531</v>
      </c>
      <c r="F10" s="193">
        <v>0.44966727911732085</v>
      </c>
      <c r="G10" s="34">
        <v>1.0339822918480281</v>
      </c>
      <c r="H10" s="5" t="s">
        <v>4388</v>
      </c>
      <c r="I10" s="5" t="s">
        <v>4387</v>
      </c>
    </row>
    <row r="11" spans="2:9" x14ac:dyDescent="0.2">
      <c r="B11" s="191">
        <v>0.8</v>
      </c>
      <c r="C11" s="192">
        <v>24667.091071676463</v>
      </c>
      <c r="D11" s="192">
        <v>-12508.872296677397</v>
      </c>
      <c r="E11" s="193">
        <v>0.13688649363722383</v>
      </c>
      <c r="F11" s="193">
        <v>0.25483186562595073</v>
      </c>
      <c r="G11" s="34">
        <v>1.0294388748075218</v>
      </c>
      <c r="H11" s="5" t="s">
        <v>4388</v>
      </c>
      <c r="I11" s="5" t="s">
        <v>4400</v>
      </c>
    </row>
    <row r="12" spans="2:9" x14ac:dyDescent="0.2">
      <c r="B12" s="191">
        <v>0.75</v>
      </c>
      <c r="C12" s="270">
        <v>-163512.41484006797</v>
      </c>
      <c r="D12" s="270">
        <v>-130094.54785609939</v>
      </c>
      <c r="E12" s="193">
        <v>6.3131635672360353E-2</v>
      </c>
      <c r="F12" s="193">
        <v>5.4710431366161494E-2</v>
      </c>
      <c r="G12" s="34">
        <v>1.0243402161793653</v>
      </c>
      <c r="H12" s="5" t="s">
        <v>4400</v>
      </c>
      <c r="I12" s="5" t="s">
        <v>4400</v>
      </c>
    </row>
    <row r="13" spans="2:9" x14ac:dyDescent="0.2">
      <c r="B13" s="191" t="s">
        <v>3547</v>
      </c>
      <c r="C13" s="192">
        <f>+'COK - WACC'!$C$28</f>
        <v>780197.95399439521</v>
      </c>
      <c r="D13" s="192">
        <f>+'COK - WACC'!$D$28</f>
        <v>502570.46458936494</v>
      </c>
      <c r="E13" s="193">
        <f>+'COK - WACC'!$C$27</f>
        <v>0.39545016583277737</v>
      </c>
      <c r="F13" s="193">
        <f>+'COK - WACC'!$D$27</f>
        <v>0.98939829678053526</v>
      </c>
      <c r="G13" s="34">
        <f>+'COK - WACC'!$D$35</f>
        <v>1.0450606806539637</v>
      </c>
      <c r="H13" s="5" t="str">
        <f>COUNTIF(PRI!$C$7:$H$7,"&lt;0")&amp;" años"</f>
        <v>3 años</v>
      </c>
      <c r="I13" s="5" t="str">
        <f>COUNTIF(PRI!$C$15:$H$15,"&lt;0")&amp;" años"</f>
        <v>2 años</v>
      </c>
    </row>
    <row r="15" spans="2:9" x14ac:dyDescent="0.2">
      <c r="B15" s="406" t="s">
        <v>4390</v>
      </c>
      <c r="C15" s="406"/>
      <c r="D15" s="406"/>
      <c r="E15" s="406"/>
      <c r="F15" s="406"/>
      <c r="G15" s="406"/>
      <c r="H15" s="406"/>
      <c r="I15" s="406"/>
    </row>
    <row r="17" spans="2:9" x14ac:dyDescent="0.2">
      <c r="B17" s="175" t="s">
        <v>3547</v>
      </c>
      <c r="C17" s="175" t="s">
        <v>4379</v>
      </c>
      <c r="D17" s="175" t="s">
        <v>4380</v>
      </c>
      <c r="E17" s="175" t="s">
        <v>4381</v>
      </c>
      <c r="F17" s="175" t="s">
        <v>4382</v>
      </c>
      <c r="G17" s="175" t="s">
        <v>4324</v>
      </c>
      <c r="H17" s="175" t="s">
        <v>4383</v>
      </c>
      <c r="I17" s="175" t="s">
        <v>4384</v>
      </c>
    </row>
    <row r="18" spans="2:9" x14ac:dyDescent="0.2">
      <c r="B18" s="191">
        <v>1.05</v>
      </c>
      <c r="C18" s="194">
        <v>-163977.45917988769</v>
      </c>
      <c r="D18" s="194">
        <v>-134646.01815660894</v>
      </c>
      <c r="E18" s="193">
        <v>6.4899200240169153E-2</v>
      </c>
      <c r="F18" s="193">
        <v>6.0003143272217452E-2</v>
      </c>
      <c r="G18" s="34">
        <v>1.0194081421838082</v>
      </c>
      <c r="H18" s="5" t="s">
        <v>4400</v>
      </c>
      <c r="I18" s="5" t="s">
        <v>4400</v>
      </c>
    </row>
    <row r="19" spans="2:9" x14ac:dyDescent="0.2">
      <c r="B19" s="191">
        <v>1.04</v>
      </c>
      <c r="C19" s="194">
        <v>24943.107029914547</v>
      </c>
      <c r="D19" s="194">
        <v>-5959.9713513788147</v>
      </c>
      <c r="E19" s="193">
        <v>0.13562130935621775</v>
      </c>
      <c r="F19" s="193">
        <v>0.23958220817210929</v>
      </c>
      <c r="G19" s="34">
        <v>1.0244374022316871</v>
      </c>
      <c r="H19" s="5" t="s">
        <v>4388</v>
      </c>
      <c r="I19" s="5" t="s">
        <v>4400</v>
      </c>
    </row>
    <row r="20" spans="2:9" x14ac:dyDescent="0.2">
      <c r="B20" s="191">
        <v>1.03</v>
      </c>
      <c r="C20" s="192">
        <v>213821.11407336485</v>
      </c>
      <c r="D20" s="192">
        <v>122112.14356688084</v>
      </c>
      <c r="E20" s="193">
        <v>0.20345939378335731</v>
      </c>
      <c r="F20" s="193">
        <v>0.42132685367246769</v>
      </c>
      <c r="G20" s="34">
        <v>1.0295165331091085</v>
      </c>
      <c r="H20" s="5" t="s">
        <v>4388</v>
      </c>
      <c r="I20" s="5" t="s">
        <v>4388</v>
      </c>
    </row>
    <row r="21" spans="2:9" x14ac:dyDescent="0.2">
      <c r="B21" s="191">
        <v>1.02</v>
      </c>
      <c r="C21" s="192">
        <v>402656.37985000486</v>
      </c>
      <c r="D21" s="192">
        <v>249562.94127936324</v>
      </c>
      <c r="E21" s="193">
        <v>0.26907489782809701</v>
      </c>
      <c r="F21" s="193">
        <v>0.6065381221473447</v>
      </c>
      <c r="G21" s="34">
        <v>1.0346462803055569</v>
      </c>
      <c r="H21" s="5" t="s">
        <v>4387</v>
      </c>
      <c r="I21" s="5" t="s">
        <v>4385</v>
      </c>
    </row>
    <row r="22" spans="2:9" x14ac:dyDescent="0.2">
      <c r="B22" s="191">
        <v>1.01</v>
      </c>
      <c r="C22" s="192">
        <v>591448.72121953359</v>
      </c>
      <c r="D22" s="192">
        <v>376384.92105639854</v>
      </c>
      <c r="E22" s="193">
        <v>0.33295096199638863</v>
      </c>
      <c r="F22" s="193">
        <v>0.79582600487016752</v>
      </c>
      <c r="G22" s="34">
        <v>1.0398274042434577</v>
      </c>
      <c r="H22" s="5" t="s">
        <v>4387</v>
      </c>
      <c r="I22" s="5" t="s">
        <v>4386</v>
      </c>
    </row>
    <row r="23" spans="2:9" x14ac:dyDescent="0.2">
      <c r="B23" s="191">
        <v>1</v>
      </c>
      <c r="C23" s="192">
        <v>780197.95399439521</v>
      </c>
      <c r="D23" s="192">
        <v>502570.46458936494</v>
      </c>
      <c r="E23" s="193">
        <v>0.39545016583277737</v>
      </c>
      <c r="F23" s="193">
        <v>0.98939829678053526</v>
      </c>
      <c r="G23" s="34">
        <v>1.0450606806539637</v>
      </c>
      <c r="H23" s="5" t="s">
        <v>4385</v>
      </c>
      <c r="I23" s="5" t="s">
        <v>4386</v>
      </c>
    </row>
    <row r="24" spans="2:9" x14ac:dyDescent="0.2">
      <c r="B24" s="191">
        <v>0.99</v>
      </c>
      <c r="C24" s="192">
        <v>968903.89293227263</v>
      </c>
      <c r="D24" s="192">
        <v>628111.83377669915</v>
      </c>
      <c r="E24" s="193">
        <v>0.45685075636318895</v>
      </c>
      <c r="F24" s="193">
        <v>1.1872465894030526</v>
      </c>
      <c r="G24" s="34">
        <v>1.0503469009641442</v>
      </c>
      <c r="H24" s="5" t="s">
        <v>4385</v>
      </c>
      <c r="I24" s="5" t="s">
        <v>4386</v>
      </c>
    </row>
    <row r="25" spans="2:9" x14ac:dyDescent="0.2">
      <c r="B25" s="191">
        <v>0.98</v>
      </c>
      <c r="C25" s="192">
        <v>1157566.3517285325</v>
      </c>
      <c r="D25" s="192">
        <v>753001.16846303863</v>
      </c>
      <c r="E25" s="193">
        <v>0.51737027912993461</v>
      </c>
      <c r="F25" s="193">
        <v>1.3892601043457291</v>
      </c>
      <c r="G25" s="34">
        <v>1.0556868726959863</v>
      </c>
      <c r="H25" s="5" t="s">
        <v>4385</v>
      </c>
      <c r="I25" s="5" t="s">
        <v>4386</v>
      </c>
    </row>
    <row r="27" spans="2:9" x14ac:dyDescent="0.2">
      <c r="B27" s="406" t="s">
        <v>4456</v>
      </c>
      <c r="C27" s="406"/>
      <c r="D27" s="406"/>
      <c r="E27" s="406"/>
      <c r="F27" s="406"/>
      <c r="G27" s="406"/>
      <c r="H27" s="406"/>
      <c r="I27" s="406"/>
    </row>
    <row r="29" spans="2:9" x14ac:dyDescent="0.2">
      <c r="B29" s="265" t="s">
        <v>4457</v>
      </c>
      <c r="C29" s="265" t="s">
        <v>4379</v>
      </c>
      <c r="D29" s="265" t="s">
        <v>4380</v>
      </c>
      <c r="E29" s="265" t="s">
        <v>4381</v>
      </c>
      <c r="F29" s="265" t="s">
        <v>4382</v>
      </c>
      <c r="G29" s="265" t="s">
        <v>4324</v>
      </c>
      <c r="H29" s="265" t="s">
        <v>4383</v>
      </c>
      <c r="I29" s="265" t="s">
        <v>4384</v>
      </c>
    </row>
    <row r="30" spans="2:9" x14ac:dyDescent="0.2">
      <c r="B30" s="266" t="s">
        <v>4458</v>
      </c>
      <c r="C30" s="192">
        <v>259666.62897763232</v>
      </c>
      <c r="D30" s="192">
        <v>129260.70317707577</v>
      </c>
      <c r="E30" s="193">
        <v>0.2256244344129803</v>
      </c>
      <c r="F30" s="193">
        <v>0.52660195921110242</v>
      </c>
      <c r="G30" s="34">
        <v>1.039710254054893</v>
      </c>
      <c r="H30" s="5" t="s">
        <v>4388</v>
      </c>
      <c r="I30" s="5" t="s">
        <v>4387</v>
      </c>
    </row>
    <row r="31" spans="2:9" x14ac:dyDescent="0.2">
      <c r="B31" s="266" t="s">
        <v>4459</v>
      </c>
      <c r="C31" s="192">
        <v>697046.05611867842</v>
      </c>
      <c r="D31" s="192">
        <v>472581.92595321668</v>
      </c>
      <c r="E31" s="193">
        <v>0.36050013687441229</v>
      </c>
      <c r="F31" s="193">
        <v>0.83357678538525293</v>
      </c>
      <c r="G31" s="34">
        <v>1.0376125610155489</v>
      </c>
      <c r="H31" s="5" t="s">
        <v>4387</v>
      </c>
      <c r="I31" s="5" t="s">
        <v>4386</v>
      </c>
    </row>
    <row r="32" spans="2:9" x14ac:dyDescent="0.2">
      <c r="B32" s="266" t="s">
        <v>4460</v>
      </c>
      <c r="C32" s="270">
        <v>-125952.05189542186</v>
      </c>
      <c r="D32" s="270">
        <v>-107409.19465540048</v>
      </c>
      <c r="E32" s="193">
        <v>7.8459398710900574E-2</v>
      </c>
      <c r="F32" s="193">
        <v>9.5225468791924062E-2</v>
      </c>
      <c r="G32" s="34">
        <v>1.0243646424204038</v>
      </c>
      <c r="H32" s="5" t="s">
        <v>4400</v>
      </c>
      <c r="I32" s="5" t="s">
        <v>4400</v>
      </c>
    </row>
  </sheetData>
  <mergeCells count="3">
    <mergeCell ref="B2:I2"/>
    <mergeCell ref="B15:I15"/>
    <mergeCell ref="B27:I2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B2:R3701"/>
  <sheetViews>
    <sheetView workbookViewId="0">
      <selection activeCell="S3697" sqref="S3697"/>
    </sheetView>
  </sheetViews>
  <sheetFormatPr baseColWidth="10" defaultRowHeight="16" x14ac:dyDescent="0.2"/>
  <cols>
    <col min="2" max="2" width="8.5" customWidth="1"/>
    <col min="3" max="3" width="12" customWidth="1"/>
    <col min="4" max="5" width="21.1640625" customWidth="1"/>
    <col min="6" max="6" width="10" customWidth="1"/>
    <col min="10" max="10" width="13.33203125" customWidth="1"/>
    <col min="12" max="12" width="11.6640625" bestFit="1" customWidth="1"/>
  </cols>
  <sheetData>
    <row r="2" spans="2:6" x14ac:dyDescent="0.2">
      <c r="B2" s="291" t="s">
        <v>1778</v>
      </c>
      <c r="C2" s="291" t="s">
        <v>30</v>
      </c>
      <c r="D2" s="291" t="s">
        <v>33</v>
      </c>
      <c r="E2" s="291" t="s">
        <v>34</v>
      </c>
      <c r="F2" s="292" t="s">
        <v>1779</v>
      </c>
    </row>
    <row r="3" spans="2:6" hidden="1" x14ac:dyDescent="0.2">
      <c r="B3" s="291"/>
      <c r="C3" s="291"/>
      <c r="D3" s="291"/>
      <c r="E3" s="291"/>
      <c r="F3" s="292"/>
    </row>
    <row r="4" spans="2:6" hidden="1" x14ac:dyDescent="0.2">
      <c r="B4" s="4">
        <v>2014</v>
      </c>
      <c r="C4" s="11" t="s">
        <v>35</v>
      </c>
      <c r="D4" s="11" t="s">
        <v>36</v>
      </c>
      <c r="E4" s="11" t="s">
        <v>36</v>
      </c>
      <c r="F4" s="12">
        <v>30</v>
      </c>
    </row>
    <row r="5" spans="2:6" hidden="1" x14ac:dyDescent="0.2">
      <c r="B5" s="4">
        <v>2014</v>
      </c>
      <c r="C5" s="11" t="s">
        <v>35</v>
      </c>
      <c r="D5" s="11" t="s">
        <v>36</v>
      </c>
      <c r="E5" s="11" t="s">
        <v>37</v>
      </c>
      <c r="F5" s="12">
        <v>0</v>
      </c>
    </row>
    <row r="6" spans="2:6" hidden="1" x14ac:dyDescent="0.2">
      <c r="B6" s="4">
        <v>2014</v>
      </c>
      <c r="C6" s="11" t="s">
        <v>35</v>
      </c>
      <c r="D6" s="11" t="s">
        <v>36</v>
      </c>
      <c r="E6" s="11" t="s">
        <v>38</v>
      </c>
      <c r="F6" s="12">
        <v>12</v>
      </c>
    </row>
    <row r="7" spans="2:6" hidden="1" x14ac:dyDescent="0.2">
      <c r="B7" s="4">
        <v>2014</v>
      </c>
      <c r="C7" s="11" t="s">
        <v>35</v>
      </c>
      <c r="D7" s="11" t="s">
        <v>36</v>
      </c>
      <c r="E7" s="11" t="s">
        <v>39</v>
      </c>
      <c r="F7" s="12">
        <v>0</v>
      </c>
    </row>
    <row r="8" spans="2:6" hidden="1" x14ac:dyDescent="0.2">
      <c r="B8" s="4">
        <v>2014</v>
      </c>
      <c r="C8" s="11" t="s">
        <v>35</v>
      </c>
      <c r="D8" s="11" t="s">
        <v>36</v>
      </c>
      <c r="E8" s="11" t="s">
        <v>40</v>
      </c>
      <c r="F8" s="12">
        <v>0</v>
      </c>
    </row>
    <row r="9" spans="2:6" hidden="1" x14ac:dyDescent="0.2">
      <c r="B9" s="4">
        <v>2014</v>
      </c>
      <c r="C9" s="11" t="s">
        <v>35</v>
      </c>
      <c r="D9" s="11" t="s">
        <v>36</v>
      </c>
      <c r="E9" s="11" t="s">
        <v>41</v>
      </c>
      <c r="F9" s="12">
        <v>0</v>
      </c>
    </row>
    <row r="10" spans="2:6" hidden="1" x14ac:dyDescent="0.2">
      <c r="B10" s="4">
        <v>2014</v>
      </c>
      <c r="C10" s="11" t="s">
        <v>35</v>
      </c>
      <c r="D10" s="11" t="s">
        <v>36</v>
      </c>
      <c r="E10" s="11" t="s">
        <v>42</v>
      </c>
      <c r="F10" s="12">
        <v>0</v>
      </c>
    </row>
    <row r="11" spans="2:6" hidden="1" x14ac:dyDescent="0.2">
      <c r="B11" s="4">
        <v>2014</v>
      </c>
      <c r="C11" s="11" t="s">
        <v>35</v>
      </c>
      <c r="D11" s="11" t="s">
        <v>36</v>
      </c>
      <c r="E11" s="11" t="s">
        <v>43</v>
      </c>
      <c r="F11" s="12">
        <v>0</v>
      </c>
    </row>
    <row r="12" spans="2:6" hidden="1" x14ac:dyDescent="0.2">
      <c r="B12" s="4">
        <v>2014</v>
      </c>
      <c r="C12" s="11" t="s">
        <v>35</v>
      </c>
      <c r="D12" s="11" t="s">
        <v>36</v>
      </c>
      <c r="E12" s="11" t="s">
        <v>44</v>
      </c>
      <c r="F12" s="12">
        <v>0</v>
      </c>
    </row>
    <row r="13" spans="2:6" hidden="1" x14ac:dyDescent="0.2">
      <c r="B13" s="4">
        <v>2014</v>
      </c>
      <c r="C13" s="11" t="s">
        <v>35</v>
      </c>
      <c r="D13" s="11" t="s">
        <v>36</v>
      </c>
      <c r="E13" s="11" t="s">
        <v>45</v>
      </c>
      <c r="F13" s="12">
        <v>1</v>
      </c>
    </row>
    <row r="14" spans="2:6" hidden="1" x14ac:dyDescent="0.2">
      <c r="B14" s="4">
        <v>2014</v>
      </c>
      <c r="C14" s="11" t="s">
        <v>35</v>
      </c>
      <c r="D14" s="11" t="s">
        <v>36</v>
      </c>
      <c r="E14" s="11" t="s">
        <v>46</v>
      </c>
      <c r="F14" s="12">
        <v>4</v>
      </c>
    </row>
    <row r="15" spans="2:6" hidden="1" x14ac:dyDescent="0.2">
      <c r="B15" s="4">
        <v>2014</v>
      </c>
      <c r="C15" s="11" t="s">
        <v>35</v>
      </c>
      <c r="D15" s="11" t="s">
        <v>36</v>
      </c>
      <c r="E15" s="11" t="s">
        <v>47</v>
      </c>
      <c r="F15" s="12">
        <v>0</v>
      </c>
    </row>
    <row r="16" spans="2:6" hidden="1" x14ac:dyDescent="0.2">
      <c r="B16" s="4">
        <v>2014</v>
      </c>
      <c r="C16" s="11" t="s">
        <v>35</v>
      </c>
      <c r="D16" s="11" t="s">
        <v>36</v>
      </c>
      <c r="E16" s="11" t="s">
        <v>48</v>
      </c>
      <c r="F16" s="12">
        <v>0</v>
      </c>
    </row>
    <row r="17" spans="2:6" hidden="1" x14ac:dyDescent="0.2">
      <c r="B17" s="4">
        <v>2014</v>
      </c>
      <c r="C17" s="11" t="s">
        <v>35</v>
      </c>
      <c r="D17" s="11" t="s">
        <v>36</v>
      </c>
      <c r="E17" s="11" t="s">
        <v>49</v>
      </c>
      <c r="F17" s="12">
        <v>5</v>
      </c>
    </row>
    <row r="18" spans="2:6" hidden="1" x14ac:dyDescent="0.2">
      <c r="B18" s="4">
        <v>2014</v>
      </c>
      <c r="C18" s="11" t="s">
        <v>35</v>
      </c>
      <c r="D18" s="11" t="s">
        <v>36</v>
      </c>
      <c r="E18" s="11" t="s">
        <v>50</v>
      </c>
      <c r="F18" s="12">
        <v>1</v>
      </c>
    </row>
    <row r="19" spans="2:6" hidden="1" x14ac:dyDescent="0.2">
      <c r="B19" s="4">
        <v>2014</v>
      </c>
      <c r="C19" s="11" t="s">
        <v>35</v>
      </c>
      <c r="D19" s="11" t="s">
        <v>36</v>
      </c>
      <c r="E19" s="11" t="s">
        <v>51</v>
      </c>
      <c r="F19" s="12">
        <v>0</v>
      </c>
    </row>
    <row r="20" spans="2:6" hidden="1" x14ac:dyDescent="0.2">
      <c r="B20" s="4">
        <v>2014</v>
      </c>
      <c r="C20" s="11" t="s">
        <v>35</v>
      </c>
      <c r="D20" s="11" t="s">
        <v>36</v>
      </c>
      <c r="E20" s="11" t="s">
        <v>52</v>
      </c>
      <c r="F20" s="12">
        <v>0</v>
      </c>
    </row>
    <row r="21" spans="2:6" hidden="1" x14ac:dyDescent="0.2">
      <c r="B21" s="4">
        <v>2014</v>
      </c>
      <c r="C21" s="11" t="s">
        <v>35</v>
      </c>
      <c r="D21" s="11" t="s">
        <v>36</v>
      </c>
      <c r="E21" s="11" t="s">
        <v>53</v>
      </c>
      <c r="F21" s="12">
        <v>0</v>
      </c>
    </row>
    <row r="22" spans="2:6" hidden="1" x14ac:dyDescent="0.2">
      <c r="B22" s="4">
        <v>2014</v>
      </c>
      <c r="C22" s="11" t="s">
        <v>35</v>
      </c>
      <c r="D22" s="11" t="s">
        <v>36</v>
      </c>
      <c r="E22" s="11" t="s">
        <v>54</v>
      </c>
      <c r="F22" s="12">
        <v>0</v>
      </c>
    </row>
    <row r="23" spans="2:6" hidden="1" x14ac:dyDescent="0.2">
      <c r="B23" s="4">
        <v>2014</v>
      </c>
      <c r="C23" s="11" t="s">
        <v>35</v>
      </c>
      <c r="D23" s="11" t="s">
        <v>36</v>
      </c>
      <c r="E23" s="11" t="s">
        <v>55</v>
      </c>
      <c r="F23" s="12">
        <v>0</v>
      </c>
    </row>
    <row r="24" spans="2:6" hidden="1" x14ac:dyDescent="0.2">
      <c r="B24" s="4">
        <v>2014</v>
      </c>
      <c r="C24" s="11" t="s">
        <v>35</v>
      </c>
      <c r="D24" s="11" t="s">
        <v>36</v>
      </c>
      <c r="E24" s="11" t="s">
        <v>56</v>
      </c>
      <c r="F24" s="12">
        <v>0</v>
      </c>
    </row>
    <row r="25" spans="2:6" hidden="1" x14ac:dyDescent="0.2">
      <c r="B25" s="4">
        <v>2014</v>
      </c>
      <c r="C25" s="11" t="s">
        <v>35</v>
      </c>
      <c r="D25" s="11" t="s">
        <v>57</v>
      </c>
      <c r="E25" s="11" t="s">
        <v>57</v>
      </c>
      <c r="F25" s="12">
        <v>25</v>
      </c>
    </row>
    <row r="26" spans="2:6" hidden="1" x14ac:dyDescent="0.2">
      <c r="B26" s="4">
        <v>2014</v>
      </c>
      <c r="C26" s="11" t="s">
        <v>35</v>
      </c>
      <c r="D26" s="11" t="s">
        <v>57</v>
      </c>
      <c r="E26" s="11" t="s">
        <v>58</v>
      </c>
      <c r="F26" s="12">
        <v>1</v>
      </c>
    </row>
    <row r="27" spans="2:6" hidden="1" x14ac:dyDescent="0.2">
      <c r="B27" s="4">
        <v>2014</v>
      </c>
      <c r="C27" s="11" t="s">
        <v>35</v>
      </c>
      <c r="D27" s="11" t="s">
        <v>57</v>
      </c>
      <c r="E27" s="11" t="s">
        <v>59</v>
      </c>
      <c r="F27" s="12">
        <v>2</v>
      </c>
    </row>
    <row r="28" spans="2:6" hidden="1" x14ac:dyDescent="0.2">
      <c r="B28" s="4">
        <v>2014</v>
      </c>
      <c r="C28" s="11" t="s">
        <v>35</v>
      </c>
      <c r="D28" s="11" t="s">
        <v>57</v>
      </c>
      <c r="E28" s="11" t="s">
        <v>60</v>
      </c>
      <c r="F28" s="12">
        <v>0</v>
      </c>
    </row>
    <row r="29" spans="2:6" hidden="1" x14ac:dyDescent="0.2">
      <c r="B29" s="4">
        <v>2014</v>
      </c>
      <c r="C29" s="11" t="s">
        <v>35</v>
      </c>
      <c r="D29" s="11" t="s">
        <v>57</v>
      </c>
      <c r="E29" s="11" t="s">
        <v>61</v>
      </c>
      <c r="F29" s="12">
        <v>5</v>
      </c>
    </row>
    <row r="30" spans="2:6" hidden="1" x14ac:dyDescent="0.2">
      <c r="B30" s="4">
        <v>2014</v>
      </c>
      <c r="C30" s="11" t="s">
        <v>35</v>
      </c>
      <c r="D30" s="11" t="s">
        <v>57</v>
      </c>
      <c r="E30" s="11" t="s">
        <v>62</v>
      </c>
      <c r="F30" s="12">
        <v>1</v>
      </c>
    </row>
    <row r="31" spans="2:6" hidden="1" x14ac:dyDescent="0.2">
      <c r="B31" s="4">
        <v>2014</v>
      </c>
      <c r="C31" s="11" t="s">
        <v>35</v>
      </c>
      <c r="D31" s="11" t="s">
        <v>63</v>
      </c>
      <c r="E31" s="11" t="s">
        <v>64</v>
      </c>
      <c r="F31" s="12">
        <v>2</v>
      </c>
    </row>
    <row r="32" spans="2:6" hidden="1" x14ac:dyDescent="0.2">
      <c r="B32" s="4">
        <v>2014</v>
      </c>
      <c r="C32" s="11" t="s">
        <v>35</v>
      </c>
      <c r="D32" s="11" t="s">
        <v>63</v>
      </c>
      <c r="E32" s="11" t="s">
        <v>65</v>
      </c>
      <c r="F32" s="12">
        <v>0</v>
      </c>
    </row>
    <row r="33" spans="2:6" hidden="1" x14ac:dyDescent="0.2">
      <c r="B33" s="4">
        <v>2014</v>
      </c>
      <c r="C33" s="11" t="s">
        <v>35</v>
      </c>
      <c r="D33" s="11" t="s">
        <v>63</v>
      </c>
      <c r="E33" s="11" t="s">
        <v>66</v>
      </c>
      <c r="F33" s="12">
        <v>0</v>
      </c>
    </row>
    <row r="34" spans="2:6" hidden="1" x14ac:dyDescent="0.2">
      <c r="B34" s="4">
        <v>2014</v>
      </c>
      <c r="C34" s="11" t="s">
        <v>35</v>
      </c>
      <c r="D34" s="11" t="s">
        <v>63</v>
      </c>
      <c r="E34" s="11" t="s">
        <v>67</v>
      </c>
      <c r="F34" s="12">
        <v>0</v>
      </c>
    </row>
    <row r="35" spans="2:6" hidden="1" x14ac:dyDescent="0.2">
      <c r="B35" s="4">
        <v>2014</v>
      </c>
      <c r="C35" s="11" t="s">
        <v>35</v>
      </c>
      <c r="D35" s="11" t="s">
        <v>63</v>
      </c>
      <c r="E35" s="11" t="s">
        <v>68</v>
      </c>
      <c r="F35" s="12">
        <v>0</v>
      </c>
    </row>
    <row r="36" spans="2:6" hidden="1" x14ac:dyDescent="0.2">
      <c r="B36" s="4">
        <v>2014</v>
      </c>
      <c r="C36" s="11" t="s">
        <v>35</v>
      </c>
      <c r="D36" s="11" t="s">
        <v>63</v>
      </c>
      <c r="E36" s="11" t="s">
        <v>69</v>
      </c>
      <c r="F36" s="12">
        <v>10</v>
      </c>
    </row>
    <row r="37" spans="2:6" hidden="1" x14ac:dyDescent="0.2">
      <c r="B37" s="4">
        <v>2014</v>
      </c>
      <c r="C37" s="11" t="s">
        <v>35</v>
      </c>
      <c r="D37" s="11" t="s">
        <v>63</v>
      </c>
      <c r="E37" s="11" t="s">
        <v>70</v>
      </c>
      <c r="F37" s="12">
        <v>2</v>
      </c>
    </row>
    <row r="38" spans="2:6" hidden="1" x14ac:dyDescent="0.2">
      <c r="B38" s="4">
        <v>2014</v>
      </c>
      <c r="C38" s="11" t="s">
        <v>35</v>
      </c>
      <c r="D38" s="11" t="s">
        <v>63</v>
      </c>
      <c r="E38" s="11" t="s">
        <v>71</v>
      </c>
      <c r="F38" s="12">
        <v>0</v>
      </c>
    </row>
    <row r="39" spans="2:6" hidden="1" x14ac:dyDescent="0.2">
      <c r="B39" s="4">
        <v>2014</v>
      </c>
      <c r="C39" s="11" t="s">
        <v>35</v>
      </c>
      <c r="D39" s="11" t="s">
        <v>63</v>
      </c>
      <c r="E39" s="11" t="s">
        <v>72</v>
      </c>
      <c r="F39" s="12">
        <v>0</v>
      </c>
    </row>
    <row r="40" spans="2:6" hidden="1" x14ac:dyDescent="0.2">
      <c r="B40" s="4">
        <v>2014</v>
      </c>
      <c r="C40" s="11" t="s">
        <v>35</v>
      </c>
      <c r="D40" s="11" t="s">
        <v>63</v>
      </c>
      <c r="E40" s="11" t="s">
        <v>73</v>
      </c>
      <c r="F40" s="12">
        <v>0</v>
      </c>
    </row>
    <row r="41" spans="2:6" hidden="1" x14ac:dyDescent="0.2">
      <c r="B41" s="4">
        <v>2014</v>
      </c>
      <c r="C41" s="11" t="s">
        <v>35</v>
      </c>
      <c r="D41" s="11" t="s">
        <v>63</v>
      </c>
      <c r="E41" s="11" t="s">
        <v>74</v>
      </c>
      <c r="F41" s="12">
        <v>5</v>
      </c>
    </row>
    <row r="42" spans="2:6" hidden="1" x14ac:dyDescent="0.2">
      <c r="B42" s="4">
        <v>2014</v>
      </c>
      <c r="C42" s="11" t="s">
        <v>35</v>
      </c>
      <c r="D42" s="11" t="s">
        <v>63</v>
      </c>
      <c r="E42" s="11" t="s">
        <v>75</v>
      </c>
      <c r="F42" s="12">
        <v>0</v>
      </c>
    </row>
    <row r="43" spans="2:6" hidden="1" x14ac:dyDescent="0.2">
      <c r="B43" s="4">
        <v>2014</v>
      </c>
      <c r="C43" s="11" t="s">
        <v>35</v>
      </c>
      <c r="D43" s="11" t="s">
        <v>76</v>
      </c>
      <c r="E43" s="11" t="s">
        <v>77</v>
      </c>
      <c r="F43" s="12">
        <v>1</v>
      </c>
    </row>
    <row r="44" spans="2:6" hidden="1" x14ac:dyDescent="0.2">
      <c r="B44" s="4">
        <v>2014</v>
      </c>
      <c r="C44" s="11" t="s">
        <v>35</v>
      </c>
      <c r="D44" s="11" t="s">
        <v>76</v>
      </c>
      <c r="E44" s="11" t="s">
        <v>78</v>
      </c>
      <c r="F44" s="12">
        <v>1</v>
      </c>
    </row>
    <row r="45" spans="2:6" hidden="1" x14ac:dyDescent="0.2">
      <c r="B45" s="4">
        <v>2014</v>
      </c>
      <c r="C45" s="11" t="s">
        <v>35</v>
      </c>
      <c r="D45" s="11" t="s">
        <v>76</v>
      </c>
      <c r="E45" s="11" t="s">
        <v>79</v>
      </c>
      <c r="F45" s="12">
        <v>0</v>
      </c>
    </row>
    <row r="46" spans="2:6" hidden="1" x14ac:dyDescent="0.2">
      <c r="B46" s="4">
        <v>2014</v>
      </c>
      <c r="C46" s="11" t="s">
        <v>35</v>
      </c>
      <c r="D46" s="11" t="s">
        <v>80</v>
      </c>
      <c r="E46" s="11" t="s">
        <v>81</v>
      </c>
      <c r="F46" s="12">
        <v>1</v>
      </c>
    </row>
    <row r="47" spans="2:6" hidden="1" x14ac:dyDescent="0.2">
      <c r="B47" s="4">
        <v>2014</v>
      </c>
      <c r="C47" s="11" t="s">
        <v>35</v>
      </c>
      <c r="D47" s="11" t="s">
        <v>80</v>
      </c>
      <c r="E47" s="11" t="s">
        <v>82</v>
      </c>
      <c r="F47" s="12">
        <v>0</v>
      </c>
    </row>
    <row r="48" spans="2:6" hidden="1" x14ac:dyDescent="0.2">
      <c r="B48" s="4">
        <v>2014</v>
      </c>
      <c r="C48" s="11" t="s">
        <v>35</v>
      </c>
      <c r="D48" s="11" t="s">
        <v>80</v>
      </c>
      <c r="E48" s="11" t="s">
        <v>83</v>
      </c>
      <c r="F48" s="12">
        <v>0</v>
      </c>
    </row>
    <row r="49" spans="2:6" hidden="1" x14ac:dyDescent="0.2">
      <c r="B49" s="4">
        <v>2014</v>
      </c>
      <c r="C49" s="11" t="s">
        <v>35</v>
      </c>
      <c r="D49" s="11" t="s">
        <v>80</v>
      </c>
      <c r="E49" s="11" t="s">
        <v>84</v>
      </c>
      <c r="F49" s="12">
        <v>0</v>
      </c>
    </row>
    <row r="50" spans="2:6" hidden="1" x14ac:dyDescent="0.2">
      <c r="B50" s="4">
        <v>2014</v>
      </c>
      <c r="C50" s="11" t="s">
        <v>35</v>
      </c>
      <c r="D50" s="11" t="s">
        <v>80</v>
      </c>
      <c r="E50" s="11" t="s">
        <v>85</v>
      </c>
      <c r="F50" s="12">
        <v>0</v>
      </c>
    </row>
    <row r="51" spans="2:6" hidden="1" x14ac:dyDescent="0.2">
      <c r="B51" s="4">
        <v>2014</v>
      </c>
      <c r="C51" s="11" t="s">
        <v>35</v>
      </c>
      <c r="D51" s="11" t="s">
        <v>80</v>
      </c>
      <c r="E51" s="11" t="s">
        <v>86</v>
      </c>
      <c r="F51" s="12">
        <v>0</v>
      </c>
    </row>
    <row r="52" spans="2:6" hidden="1" x14ac:dyDescent="0.2">
      <c r="B52" s="4">
        <v>2014</v>
      </c>
      <c r="C52" s="11" t="s">
        <v>35</v>
      </c>
      <c r="D52" s="11" t="s">
        <v>80</v>
      </c>
      <c r="E52" s="11" t="s">
        <v>87</v>
      </c>
      <c r="F52" s="12">
        <v>2</v>
      </c>
    </row>
    <row r="53" spans="2:6" hidden="1" x14ac:dyDescent="0.2">
      <c r="B53" s="4">
        <v>2014</v>
      </c>
      <c r="C53" s="11" t="s">
        <v>35</v>
      </c>
      <c r="D53" s="11" t="s">
        <v>80</v>
      </c>
      <c r="E53" s="11" t="s">
        <v>88</v>
      </c>
      <c r="F53" s="12">
        <v>0</v>
      </c>
    </row>
    <row r="54" spans="2:6" hidden="1" x14ac:dyDescent="0.2">
      <c r="B54" s="4">
        <v>2014</v>
      </c>
      <c r="C54" s="11" t="s">
        <v>35</v>
      </c>
      <c r="D54" s="11" t="s">
        <v>80</v>
      </c>
      <c r="E54" s="11" t="s">
        <v>80</v>
      </c>
      <c r="F54" s="12">
        <v>2</v>
      </c>
    </row>
    <row r="55" spans="2:6" hidden="1" x14ac:dyDescent="0.2">
      <c r="B55" s="4">
        <v>2014</v>
      </c>
      <c r="C55" s="11" t="s">
        <v>35</v>
      </c>
      <c r="D55" s="11" t="s">
        <v>80</v>
      </c>
      <c r="E55" s="11" t="s">
        <v>89</v>
      </c>
      <c r="F55" s="12">
        <v>0</v>
      </c>
    </row>
    <row r="56" spans="2:6" hidden="1" x14ac:dyDescent="0.2">
      <c r="B56" s="4">
        <v>2014</v>
      </c>
      <c r="C56" s="11" t="s">
        <v>35</v>
      </c>
      <c r="D56" s="11" t="s">
        <v>80</v>
      </c>
      <c r="E56" s="11" t="s">
        <v>90</v>
      </c>
      <c r="F56" s="12">
        <v>0</v>
      </c>
    </row>
    <row r="57" spans="2:6" hidden="1" x14ac:dyDescent="0.2">
      <c r="B57" s="4">
        <v>2014</v>
      </c>
      <c r="C57" s="11" t="s">
        <v>35</v>
      </c>
      <c r="D57" s="11" t="s">
        <v>80</v>
      </c>
      <c r="E57" s="11" t="s">
        <v>91</v>
      </c>
      <c r="F57" s="12">
        <v>0</v>
      </c>
    </row>
    <row r="58" spans="2:6" hidden="1" x14ac:dyDescent="0.2">
      <c r="B58" s="4">
        <v>2014</v>
      </c>
      <c r="C58" s="11" t="s">
        <v>35</v>
      </c>
      <c r="D58" s="11" t="s">
        <v>80</v>
      </c>
      <c r="E58" s="11" t="s">
        <v>92</v>
      </c>
      <c r="F58" s="12">
        <v>0</v>
      </c>
    </row>
    <row r="59" spans="2:6" hidden="1" x14ac:dyDescent="0.2">
      <c r="B59" s="4">
        <v>2014</v>
      </c>
      <c r="C59" s="11" t="s">
        <v>35</v>
      </c>
      <c r="D59" s="11" t="s">
        <v>80</v>
      </c>
      <c r="E59" s="11" t="s">
        <v>93</v>
      </c>
      <c r="F59" s="12">
        <v>0</v>
      </c>
    </row>
    <row r="60" spans="2:6" hidden="1" x14ac:dyDescent="0.2">
      <c r="B60" s="4">
        <v>2014</v>
      </c>
      <c r="C60" s="11" t="s">
        <v>35</v>
      </c>
      <c r="D60" s="11" t="s">
        <v>80</v>
      </c>
      <c r="E60" s="11" t="s">
        <v>94</v>
      </c>
      <c r="F60" s="12">
        <v>0</v>
      </c>
    </row>
    <row r="61" spans="2:6" hidden="1" x14ac:dyDescent="0.2">
      <c r="B61" s="4">
        <v>2014</v>
      </c>
      <c r="C61" s="11" t="s">
        <v>35</v>
      </c>
      <c r="D61" s="11" t="s">
        <v>80</v>
      </c>
      <c r="E61" s="11" t="s">
        <v>95</v>
      </c>
      <c r="F61" s="12">
        <v>0</v>
      </c>
    </row>
    <row r="62" spans="2:6" hidden="1" x14ac:dyDescent="0.2">
      <c r="B62" s="4">
        <v>2014</v>
      </c>
      <c r="C62" s="11" t="s">
        <v>35</v>
      </c>
      <c r="D62" s="11" t="s">
        <v>80</v>
      </c>
      <c r="E62" s="11" t="s">
        <v>96</v>
      </c>
      <c r="F62" s="12">
        <v>0</v>
      </c>
    </row>
    <row r="63" spans="2:6" hidden="1" x14ac:dyDescent="0.2">
      <c r="B63" s="4">
        <v>2014</v>
      </c>
      <c r="C63" s="11" t="s">
        <v>35</v>
      </c>
      <c r="D63" s="11" t="s">
        <v>80</v>
      </c>
      <c r="E63" s="11" t="s">
        <v>97</v>
      </c>
      <c r="F63" s="12">
        <v>0</v>
      </c>
    </row>
    <row r="64" spans="2:6" hidden="1" x14ac:dyDescent="0.2">
      <c r="B64" s="4">
        <v>2014</v>
      </c>
      <c r="C64" s="11" t="s">
        <v>35</v>
      </c>
      <c r="D64" s="11" t="s">
        <v>80</v>
      </c>
      <c r="E64" s="11" t="s">
        <v>98</v>
      </c>
      <c r="F64" s="12">
        <v>0</v>
      </c>
    </row>
    <row r="65" spans="2:6" hidden="1" x14ac:dyDescent="0.2">
      <c r="B65" s="4">
        <v>2014</v>
      </c>
      <c r="C65" s="11" t="s">
        <v>35</v>
      </c>
      <c r="D65" s="11" t="s">
        <v>80</v>
      </c>
      <c r="E65" s="11" t="s">
        <v>99</v>
      </c>
      <c r="F65" s="12">
        <v>0</v>
      </c>
    </row>
    <row r="66" spans="2:6" hidden="1" x14ac:dyDescent="0.2">
      <c r="B66" s="4">
        <v>2014</v>
      </c>
      <c r="C66" s="11" t="s">
        <v>35</v>
      </c>
      <c r="D66" s="11" t="s">
        <v>80</v>
      </c>
      <c r="E66" s="11" t="s">
        <v>100</v>
      </c>
      <c r="F66" s="12">
        <v>4</v>
      </c>
    </row>
    <row r="67" spans="2:6" hidden="1" x14ac:dyDescent="0.2">
      <c r="B67" s="4">
        <v>2014</v>
      </c>
      <c r="C67" s="11" t="s">
        <v>35</v>
      </c>
      <c r="D67" s="11" t="s">
        <v>80</v>
      </c>
      <c r="E67" s="11" t="s">
        <v>101</v>
      </c>
      <c r="F67" s="12">
        <v>1</v>
      </c>
    </row>
    <row r="68" spans="2:6" hidden="1" x14ac:dyDescent="0.2">
      <c r="B68" s="4">
        <v>2014</v>
      </c>
      <c r="C68" s="11" t="s">
        <v>35</v>
      </c>
      <c r="D68" s="11" t="s">
        <v>80</v>
      </c>
      <c r="E68" s="11" t="s">
        <v>102</v>
      </c>
      <c r="F68" s="12">
        <v>0</v>
      </c>
    </row>
    <row r="69" spans="2:6" hidden="1" x14ac:dyDescent="0.2">
      <c r="B69" s="4">
        <v>2014</v>
      </c>
      <c r="C69" s="11" t="s">
        <v>35</v>
      </c>
      <c r="D69" s="11" t="s">
        <v>103</v>
      </c>
      <c r="E69" s="11" t="s">
        <v>104</v>
      </c>
      <c r="F69" s="12">
        <v>6</v>
      </c>
    </row>
    <row r="70" spans="2:6" hidden="1" x14ac:dyDescent="0.2">
      <c r="B70" s="4">
        <v>2014</v>
      </c>
      <c r="C70" s="11" t="s">
        <v>35</v>
      </c>
      <c r="D70" s="11" t="s">
        <v>103</v>
      </c>
      <c r="E70" s="11" t="s">
        <v>105</v>
      </c>
      <c r="F70" s="12">
        <v>0</v>
      </c>
    </row>
    <row r="71" spans="2:6" hidden="1" x14ac:dyDescent="0.2">
      <c r="B71" s="4">
        <v>2014</v>
      </c>
      <c r="C71" s="11" t="s">
        <v>35</v>
      </c>
      <c r="D71" s="11" t="s">
        <v>103</v>
      </c>
      <c r="E71" s="11" t="s">
        <v>106</v>
      </c>
      <c r="F71" s="12">
        <v>0</v>
      </c>
    </row>
    <row r="72" spans="2:6" hidden="1" x14ac:dyDescent="0.2">
      <c r="B72" s="4">
        <v>2014</v>
      </c>
      <c r="C72" s="11" t="s">
        <v>35</v>
      </c>
      <c r="D72" s="11" t="s">
        <v>103</v>
      </c>
      <c r="E72" s="11" t="s">
        <v>107</v>
      </c>
      <c r="F72" s="12">
        <v>1</v>
      </c>
    </row>
    <row r="73" spans="2:6" hidden="1" x14ac:dyDescent="0.2">
      <c r="B73" s="4">
        <v>2014</v>
      </c>
      <c r="C73" s="11" t="s">
        <v>35</v>
      </c>
      <c r="D73" s="11" t="s">
        <v>103</v>
      </c>
      <c r="E73" s="11" t="s">
        <v>108</v>
      </c>
      <c r="F73" s="12">
        <v>0</v>
      </c>
    </row>
    <row r="74" spans="2:6" hidden="1" x14ac:dyDescent="0.2">
      <c r="B74" s="4">
        <v>2014</v>
      </c>
      <c r="C74" s="11" t="s">
        <v>35</v>
      </c>
      <c r="D74" s="11" t="s">
        <v>103</v>
      </c>
      <c r="E74" s="11" t="s">
        <v>109</v>
      </c>
      <c r="F74" s="12">
        <v>1</v>
      </c>
    </row>
    <row r="75" spans="2:6" hidden="1" x14ac:dyDescent="0.2">
      <c r="B75" s="4">
        <v>2014</v>
      </c>
      <c r="C75" s="11" t="s">
        <v>35</v>
      </c>
      <c r="D75" s="11" t="s">
        <v>103</v>
      </c>
      <c r="E75" s="11" t="s">
        <v>110</v>
      </c>
      <c r="F75" s="12">
        <v>2</v>
      </c>
    </row>
    <row r="76" spans="2:6" hidden="1" x14ac:dyDescent="0.2">
      <c r="B76" s="4">
        <v>2014</v>
      </c>
      <c r="C76" s="11" t="s">
        <v>35</v>
      </c>
      <c r="D76" s="11" t="s">
        <v>103</v>
      </c>
      <c r="E76" s="11" t="s">
        <v>111</v>
      </c>
      <c r="F76" s="12">
        <v>0</v>
      </c>
    </row>
    <row r="77" spans="2:6" hidden="1" x14ac:dyDescent="0.2">
      <c r="B77" s="4">
        <v>2014</v>
      </c>
      <c r="C77" s="11" t="s">
        <v>35</v>
      </c>
      <c r="D77" s="11" t="s">
        <v>103</v>
      </c>
      <c r="E77" s="11" t="s">
        <v>112</v>
      </c>
      <c r="F77" s="12">
        <v>1</v>
      </c>
    </row>
    <row r="78" spans="2:6" hidden="1" x14ac:dyDescent="0.2">
      <c r="B78" s="4">
        <v>2014</v>
      </c>
      <c r="C78" s="11" t="s">
        <v>35</v>
      </c>
      <c r="D78" s="11" t="s">
        <v>103</v>
      </c>
      <c r="E78" s="11" t="s">
        <v>113</v>
      </c>
      <c r="F78" s="12">
        <v>4</v>
      </c>
    </row>
    <row r="79" spans="2:6" hidden="1" x14ac:dyDescent="0.2">
      <c r="B79" s="4">
        <v>2014</v>
      </c>
      <c r="C79" s="11" t="s">
        <v>35</v>
      </c>
      <c r="D79" s="11" t="s">
        <v>103</v>
      </c>
      <c r="E79" s="11" t="s">
        <v>114</v>
      </c>
      <c r="F79" s="12">
        <v>0</v>
      </c>
    </row>
    <row r="80" spans="2:6" hidden="1" x14ac:dyDescent="0.2">
      <c r="B80" s="4">
        <v>2014</v>
      </c>
      <c r="C80" s="11" t="s">
        <v>35</v>
      </c>
      <c r="D80" s="11" t="s">
        <v>103</v>
      </c>
      <c r="E80" s="11" t="s">
        <v>115</v>
      </c>
      <c r="F80" s="12">
        <v>5</v>
      </c>
    </row>
    <row r="81" spans="2:6" hidden="1" x14ac:dyDescent="0.2">
      <c r="B81" s="4">
        <v>2014</v>
      </c>
      <c r="C81" s="11" t="s">
        <v>35</v>
      </c>
      <c r="D81" s="11" t="s">
        <v>116</v>
      </c>
      <c r="E81" s="11" t="s">
        <v>117</v>
      </c>
      <c r="F81" s="12">
        <v>64</v>
      </c>
    </row>
    <row r="82" spans="2:6" hidden="1" x14ac:dyDescent="0.2">
      <c r="B82" s="4">
        <v>2014</v>
      </c>
      <c r="C82" s="11" t="s">
        <v>35</v>
      </c>
      <c r="D82" s="11" t="s">
        <v>116</v>
      </c>
      <c r="E82" s="11" t="s">
        <v>118</v>
      </c>
      <c r="F82" s="12">
        <v>1</v>
      </c>
    </row>
    <row r="83" spans="2:6" hidden="1" x14ac:dyDescent="0.2">
      <c r="B83" s="4">
        <v>2014</v>
      </c>
      <c r="C83" s="11" t="s">
        <v>35</v>
      </c>
      <c r="D83" s="11" t="s">
        <v>116</v>
      </c>
      <c r="E83" s="11" t="s">
        <v>119</v>
      </c>
      <c r="F83" s="12">
        <v>10</v>
      </c>
    </row>
    <row r="84" spans="2:6" hidden="1" x14ac:dyDescent="0.2">
      <c r="B84" s="4">
        <v>2014</v>
      </c>
      <c r="C84" s="11" t="s">
        <v>35</v>
      </c>
      <c r="D84" s="11" t="s">
        <v>116</v>
      </c>
      <c r="E84" s="11" t="s">
        <v>120</v>
      </c>
      <c r="F84" s="12">
        <v>2</v>
      </c>
    </row>
    <row r="85" spans="2:6" hidden="1" x14ac:dyDescent="0.2">
      <c r="B85" s="4">
        <v>2014</v>
      </c>
      <c r="C85" s="11" t="s">
        <v>35</v>
      </c>
      <c r="D85" s="11" t="s">
        <v>116</v>
      </c>
      <c r="E85" s="11" t="s">
        <v>121</v>
      </c>
      <c r="F85" s="12">
        <v>2</v>
      </c>
    </row>
    <row r="86" spans="2:6" hidden="1" x14ac:dyDescent="0.2">
      <c r="B86" s="4">
        <v>2014</v>
      </c>
      <c r="C86" s="11" t="s">
        <v>35</v>
      </c>
      <c r="D86" s="11" t="s">
        <v>116</v>
      </c>
      <c r="E86" s="11" t="s">
        <v>122</v>
      </c>
      <c r="F86" s="12">
        <v>2</v>
      </c>
    </row>
    <row r="87" spans="2:6" hidden="1" x14ac:dyDescent="0.2">
      <c r="B87" s="4">
        <v>2014</v>
      </c>
      <c r="C87" s="11" t="s">
        <v>35</v>
      </c>
      <c r="D87" s="11" t="s">
        <v>116</v>
      </c>
      <c r="E87" s="11" t="s">
        <v>123</v>
      </c>
      <c r="F87" s="12">
        <v>0</v>
      </c>
    </row>
    <row r="88" spans="2:6" hidden="1" x14ac:dyDescent="0.2">
      <c r="B88" s="4">
        <v>2014</v>
      </c>
      <c r="C88" s="11" t="s">
        <v>124</v>
      </c>
      <c r="D88" s="11" t="s">
        <v>125</v>
      </c>
      <c r="E88" s="11" t="s">
        <v>125</v>
      </c>
      <c r="F88" s="12">
        <v>169</v>
      </c>
    </row>
    <row r="89" spans="2:6" hidden="1" x14ac:dyDescent="0.2">
      <c r="B89" s="4">
        <v>2014</v>
      </c>
      <c r="C89" s="11" t="s">
        <v>124</v>
      </c>
      <c r="D89" s="11" t="s">
        <v>125</v>
      </c>
      <c r="E89" s="11" t="s">
        <v>126</v>
      </c>
      <c r="F89" s="12">
        <v>0</v>
      </c>
    </row>
    <row r="90" spans="2:6" hidden="1" x14ac:dyDescent="0.2">
      <c r="B90" s="4">
        <v>2014</v>
      </c>
      <c r="C90" s="11" t="s">
        <v>124</v>
      </c>
      <c r="D90" s="11" t="s">
        <v>125</v>
      </c>
      <c r="E90" s="11" t="s">
        <v>127</v>
      </c>
      <c r="F90" s="12">
        <v>0</v>
      </c>
    </row>
    <row r="91" spans="2:6" hidden="1" x14ac:dyDescent="0.2">
      <c r="B91" s="4">
        <v>2014</v>
      </c>
      <c r="C91" s="11" t="s">
        <v>124</v>
      </c>
      <c r="D91" s="11" t="s">
        <v>125</v>
      </c>
      <c r="E91" s="11" t="s">
        <v>128</v>
      </c>
      <c r="F91" s="12">
        <v>1</v>
      </c>
    </row>
    <row r="92" spans="2:6" hidden="1" x14ac:dyDescent="0.2">
      <c r="B92" s="4">
        <v>2014</v>
      </c>
      <c r="C92" s="11" t="s">
        <v>124</v>
      </c>
      <c r="D92" s="11" t="s">
        <v>125</v>
      </c>
      <c r="E92" s="11" t="s">
        <v>129</v>
      </c>
      <c r="F92" s="12">
        <v>42</v>
      </c>
    </row>
    <row r="93" spans="2:6" hidden="1" x14ac:dyDescent="0.2">
      <c r="B93" s="4">
        <v>2014</v>
      </c>
      <c r="C93" s="11" t="s">
        <v>124</v>
      </c>
      <c r="D93" s="11" t="s">
        <v>125</v>
      </c>
      <c r="E93" s="11" t="s">
        <v>130</v>
      </c>
      <c r="F93" s="12">
        <v>2</v>
      </c>
    </row>
    <row r="94" spans="2:6" hidden="1" x14ac:dyDescent="0.2">
      <c r="B94" s="4">
        <v>2014</v>
      </c>
      <c r="C94" s="11" t="s">
        <v>124</v>
      </c>
      <c r="D94" s="11" t="s">
        <v>125</v>
      </c>
      <c r="E94" s="11" t="s">
        <v>131</v>
      </c>
      <c r="F94" s="12">
        <v>2</v>
      </c>
    </row>
    <row r="95" spans="2:6" hidden="1" x14ac:dyDescent="0.2">
      <c r="B95" s="4">
        <v>2014</v>
      </c>
      <c r="C95" s="11" t="s">
        <v>124</v>
      </c>
      <c r="D95" s="11" t="s">
        <v>125</v>
      </c>
      <c r="E95" s="11" t="s">
        <v>51</v>
      </c>
      <c r="F95" s="12">
        <v>0</v>
      </c>
    </row>
    <row r="96" spans="2:6" hidden="1" x14ac:dyDescent="0.2">
      <c r="B96" s="4">
        <v>2014</v>
      </c>
      <c r="C96" s="11" t="s">
        <v>124</v>
      </c>
      <c r="D96" s="11" t="s">
        <v>125</v>
      </c>
      <c r="E96" s="11" t="s">
        <v>132</v>
      </c>
      <c r="F96" s="12">
        <v>2</v>
      </c>
    </row>
    <row r="97" spans="2:6" hidden="1" x14ac:dyDescent="0.2">
      <c r="B97" s="4">
        <v>2014</v>
      </c>
      <c r="C97" s="11" t="s">
        <v>124</v>
      </c>
      <c r="D97" s="11" t="s">
        <v>125</v>
      </c>
      <c r="E97" s="11" t="s">
        <v>133</v>
      </c>
      <c r="F97" s="12">
        <v>3</v>
      </c>
    </row>
    <row r="98" spans="2:6" hidden="1" x14ac:dyDescent="0.2">
      <c r="B98" s="4">
        <v>2014</v>
      </c>
      <c r="C98" s="11" t="s">
        <v>124</v>
      </c>
      <c r="D98" s="11" t="s">
        <v>125</v>
      </c>
      <c r="E98" s="11" t="s">
        <v>134</v>
      </c>
      <c r="F98" s="12">
        <v>1</v>
      </c>
    </row>
    <row r="99" spans="2:6" hidden="1" x14ac:dyDescent="0.2">
      <c r="B99" s="4">
        <v>2014</v>
      </c>
      <c r="C99" s="11" t="s">
        <v>124</v>
      </c>
      <c r="D99" s="11" t="s">
        <v>125</v>
      </c>
      <c r="E99" s="11" t="s">
        <v>135</v>
      </c>
      <c r="F99" s="12">
        <v>12</v>
      </c>
    </row>
    <row r="100" spans="2:6" hidden="1" x14ac:dyDescent="0.2">
      <c r="B100" s="4">
        <v>2014</v>
      </c>
      <c r="C100" s="11" t="s">
        <v>124</v>
      </c>
      <c r="D100" s="11" t="s">
        <v>136</v>
      </c>
      <c r="E100" s="11" t="s">
        <v>136</v>
      </c>
      <c r="F100" s="12">
        <v>1</v>
      </c>
    </row>
    <row r="101" spans="2:6" hidden="1" x14ac:dyDescent="0.2">
      <c r="B101" s="4">
        <v>2014</v>
      </c>
      <c r="C101" s="11" t="s">
        <v>124</v>
      </c>
      <c r="D101" s="11" t="s">
        <v>136</v>
      </c>
      <c r="E101" s="11" t="s">
        <v>137</v>
      </c>
      <c r="F101" s="12">
        <v>1</v>
      </c>
    </row>
    <row r="102" spans="2:6" hidden="1" x14ac:dyDescent="0.2">
      <c r="B102" s="4">
        <v>2014</v>
      </c>
      <c r="C102" s="11" t="s">
        <v>124</v>
      </c>
      <c r="D102" s="11" t="s">
        <v>136</v>
      </c>
      <c r="E102" s="11" t="s">
        <v>138</v>
      </c>
      <c r="F102" s="12">
        <v>0</v>
      </c>
    </row>
    <row r="103" spans="2:6" hidden="1" x14ac:dyDescent="0.2">
      <c r="B103" s="4">
        <v>2014</v>
      </c>
      <c r="C103" s="11" t="s">
        <v>124</v>
      </c>
      <c r="D103" s="11" t="s">
        <v>136</v>
      </c>
      <c r="E103" s="11" t="s">
        <v>139</v>
      </c>
      <c r="F103" s="12">
        <v>0</v>
      </c>
    </row>
    <row r="104" spans="2:6" hidden="1" x14ac:dyDescent="0.2">
      <c r="B104" s="4">
        <v>2014</v>
      </c>
      <c r="C104" s="11" t="s">
        <v>124</v>
      </c>
      <c r="D104" s="11" t="s">
        <v>136</v>
      </c>
      <c r="E104" s="11" t="s">
        <v>140</v>
      </c>
      <c r="F104" s="12">
        <v>0</v>
      </c>
    </row>
    <row r="105" spans="2:6" hidden="1" x14ac:dyDescent="0.2">
      <c r="B105" s="4">
        <v>2014</v>
      </c>
      <c r="C105" s="11" t="s">
        <v>124</v>
      </c>
      <c r="D105" s="11" t="s">
        <v>141</v>
      </c>
      <c r="E105" s="11" t="s">
        <v>142</v>
      </c>
      <c r="F105" s="12">
        <v>2</v>
      </c>
    </row>
    <row r="106" spans="2:6" hidden="1" x14ac:dyDescent="0.2">
      <c r="B106" s="4">
        <v>2014</v>
      </c>
      <c r="C106" s="11" t="s">
        <v>124</v>
      </c>
      <c r="D106" s="11" t="s">
        <v>141</v>
      </c>
      <c r="E106" s="11" t="s">
        <v>143</v>
      </c>
      <c r="F106" s="12">
        <v>0</v>
      </c>
    </row>
    <row r="107" spans="2:6" hidden="1" x14ac:dyDescent="0.2">
      <c r="B107" s="4">
        <v>2014</v>
      </c>
      <c r="C107" s="11" t="s">
        <v>124</v>
      </c>
      <c r="D107" s="11" t="s">
        <v>141</v>
      </c>
      <c r="E107" s="11" t="s">
        <v>144</v>
      </c>
      <c r="F107" s="12">
        <v>0</v>
      </c>
    </row>
    <row r="108" spans="2:6" hidden="1" x14ac:dyDescent="0.2">
      <c r="B108" s="4">
        <v>2014</v>
      </c>
      <c r="C108" s="11" t="s">
        <v>124</v>
      </c>
      <c r="D108" s="11" t="s">
        <v>141</v>
      </c>
      <c r="E108" s="11" t="s">
        <v>145</v>
      </c>
      <c r="F108" s="12">
        <v>0</v>
      </c>
    </row>
    <row r="109" spans="2:6" hidden="1" x14ac:dyDescent="0.2">
      <c r="B109" s="4">
        <v>2014</v>
      </c>
      <c r="C109" s="11" t="s">
        <v>124</v>
      </c>
      <c r="D109" s="11" t="s">
        <v>141</v>
      </c>
      <c r="E109" s="11" t="s">
        <v>146</v>
      </c>
      <c r="F109" s="12">
        <v>0</v>
      </c>
    </row>
    <row r="110" spans="2:6" hidden="1" x14ac:dyDescent="0.2">
      <c r="B110" s="4">
        <v>2014</v>
      </c>
      <c r="C110" s="11" t="s">
        <v>124</v>
      </c>
      <c r="D110" s="11" t="s">
        <v>141</v>
      </c>
      <c r="E110" s="11" t="s">
        <v>147</v>
      </c>
      <c r="F110" s="12">
        <v>0</v>
      </c>
    </row>
    <row r="111" spans="2:6" hidden="1" x14ac:dyDescent="0.2">
      <c r="B111" s="4">
        <v>2014</v>
      </c>
      <c r="C111" s="11" t="s">
        <v>124</v>
      </c>
      <c r="D111" s="11" t="s">
        <v>37</v>
      </c>
      <c r="E111" s="11" t="s">
        <v>148</v>
      </c>
      <c r="F111" s="12">
        <v>3</v>
      </c>
    </row>
    <row r="112" spans="2:6" hidden="1" x14ac:dyDescent="0.2">
      <c r="B112" s="4">
        <v>2014</v>
      </c>
      <c r="C112" s="11" t="s">
        <v>124</v>
      </c>
      <c r="D112" s="11" t="s">
        <v>37</v>
      </c>
      <c r="E112" s="11" t="s">
        <v>149</v>
      </c>
      <c r="F112" s="12">
        <v>0</v>
      </c>
    </row>
    <row r="113" spans="2:6" hidden="1" x14ac:dyDescent="0.2">
      <c r="B113" s="4">
        <v>2014</v>
      </c>
      <c r="C113" s="11" t="s">
        <v>124</v>
      </c>
      <c r="D113" s="11" t="s">
        <v>150</v>
      </c>
      <c r="E113" s="11" t="s">
        <v>151</v>
      </c>
      <c r="F113" s="12">
        <v>1</v>
      </c>
    </row>
    <row r="114" spans="2:6" hidden="1" x14ac:dyDescent="0.2">
      <c r="B114" s="4">
        <v>2014</v>
      </c>
      <c r="C114" s="11" t="s">
        <v>124</v>
      </c>
      <c r="D114" s="11" t="s">
        <v>150</v>
      </c>
      <c r="E114" s="11" t="s">
        <v>152</v>
      </c>
      <c r="F114" s="12">
        <v>0</v>
      </c>
    </row>
    <row r="115" spans="2:6" hidden="1" x14ac:dyDescent="0.2">
      <c r="B115" s="4">
        <v>2014</v>
      </c>
      <c r="C115" s="11" t="s">
        <v>124</v>
      </c>
      <c r="D115" s="11" t="s">
        <v>150</v>
      </c>
      <c r="E115" s="11" t="s">
        <v>141</v>
      </c>
      <c r="F115" s="12">
        <v>0</v>
      </c>
    </row>
    <row r="116" spans="2:6" hidden="1" x14ac:dyDescent="0.2">
      <c r="B116" s="4">
        <v>2014</v>
      </c>
      <c r="C116" s="11" t="s">
        <v>124</v>
      </c>
      <c r="D116" s="11" t="s">
        <v>150</v>
      </c>
      <c r="E116" s="11" t="s">
        <v>153</v>
      </c>
      <c r="F116" s="12">
        <v>0</v>
      </c>
    </row>
    <row r="117" spans="2:6" hidden="1" x14ac:dyDescent="0.2">
      <c r="B117" s="4">
        <v>2014</v>
      </c>
      <c r="C117" s="11" t="s">
        <v>124</v>
      </c>
      <c r="D117" s="11" t="s">
        <v>150</v>
      </c>
      <c r="E117" s="11" t="s">
        <v>154</v>
      </c>
      <c r="F117" s="12">
        <v>3</v>
      </c>
    </row>
    <row r="118" spans="2:6" hidden="1" x14ac:dyDescent="0.2">
      <c r="B118" s="4">
        <v>2014</v>
      </c>
      <c r="C118" s="11" t="s">
        <v>124</v>
      </c>
      <c r="D118" s="11" t="s">
        <v>150</v>
      </c>
      <c r="E118" s="11" t="s">
        <v>155</v>
      </c>
      <c r="F118" s="12">
        <v>0</v>
      </c>
    </row>
    <row r="119" spans="2:6" hidden="1" x14ac:dyDescent="0.2">
      <c r="B119" s="4">
        <v>2014</v>
      </c>
      <c r="C119" s="11" t="s">
        <v>124</v>
      </c>
      <c r="D119" s="11" t="s">
        <v>150</v>
      </c>
      <c r="E119" s="11" t="s">
        <v>156</v>
      </c>
      <c r="F119" s="12">
        <v>0</v>
      </c>
    </row>
    <row r="120" spans="2:6" hidden="1" x14ac:dyDescent="0.2">
      <c r="B120" s="4">
        <v>2014</v>
      </c>
      <c r="C120" s="11" t="s">
        <v>124</v>
      </c>
      <c r="D120" s="11" t="s">
        <v>150</v>
      </c>
      <c r="E120" s="11" t="s">
        <v>157</v>
      </c>
      <c r="F120" s="12">
        <v>6</v>
      </c>
    </row>
    <row r="121" spans="2:6" hidden="1" x14ac:dyDescent="0.2">
      <c r="B121" s="4">
        <v>2014</v>
      </c>
      <c r="C121" s="11" t="s">
        <v>124</v>
      </c>
      <c r="D121" s="11" t="s">
        <v>150</v>
      </c>
      <c r="E121" s="11" t="s">
        <v>158</v>
      </c>
      <c r="F121" s="12">
        <v>5</v>
      </c>
    </row>
    <row r="122" spans="2:6" hidden="1" x14ac:dyDescent="0.2">
      <c r="B122" s="4">
        <v>2014</v>
      </c>
      <c r="C122" s="11" t="s">
        <v>124</v>
      </c>
      <c r="D122" s="11" t="s">
        <v>150</v>
      </c>
      <c r="E122" s="11" t="s">
        <v>159</v>
      </c>
      <c r="F122" s="12">
        <v>0</v>
      </c>
    </row>
    <row r="123" spans="2:6" hidden="1" x14ac:dyDescent="0.2">
      <c r="B123" s="4">
        <v>2014</v>
      </c>
      <c r="C123" s="11" t="s">
        <v>124</v>
      </c>
      <c r="D123" s="11" t="s">
        <v>150</v>
      </c>
      <c r="E123" s="11" t="s">
        <v>160</v>
      </c>
      <c r="F123" s="12">
        <v>0</v>
      </c>
    </row>
    <row r="124" spans="2:6" hidden="1" x14ac:dyDescent="0.2">
      <c r="B124" s="4">
        <v>2014</v>
      </c>
      <c r="C124" s="11" t="s">
        <v>124</v>
      </c>
      <c r="D124" s="11" t="s">
        <v>150</v>
      </c>
      <c r="E124" s="11" t="s">
        <v>161</v>
      </c>
      <c r="F124" s="12">
        <v>0</v>
      </c>
    </row>
    <row r="125" spans="2:6" hidden="1" x14ac:dyDescent="0.2">
      <c r="B125" s="4">
        <v>2014</v>
      </c>
      <c r="C125" s="11" t="s">
        <v>124</v>
      </c>
      <c r="D125" s="11" t="s">
        <v>150</v>
      </c>
      <c r="E125" s="11" t="s">
        <v>162</v>
      </c>
      <c r="F125" s="12">
        <v>0</v>
      </c>
    </row>
    <row r="126" spans="2:6" hidden="1" x14ac:dyDescent="0.2">
      <c r="B126" s="4">
        <v>2014</v>
      </c>
      <c r="C126" s="11" t="s">
        <v>124</v>
      </c>
      <c r="D126" s="11" t="s">
        <v>150</v>
      </c>
      <c r="E126" s="11" t="s">
        <v>163</v>
      </c>
      <c r="F126" s="12">
        <v>0</v>
      </c>
    </row>
    <row r="127" spans="2:6" hidden="1" x14ac:dyDescent="0.2">
      <c r="B127" s="4">
        <v>2014</v>
      </c>
      <c r="C127" s="11" t="s">
        <v>124</v>
      </c>
      <c r="D127" s="11" t="s">
        <v>150</v>
      </c>
      <c r="E127" s="11" t="s">
        <v>164</v>
      </c>
      <c r="F127" s="12">
        <v>0</v>
      </c>
    </row>
    <row r="128" spans="2:6" hidden="1" x14ac:dyDescent="0.2">
      <c r="B128" s="4">
        <v>2014</v>
      </c>
      <c r="C128" s="11" t="s">
        <v>124</v>
      </c>
      <c r="D128" s="11" t="s">
        <v>165</v>
      </c>
      <c r="E128" s="11" t="s">
        <v>165</v>
      </c>
      <c r="F128" s="12">
        <v>12</v>
      </c>
    </row>
    <row r="129" spans="2:6" hidden="1" x14ac:dyDescent="0.2">
      <c r="B129" s="4">
        <v>2014</v>
      </c>
      <c r="C129" s="11" t="s">
        <v>124</v>
      </c>
      <c r="D129" s="11" t="s">
        <v>165</v>
      </c>
      <c r="E129" s="11" t="s">
        <v>166</v>
      </c>
      <c r="F129" s="12">
        <v>0</v>
      </c>
    </row>
    <row r="130" spans="2:6" hidden="1" x14ac:dyDescent="0.2">
      <c r="B130" s="4">
        <v>2014</v>
      </c>
      <c r="C130" s="11" t="s">
        <v>124</v>
      </c>
      <c r="D130" s="11" t="s">
        <v>165</v>
      </c>
      <c r="E130" s="11" t="s">
        <v>167</v>
      </c>
      <c r="F130" s="12">
        <v>0</v>
      </c>
    </row>
    <row r="131" spans="2:6" hidden="1" x14ac:dyDescent="0.2">
      <c r="B131" s="4">
        <v>2014</v>
      </c>
      <c r="C131" s="11" t="s">
        <v>124</v>
      </c>
      <c r="D131" s="11" t="s">
        <v>165</v>
      </c>
      <c r="E131" s="11" t="s">
        <v>168</v>
      </c>
      <c r="F131" s="12">
        <v>0</v>
      </c>
    </row>
    <row r="132" spans="2:6" hidden="1" x14ac:dyDescent="0.2">
      <c r="B132" s="4">
        <v>2014</v>
      </c>
      <c r="C132" s="11" t="s">
        <v>124</v>
      </c>
      <c r="D132" s="11" t="s">
        <v>165</v>
      </c>
      <c r="E132" s="11" t="s">
        <v>169</v>
      </c>
      <c r="F132" s="12">
        <v>0</v>
      </c>
    </row>
    <row r="133" spans="2:6" hidden="1" x14ac:dyDescent="0.2">
      <c r="B133" s="4">
        <v>2014</v>
      </c>
      <c r="C133" s="11" t="s">
        <v>124</v>
      </c>
      <c r="D133" s="11" t="s">
        <v>165</v>
      </c>
      <c r="E133" s="11" t="s">
        <v>170</v>
      </c>
      <c r="F133" s="12">
        <v>5</v>
      </c>
    </row>
    <row r="134" spans="2:6" hidden="1" x14ac:dyDescent="0.2">
      <c r="B134" s="4">
        <v>2014</v>
      </c>
      <c r="C134" s="11" t="s">
        <v>124</v>
      </c>
      <c r="D134" s="11" t="s">
        <v>165</v>
      </c>
      <c r="E134" s="11" t="s">
        <v>171</v>
      </c>
      <c r="F134" s="12">
        <v>0</v>
      </c>
    </row>
    <row r="135" spans="2:6" hidden="1" x14ac:dyDescent="0.2">
      <c r="B135" s="4">
        <v>2014</v>
      </c>
      <c r="C135" s="11" t="s">
        <v>124</v>
      </c>
      <c r="D135" s="11" t="s">
        <v>165</v>
      </c>
      <c r="E135" s="11" t="s">
        <v>172</v>
      </c>
      <c r="F135" s="12">
        <v>0</v>
      </c>
    </row>
    <row r="136" spans="2:6" hidden="1" x14ac:dyDescent="0.2">
      <c r="B136" s="4">
        <v>2014</v>
      </c>
      <c r="C136" s="11" t="s">
        <v>124</v>
      </c>
      <c r="D136" s="11" t="s">
        <v>165</v>
      </c>
      <c r="E136" s="11" t="s">
        <v>173</v>
      </c>
      <c r="F136" s="12">
        <v>1</v>
      </c>
    </row>
    <row r="137" spans="2:6" hidden="1" x14ac:dyDescent="0.2">
      <c r="B137" s="4">
        <v>2014</v>
      </c>
      <c r="C137" s="11" t="s">
        <v>124</v>
      </c>
      <c r="D137" s="11" t="s">
        <v>165</v>
      </c>
      <c r="E137" s="11" t="s">
        <v>174</v>
      </c>
      <c r="F137" s="12">
        <v>0</v>
      </c>
    </row>
    <row r="138" spans="2:6" hidden="1" x14ac:dyDescent="0.2">
      <c r="B138" s="4">
        <v>2014</v>
      </c>
      <c r="C138" s="11" t="s">
        <v>124</v>
      </c>
      <c r="D138" s="11" t="s">
        <v>165</v>
      </c>
      <c r="E138" s="11" t="s">
        <v>175</v>
      </c>
      <c r="F138" s="12">
        <v>0</v>
      </c>
    </row>
    <row r="139" spans="2:6" hidden="1" x14ac:dyDescent="0.2">
      <c r="B139" s="4">
        <v>2014</v>
      </c>
      <c r="C139" s="11" t="s">
        <v>124</v>
      </c>
      <c r="D139" s="11" t="s">
        <v>176</v>
      </c>
      <c r="E139" s="11" t="s">
        <v>177</v>
      </c>
      <c r="F139" s="12">
        <v>13</v>
      </c>
    </row>
    <row r="140" spans="2:6" hidden="1" x14ac:dyDescent="0.2">
      <c r="B140" s="4">
        <v>2014</v>
      </c>
      <c r="C140" s="11" t="s">
        <v>124</v>
      </c>
      <c r="D140" s="11" t="s">
        <v>176</v>
      </c>
      <c r="E140" s="11" t="s">
        <v>104</v>
      </c>
      <c r="F140" s="12">
        <v>0</v>
      </c>
    </row>
    <row r="141" spans="2:6" hidden="1" x14ac:dyDescent="0.2">
      <c r="B141" s="4">
        <v>2014</v>
      </c>
      <c r="C141" s="11" t="s">
        <v>124</v>
      </c>
      <c r="D141" s="11" t="s">
        <v>176</v>
      </c>
      <c r="E141" s="11" t="s">
        <v>178</v>
      </c>
      <c r="F141" s="12">
        <v>2</v>
      </c>
    </row>
    <row r="142" spans="2:6" hidden="1" x14ac:dyDescent="0.2">
      <c r="B142" s="4">
        <v>2014</v>
      </c>
      <c r="C142" s="11" t="s">
        <v>124</v>
      </c>
      <c r="D142" s="11" t="s">
        <v>179</v>
      </c>
      <c r="E142" s="11" t="s">
        <v>179</v>
      </c>
      <c r="F142" s="12">
        <v>40</v>
      </c>
    </row>
    <row r="143" spans="2:6" hidden="1" x14ac:dyDescent="0.2">
      <c r="B143" s="4">
        <v>2014</v>
      </c>
      <c r="C143" s="11" t="s">
        <v>124</v>
      </c>
      <c r="D143" s="11" t="s">
        <v>179</v>
      </c>
      <c r="E143" s="11" t="s">
        <v>180</v>
      </c>
      <c r="F143" s="12">
        <v>0</v>
      </c>
    </row>
    <row r="144" spans="2:6" hidden="1" x14ac:dyDescent="0.2">
      <c r="B144" s="4">
        <v>2014</v>
      </c>
      <c r="C144" s="11" t="s">
        <v>124</v>
      </c>
      <c r="D144" s="11" t="s">
        <v>179</v>
      </c>
      <c r="E144" s="11" t="s">
        <v>181</v>
      </c>
      <c r="F144" s="12">
        <v>0</v>
      </c>
    </row>
    <row r="145" spans="2:6" hidden="1" x14ac:dyDescent="0.2">
      <c r="B145" s="4">
        <v>2014</v>
      </c>
      <c r="C145" s="11" t="s">
        <v>124</v>
      </c>
      <c r="D145" s="11" t="s">
        <v>179</v>
      </c>
      <c r="E145" s="11" t="s">
        <v>182</v>
      </c>
      <c r="F145" s="12">
        <v>5</v>
      </c>
    </row>
    <row r="146" spans="2:6" hidden="1" x14ac:dyDescent="0.2">
      <c r="B146" s="4">
        <v>2014</v>
      </c>
      <c r="C146" s="11" t="s">
        <v>124</v>
      </c>
      <c r="D146" s="11" t="s">
        <v>183</v>
      </c>
      <c r="E146" s="11" t="s">
        <v>183</v>
      </c>
      <c r="F146" s="12">
        <v>1</v>
      </c>
    </row>
    <row r="147" spans="2:6" hidden="1" x14ac:dyDescent="0.2">
      <c r="B147" s="4">
        <v>2014</v>
      </c>
      <c r="C147" s="11" t="s">
        <v>124</v>
      </c>
      <c r="D147" s="11" t="s">
        <v>183</v>
      </c>
      <c r="E147" s="11" t="s">
        <v>184</v>
      </c>
      <c r="F147" s="12">
        <v>0</v>
      </c>
    </row>
    <row r="148" spans="2:6" hidden="1" x14ac:dyDescent="0.2">
      <c r="B148" s="4">
        <v>2014</v>
      </c>
      <c r="C148" s="11" t="s">
        <v>124</v>
      </c>
      <c r="D148" s="11" t="s">
        <v>183</v>
      </c>
      <c r="E148" s="11" t="s">
        <v>185</v>
      </c>
      <c r="F148" s="12">
        <v>0</v>
      </c>
    </row>
    <row r="149" spans="2:6" hidden="1" x14ac:dyDescent="0.2">
      <c r="B149" s="4">
        <v>2014</v>
      </c>
      <c r="C149" s="11" t="s">
        <v>124</v>
      </c>
      <c r="D149" s="11" t="s">
        <v>183</v>
      </c>
      <c r="E149" s="11" t="s">
        <v>186</v>
      </c>
      <c r="F149" s="12">
        <v>0</v>
      </c>
    </row>
    <row r="150" spans="2:6" hidden="1" x14ac:dyDescent="0.2">
      <c r="B150" s="4">
        <v>2014</v>
      </c>
      <c r="C150" s="11" t="s">
        <v>124</v>
      </c>
      <c r="D150" s="11" t="s">
        <v>183</v>
      </c>
      <c r="E150" s="11" t="s">
        <v>187</v>
      </c>
      <c r="F150" s="12">
        <v>0</v>
      </c>
    </row>
    <row r="151" spans="2:6" hidden="1" x14ac:dyDescent="0.2">
      <c r="B151" s="4">
        <v>2014</v>
      </c>
      <c r="C151" s="11" t="s">
        <v>124</v>
      </c>
      <c r="D151" s="11" t="s">
        <v>183</v>
      </c>
      <c r="E151" s="11" t="s">
        <v>188</v>
      </c>
      <c r="F151" s="12">
        <v>0</v>
      </c>
    </row>
    <row r="152" spans="2:6" hidden="1" x14ac:dyDescent="0.2">
      <c r="B152" s="4">
        <v>2014</v>
      </c>
      <c r="C152" s="11" t="s">
        <v>124</v>
      </c>
      <c r="D152" s="11" t="s">
        <v>183</v>
      </c>
      <c r="E152" s="11" t="s">
        <v>189</v>
      </c>
      <c r="F152" s="12">
        <v>0</v>
      </c>
    </row>
    <row r="153" spans="2:6" hidden="1" x14ac:dyDescent="0.2">
      <c r="B153" s="4">
        <v>2014</v>
      </c>
      <c r="C153" s="11" t="s">
        <v>124</v>
      </c>
      <c r="D153" s="11" t="s">
        <v>190</v>
      </c>
      <c r="E153" s="11" t="s">
        <v>190</v>
      </c>
      <c r="F153" s="12">
        <v>7</v>
      </c>
    </row>
    <row r="154" spans="2:6" hidden="1" x14ac:dyDescent="0.2">
      <c r="B154" s="4">
        <v>2014</v>
      </c>
      <c r="C154" s="11" t="s">
        <v>124</v>
      </c>
      <c r="D154" s="11" t="s">
        <v>190</v>
      </c>
      <c r="E154" s="11" t="s">
        <v>191</v>
      </c>
      <c r="F154" s="12">
        <v>0</v>
      </c>
    </row>
    <row r="155" spans="2:6" hidden="1" x14ac:dyDescent="0.2">
      <c r="B155" s="4">
        <v>2014</v>
      </c>
      <c r="C155" s="11" t="s">
        <v>124</v>
      </c>
      <c r="D155" s="11" t="s">
        <v>190</v>
      </c>
      <c r="E155" s="11" t="s">
        <v>192</v>
      </c>
      <c r="F155" s="12">
        <v>0</v>
      </c>
    </row>
    <row r="156" spans="2:6" hidden="1" x14ac:dyDescent="0.2">
      <c r="B156" s="4">
        <v>2014</v>
      </c>
      <c r="C156" s="11" t="s">
        <v>124</v>
      </c>
      <c r="D156" s="11" t="s">
        <v>190</v>
      </c>
      <c r="E156" s="11" t="s">
        <v>193</v>
      </c>
      <c r="F156" s="12">
        <v>3</v>
      </c>
    </row>
    <row r="157" spans="2:6" hidden="1" x14ac:dyDescent="0.2">
      <c r="B157" s="4">
        <v>2014</v>
      </c>
      <c r="C157" s="11" t="s">
        <v>124</v>
      </c>
      <c r="D157" s="11" t="s">
        <v>190</v>
      </c>
      <c r="E157" s="11" t="s">
        <v>194</v>
      </c>
      <c r="F157" s="12">
        <v>0</v>
      </c>
    </row>
    <row r="158" spans="2:6" hidden="1" x14ac:dyDescent="0.2">
      <c r="B158" s="4">
        <v>2014</v>
      </c>
      <c r="C158" s="11" t="s">
        <v>124</v>
      </c>
      <c r="D158" s="11" t="s">
        <v>190</v>
      </c>
      <c r="E158" s="11" t="s">
        <v>195</v>
      </c>
      <c r="F158" s="12">
        <v>0</v>
      </c>
    </row>
    <row r="159" spans="2:6" hidden="1" x14ac:dyDescent="0.2">
      <c r="B159" s="4">
        <v>2014</v>
      </c>
      <c r="C159" s="11" t="s">
        <v>124</v>
      </c>
      <c r="D159" s="11" t="s">
        <v>190</v>
      </c>
      <c r="E159" s="11" t="s">
        <v>196</v>
      </c>
      <c r="F159" s="12">
        <v>0</v>
      </c>
    </row>
    <row r="160" spans="2:6" hidden="1" x14ac:dyDescent="0.2">
      <c r="B160" s="4">
        <v>2014</v>
      </c>
      <c r="C160" s="11" t="s">
        <v>124</v>
      </c>
      <c r="D160" s="11" t="s">
        <v>190</v>
      </c>
      <c r="E160" s="11" t="s">
        <v>197</v>
      </c>
      <c r="F160" s="12">
        <v>0</v>
      </c>
    </row>
    <row r="161" spans="2:6" hidden="1" x14ac:dyDescent="0.2">
      <c r="B161" s="4">
        <v>2014</v>
      </c>
      <c r="C161" s="11" t="s">
        <v>124</v>
      </c>
      <c r="D161" s="11" t="s">
        <v>190</v>
      </c>
      <c r="E161" s="11" t="s">
        <v>198</v>
      </c>
      <c r="F161" s="12">
        <v>0</v>
      </c>
    </row>
    <row r="162" spans="2:6" hidden="1" x14ac:dyDescent="0.2">
      <c r="B162" s="4">
        <v>2014</v>
      </c>
      <c r="C162" s="11" t="s">
        <v>124</v>
      </c>
      <c r="D162" s="11" t="s">
        <v>190</v>
      </c>
      <c r="E162" s="11" t="s">
        <v>199</v>
      </c>
      <c r="F162" s="12">
        <v>2</v>
      </c>
    </row>
    <row r="163" spans="2:6" hidden="1" x14ac:dyDescent="0.2">
      <c r="B163" s="4">
        <v>2014</v>
      </c>
      <c r="C163" s="11" t="s">
        <v>124</v>
      </c>
      <c r="D163" s="11" t="s">
        <v>190</v>
      </c>
      <c r="E163" s="11" t="s">
        <v>200</v>
      </c>
      <c r="F163" s="12">
        <v>0</v>
      </c>
    </row>
    <row r="164" spans="2:6" hidden="1" x14ac:dyDescent="0.2">
      <c r="B164" s="4">
        <v>2014</v>
      </c>
      <c r="C164" s="11" t="s">
        <v>124</v>
      </c>
      <c r="D164" s="11" t="s">
        <v>190</v>
      </c>
      <c r="E164" s="11" t="s">
        <v>201</v>
      </c>
      <c r="F164" s="12">
        <v>1</v>
      </c>
    </row>
    <row r="165" spans="2:6" hidden="1" x14ac:dyDescent="0.2">
      <c r="B165" s="4">
        <v>2014</v>
      </c>
      <c r="C165" s="11" t="s">
        <v>124</v>
      </c>
      <c r="D165" s="11" t="s">
        <v>190</v>
      </c>
      <c r="E165" s="11" t="s">
        <v>202</v>
      </c>
      <c r="F165" s="12">
        <v>0</v>
      </c>
    </row>
    <row r="166" spans="2:6" hidden="1" x14ac:dyDescent="0.2">
      <c r="B166" s="4">
        <v>2014</v>
      </c>
      <c r="C166" s="11" t="s">
        <v>124</v>
      </c>
      <c r="D166" s="11" t="s">
        <v>190</v>
      </c>
      <c r="E166" s="11" t="s">
        <v>203</v>
      </c>
      <c r="F166" s="12">
        <v>3</v>
      </c>
    </row>
    <row r="167" spans="2:6" hidden="1" x14ac:dyDescent="0.2">
      <c r="B167" s="4">
        <v>2014</v>
      </c>
      <c r="C167" s="11" t="s">
        <v>124</v>
      </c>
      <c r="D167" s="11" t="s">
        <v>190</v>
      </c>
      <c r="E167" s="11" t="s">
        <v>204</v>
      </c>
      <c r="F167" s="12">
        <v>0</v>
      </c>
    </row>
    <row r="168" spans="2:6" hidden="1" x14ac:dyDescent="0.2">
      <c r="B168" s="4">
        <v>2014</v>
      </c>
      <c r="C168" s="11" t="s">
        <v>124</v>
      </c>
      <c r="D168" s="11" t="s">
        <v>190</v>
      </c>
      <c r="E168" s="11" t="s">
        <v>205</v>
      </c>
      <c r="F168" s="12">
        <v>0</v>
      </c>
    </row>
    <row r="169" spans="2:6" hidden="1" x14ac:dyDescent="0.2">
      <c r="B169" s="4">
        <v>2014</v>
      </c>
      <c r="C169" s="11" t="s">
        <v>124</v>
      </c>
      <c r="D169" s="11" t="s">
        <v>206</v>
      </c>
      <c r="E169" s="11" t="s">
        <v>206</v>
      </c>
      <c r="F169" s="12">
        <v>35</v>
      </c>
    </row>
    <row r="170" spans="2:6" hidden="1" x14ac:dyDescent="0.2">
      <c r="B170" s="4">
        <v>2014</v>
      </c>
      <c r="C170" s="11" t="s">
        <v>124</v>
      </c>
      <c r="D170" s="11" t="s">
        <v>206</v>
      </c>
      <c r="E170" s="11" t="s">
        <v>207</v>
      </c>
      <c r="F170" s="12">
        <v>0</v>
      </c>
    </row>
    <row r="171" spans="2:6" hidden="1" x14ac:dyDescent="0.2">
      <c r="B171" s="4">
        <v>2014</v>
      </c>
      <c r="C171" s="11" t="s">
        <v>124</v>
      </c>
      <c r="D171" s="11" t="s">
        <v>206</v>
      </c>
      <c r="E171" s="11" t="s">
        <v>208</v>
      </c>
      <c r="F171" s="12">
        <v>0</v>
      </c>
    </row>
    <row r="172" spans="2:6" hidden="1" x14ac:dyDescent="0.2">
      <c r="B172" s="4">
        <v>2014</v>
      </c>
      <c r="C172" s="11" t="s">
        <v>124</v>
      </c>
      <c r="D172" s="11" t="s">
        <v>206</v>
      </c>
      <c r="E172" s="11" t="s">
        <v>209</v>
      </c>
      <c r="F172" s="12">
        <v>0</v>
      </c>
    </row>
    <row r="173" spans="2:6" hidden="1" x14ac:dyDescent="0.2">
      <c r="B173" s="4">
        <v>2014</v>
      </c>
      <c r="C173" s="11" t="s">
        <v>124</v>
      </c>
      <c r="D173" s="11" t="s">
        <v>206</v>
      </c>
      <c r="E173" s="11" t="s">
        <v>210</v>
      </c>
      <c r="F173" s="12">
        <v>0</v>
      </c>
    </row>
    <row r="174" spans="2:6" hidden="1" x14ac:dyDescent="0.2">
      <c r="B174" s="4">
        <v>2014</v>
      </c>
      <c r="C174" s="11" t="s">
        <v>124</v>
      </c>
      <c r="D174" s="11" t="s">
        <v>211</v>
      </c>
      <c r="E174" s="11" t="s">
        <v>212</v>
      </c>
      <c r="F174" s="12">
        <v>25</v>
      </c>
    </row>
    <row r="175" spans="2:6" hidden="1" x14ac:dyDescent="0.2">
      <c r="B175" s="4">
        <v>2014</v>
      </c>
      <c r="C175" s="11" t="s">
        <v>124</v>
      </c>
      <c r="D175" s="11" t="s">
        <v>211</v>
      </c>
      <c r="E175" s="11" t="s">
        <v>157</v>
      </c>
      <c r="F175" s="12">
        <v>0</v>
      </c>
    </row>
    <row r="176" spans="2:6" hidden="1" x14ac:dyDescent="0.2">
      <c r="B176" s="4">
        <v>2014</v>
      </c>
      <c r="C176" s="11" t="s">
        <v>124</v>
      </c>
      <c r="D176" s="11" t="s">
        <v>211</v>
      </c>
      <c r="E176" s="11" t="s">
        <v>213</v>
      </c>
      <c r="F176" s="12">
        <v>0</v>
      </c>
    </row>
    <row r="177" spans="2:6" hidden="1" x14ac:dyDescent="0.2">
      <c r="B177" s="4">
        <v>2014</v>
      </c>
      <c r="C177" s="11" t="s">
        <v>124</v>
      </c>
      <c r="D177" s="11" t="s">
        <v>211</v>
      </c>
      <c r="E177" s="11" t="s">
        <v>211</v>
      </c>
      <c r="F177" s="12">
        <v>0</v>
      </c>
    </row>
    <row r="178" spans="2:6" hidden="1" x14ac:dyDescent="0.2">
      <c r="B178" s="4">
        <v>2014</v>
      </c>
      <c r="C178" s="11" t="s">
        <v>124</v>
      </c>
      <c r="D178" s="11" t="s">
        <v>211</v>
      </c>
      <c r="E178" s="11" t="s">
        <v>214</v>
      </c>
      <c r="F178" s="12">
        <v>0</v>
      </c>
    </row>
    <row r="179" spans="2:6" hidden="1" x14ac:dyDescent="0.2">
      <c r="B179" s="4">
        <v>2014</v>
      </c>
      <c r="C179" s="11" t="s">
        <v>124</v>
      </c>
      <c r="D179" s="11" t="s">
        <v>211</v>
      </c>
      <c r="E179" s="11" t="s">
        <v>215</v>
      </c>
      <c r="F179" s="12">
        <v>0</v>
      </c>
    </row>
    <row r="180" spans="2:6" hidden="1" x14ac:dyDescent="0.2">
      <c r="B180" s="4">
        <v>2014</v>
      </c>
      <c r="C180" s="11" t="s">
        <v>124</v>
      </c>
      <c r="D180" s="11" t="s">
        <v>211</v>
      </c>
      <c r="E180" s="11" t="s">
        <v>216</v>
      </c>
      <c r="F180" s="12">
        <v>0</v>
      </c>
    </row>
    <row r="181" spans="2:6" hidden="1" x14ac:dyDescent="0.2">
      <c r="B181" s="4">
        <v>2014</v>
      </c>
      <c r="C181" s="11" t="s">
        <v>124</v>
      </c>
      <c r="D181" s="11" t="s">
        <v>211</v>
      </c>
      <c r="E181" s="11" t="s">
        <v>217</v>
      </c>
      <c r="F181" s="12">
        <v>0</v>
      </c>
    </row>
    <row r="182" spans="2:6" hidden="1" x14ac:dyDescent="0.2">
      <c r="B182" s="4">
        <v>2014</v>
      </c>
      <c r="C182" s="11" t="s">
        <v>124</v>
      </c>
      <c r="D182" s="11" t="s">
        <v>211</v>
      </c>
      <c r="E182" s="11" t="s">
        <v>218</v>
      </c>
      <c r="F182" s="12">
        <v>0</v>
      </c>
    </row>
    <row r="183" spans="2:6" hidden="1" x14ac:dyDescent="0.2">
      <c r="B183" s="4">
        <v>2014</v>
      </c>
      <c r="C183" s="11" t="s">
        <v>124</v>
      </c>
      <c r="D183" s="11" t="s">
        <v>211</v>
      </c>
      <c r="E183" s="11" t="s">
        <v>219</v>
      </c>
      <c r="F183" s="12">
        <v>0</v>
      </c>
    </row>
    <row r="184" spans="2:6" hidden="1" x14ac:dyDescent="0.2">
      <c r="B184" s="4">
        <v>2014</v>
      </c>
      <c r="C184" s="11" t="s">
        <v>124</v>
      </c>
      <c r="D184" s="11" t="s">
        <v>220</v>
      </c>
      <c r="E184" s="11" t="s">
        <v>221</v>
      </c>
      <c r="F184" s="12">
        <v>4</v>
      </c>
    </row>
    <row r="185" spans="2:6" hidden="1" x14ac:dyDescent="0.2">
      <c r="B185" s="4">
        <v>2014</v>
      </c>
      <c r="C185" s="11" t="s">
        <v>124</v>
      </c>
      <c r="D185" s="11" t="s">
        <v>220</v>
      </c>
      <c r="E185" s="11" t="s">
        <v>222</v>
      </c>
      <c r="F185" s="12">
        <v>0</v>
      </c>
    </row>
    <row r="186" spans="2:6" hidden="1" x14ac:dyDescent="0.2">
      <c r="B186" s="4">
        <v>2014</v>
      </c>
      <c r="C186" s="11" t="s">
        <v>124</v>
      </c>
      <c r="D186" s="11" t="s">
        <v>220</v>
      </c>
      <c r="E186" s="11" t="s">
        <v>223</v>
      </c>
      <c r="F186" s="12">
        <v>0</v>
      </c>
    </row>
    <row r="187" spans="2:6" hidden="1" x14ac:dyDescent="0.2">
      <c r="B187" s="4">
        <v>2014</v>
      </c>
      <c r="C187" s="11" t="s">
        <v>124</v>
      </c>
      <c r="D187" s="11" t="s">
        <v>220</v>
      </c>
      <c r="E187" s="11" t="s">
        <v>224</v>
      </c>
      <c r="F187" s="12">
        <v>0</v>
      </c>
    </row>
    <row r="188" spans="2:6" hidden="1" x14ac:dyDescent="0.2">
      <c r="B188" s="4">
        <v>2014</v>
      </c>
      <c r="C188" s="11" t="s">
        <v>124</v>
      </c>
      <c r="D188" s="11" t="s">
        <v>220</v>
      </c>
      <c r="E188" s="11" t="s">
        <v>225</v>
      </c>
      <c r="F188" s="12">
        <v>0</v>
      </c>
    </row>
    <row r="189" spans="2:6" hidden="1" x14ac:dyDescent="0.2">
      <c r="B189" s="4">
        <v>2014</v>
      </c>
      <c r="C189" s="11" t="s">
        <v>124</v>
      </c>
      <c r="D189" s="11" t="s">
        <v>220</v>
      </c>
      <c r="E189" s="11" t="s">
        <v>226</v>
      </c>
      <c r="F189" s="12">
        <v>3</v>
      </c>
    </row>
    <row r="190" spans="2:6" hidden="1" x14ac:dyDescent="0.2">
      <c r="B190" s="4">
        <v>2014</v>
      </c>
      <c r="C190" s="11" t="s">
        <v>124</v>
      </c>
      <c r="D190" s="11" t="s">
        <v>220</v>
      </c>
      <c r="E190" s="11" t="s">
        <v>227</v>
      </c>
      <c r="F190" s="12">
        <v>4</v>
      </c>
    </row>
    <row r="191" spans="2:6" hidden="1" x14ac:dyDescent="0.2">
      <c r="B191" s="4">
        <v>2014</v>
      </c>
      <c r="C191" s="11" t="s">
        <v>124</v>
      </c>
      <c r="D191" s="11" t="s">
        <v>220</v>
      </c>
      <c r="E191" s="11" t="s">
        <v>228</v>
      </c>
      <c r="F191" s="12">
        <v>0</v>
      </c>
    </row>
    <row r="192" spans="2:6" hidden="1" x14ac:dyDescent="0.2">
      <c r="B192" s="4">
        <v>2014</v>
      </c>
      <c r="C192" s="11" t="s">
        <v>124</v>
      </c>
      <c r="D192" s="11" t="s">
        <v>229</v>
      </c>
      <c r="E192" s="11" t="s">
        <v>229</v>
      </c>
      <c r="F192" s="12">
        <v>0</v>
      </c>
    </row>
    <row r="193" spans="2:6" hidden="1" x14ac:dyDescent="0.2">
      <c r="B193" s="4">
        <v>2014</v>
      </c>
      <c r="C193" s="11" t="s">
        <v>124</v>
      </c>
      <c r="D193" s="11" t="s">
        <v>229</v>
      </c>
      <c r="E193" s="11" t="s">
        <v>230</v>
      </c>
      <c r="F193" s="12">
        <v>0</v>
      </c>
    </row>
    <row r="194" spans="2:6" hidden="1" x14ac:dyDescent="0.2">
      <c r="B194" s="4">
        <v>2014</v>
      </c>
      <c r="C194" s="11" t="s">
        <v>124</v>
      </c>
      <c r="D194" s="11" t="s">
        <v>229</v>
      </c>
      <c r="E194" s="11" t="s">
        <v>231</v>
      </c>
      <c r="F194" s="12">
        <v>0</v>
      </c>
    </row>
    <row r="195" spans="2:6" hidden="1" x14ac:dyDescent="0.2">
      <c r="B195" s="4">
        <v>2014</v>
      </c>
      <c r="C195" s="11" t="s">
        <v>124</v>
      </c>
      <c r="D195" s="11" t="s">
        <v>229</v>
      </c>
      <c r="E195" s="11" t="s">
        <v>232</v>
      </c>
      <c r="F195" s="12">
        <v>0</v>
      </c>
    </row>
    <row r="196" spans="2:6" hidden="1" x14ac:dyDescent="0.2">
      <c r="B196" s="4">
        <v>2014</v>
      </c>
      <c r="C196" s="11" t="s">
        <v>124</v>
      </c>
      <c r="D196" s="11" t="s">
        <v>229</v>
      </c>
      <c r="E196" s="11" t="s">
        <v>233</v>
      </c>
      <c r="F196" s="12">
        <v>1</v>
      </c>
    </row>
    <row r="197" spans="2:6" hidden="1" x14ac:dyDescent="0.2">
      <c r="B197" s="4">
        <v>2014</v>
      </c>
      <c r="C197" s="11" t="s">
        <v>124</v>
      </c>
      <c r="D197" s="11" t="s">
        <v>229</v>
      </c>
      <c r="E197" s="11" t="s">
        <v>234</v>
      </c>
      <c r="F197" s="12">
        <v>3</v>
      </c>
    </row>
    <row r="198" spans="2:6" hidden="1" x14ac:dyDescent="0.2">
      <c r="B198" s="4">
        <v>2014</v>
      </c>
      <c r="C198" s="11" t="s">
        <v>124</v>
      </c>
      <c r="D198" s="11" t="s">
        <v>229</v>
      </c>
      <c r="E198" s="11" t="s">
        <v>235</v>
      </c>
      <c r="F198" s="12">
        <v>0</v>
      </c>
    </row>
    <row r="199" spans="2:6" hidden="1" x14ac:dyDescent="0.2">
      <c r="B199" s="4">
        <v>2014</v>
      </c>
      <c r="C199" s="11" t="s">
        <v>124</v>
      </c>
      <c r="D199" s="11" t="s">
        <v>229</v>
      </c>
      <c r="E199" s="11" t="s">
        <v>236</v>
      </c>
      <c r="F199" s="12">
        <v>0</v>
      </c>
    </row>
    <row r="200" spans="2:6" hidden="1" x14ac:dyDescent="0.2">
      <c r="B200" s="4">
        <v>2014</v>
      </c>
      <c r="C200" s="11" t="s">
        <v>124</v>
      </c>
      <c r="D200" s="11" t="s">
        <v>229</v>
      </c>
      <c r="E200" s="11" t="s">
        <v>237</v>
      </c>
      <c r="F200" s="12">
        <v>0</v>
      </c>
    </row>
    <row r="201" spans="2:6" hidden="1" x14ac:dyDescent="0.2">
      <c r="B201" s="4">
        <v>2014</v>
      </c>
      <c r="C201" s="11" t="s">
        <v>124</v>
      </c>
      <c r="D201" s="11" t="s">
        <v>229</v>
      </c>
      <c r="E201" s="11" t="s">
        <v>238</v>
      </c>
      <c r="F201" s="12">
        <v>0</v>
      </c>
    </row>
    <row r="202" spans="2:6" hidden="1" x14ac:dyDescent="0.2">
      <c r="B202" s="4">
        <v>2014</v>
      </c>
      <c r="C202" s="11" t="s">
        <v>124</v>
      </c>
      <c r="D202" s="11" t="s">
        <v>239</v>
      </c>
      <c r="E202" s="11" t="s">
        <v>240</v>
      </c>
      <c r="F202" s="12">
        <v>0</v>
      </c>
    </row>
    <row r="203" spans="2:6" hidden="1" x14ac:dyDescent="0.2">
      <c r="B203" s="4">
        <v>2014</v>
      </c>
      <c r="C203" s="11" t="s">
        <v>124</v>
      </c>
      <c r="D203" s="11" t="s">
        <v>239</v>
      </c>
      <c r="E203" s="11" t="s">
        <v>150</v>
      </c>
      <c r="F203" s="12">
        <v>0</v>
      </c>
    </row>
    <row r="204" spans="2:6" hidden="1" x14ac:dyDescent="0.2">
      <c r="B204" s="4">
        <v>2014</v>
      </c>
      <c r="C204" s="11" t="s">
        <v>124</v>
      </c>
      <c r="D204" s="11" t="s">
        <v>239</v>
      </c>
      <c r="E204" s="11" t="s">
        <v>241</v>
      </c>
      <c r="F204" s="12">
        <v>0</v>
      </c>
    </row>
    <row r="205" spans="2:6" hidden="1" x14ac:dyDescent="0.2">
      <c r="B205" s="4">
        <v>2014</v>
      </c>
      <c r="C205" s="11" t="s">
        <v>124</v>
      </c>
      <c r="D205" s="11" t="s">
        <v>239</v>
      </c>
      <c r="E205" s="11" t="s">
        <v>242</v>
      </c>
      <c r="F205" s="12">
        <v>0</v>
      </c>
    </row>
    <row r="206" spans="2:6" hidden="1" x14ac:dyDescent="0.2">
      <c r="B206" s="4">
        <v>2014</v>
      </c>
      <c r="C206" s="11" t="s">
        <v>124</v>
      </c>
      <c r="D206" s="11" t="s">
        <v>239</v>
      </c>
      <c r="E206" s="11" t="s">
        <v>243</v>
      </c>
      <c r="F206" s="12">
        <v>0</v>
      </c>
    </row>
    <row r="207" spans="2:6" hidden="1" x14ac:dyDescent="0.2">
      <c r="B207" s="4">
        <v>2014</v>
      </c>
      <c r="C207" s="11" t="s">
        <v>124</v>
      </c>
      <c r="D207" s="11" t="s">
        <v>239</v>
      </c>
      <c r="E207" s="11" t="s">
        <v>244</v>
      </c>
      <c r="F207" s="12">
        <v>0</v>
      </c>
    </row>
    <row r="208" spans="2:6" hidden="1" x14ac:dyDescent="0.2">
      <c r="B208" s="4">
        <v>2014</v>
      </c>
      <c r="C208" s="11" t="s">
        <v>124</v>
      </c>
      <c r="D208" s="11" t="s">
        <v>239</v>
      </c>
      <c r="E208" s="11" t="s">
        <v>245</v>
      </c>
      <c r="F208" s="12">
        <v>0</v>
      </c>
    </row>
    <row r="209" spans="2:6" hidden="1" x14ac:dyDescent="0.2">
      <c r="B209" s="4">
        <v>2014</v>
      </c>
      <c r="C209" s="11" t="s">
        <v>124</v>
      </c>
      <c r="D209" s="11" t="s">
        <v>239</v>
      </c>
      <c r="E209" s="11" t="s">
        <v>239</v>
      </c>
      <c r="F209" s="12">
        <v>1</v>
      </c>
    </row>
    <row r="210" spans="2:6" hidden="1" x14ac:dyDescent="0.2">
      <c r="B210" s="4">
        <v>2014</v>
      </c>
      <c r="C210" s="11" t="s">
        <v>124</v>
      </c>
      <c r="D210" s="11" t="s">
        <v>239</v>
      </c>
      <c r="E210" s="11" t="s">
        <v>132</v>
      </c>
      <c r="F210" s="12">
        <v>0</v>
      </c>
    </row>
    <row r="211" spans="2:6" hidden="1" x14ac:dyDescent="0.2">
      <c r="B211" s="4">
        <v>2014</v>
      </c>
      <c r="C211" s="11" t="s">
        <v>124</v>
      </c>
      <c r="D211" s="11" t="s">
        <v>239</v>
      </c>
      <c r="E211" s="11" t="s">
        <v>113</v>
      </c>
      <c r="F211" s="12">
        <v>0</v>
      </c>
    </row>
    <row r="212" spans="2:6" hidden="1" x14ac:dyDescent="0.2">
      <c r="B212" s="4">
        <v>2014</v>
      </c>
      <c r="C212" s="11" t="s">
        <v>124</v>
      </c>
      <c r="D212" s="11" t="s">
        <v>239</v>
      </c>
      <c r="E212" s="11" t="s">
        <v>246</v>
      </c>
      <c r="F212" s="12">
        <v>2</v>
      </c>
    </row>
    <row r="213" spans="2:6" hidden="1" x14ac:dyDescent="0.2">
      <c r="B213" s="4">
        <v>2014</v>
      </c>
      <c r="C213" s="11" t="s">
        <v>124</v>
      </c>
      <c r="D213" s="11" t="s">
        <v>247</v>
      </c>
      <c r="E213" s="11" t="s">
        <v>247</v>
      </c>
      <c r="F213" s="12">
        <v>5</v>
      </c>
    </row>
    <row r="214" spans="2:6" hidden="1" x14ac:dyDescent="0.2">
      <c r="B214" s="4">
        <v>2014</v>
      </c>
      <c r="C214" s="11" t="s">
        <v>124</v>
      </c>
      <c r="D214" s="11" t="s">
        <v>247</v>
      </c>
      <c r="E214" s="11" t="s">
        <v>248</v>
      </c>
      <c r="F214" s="12">
        <v>0</v>
      </c>
    </row>
    <row r="215" spans="2:6" hidden="1" x14ac:dyDescent="0.2">
      <c r="B215" s="4">
        <v>2014</v>
      </c>
      <c r="C215" s="11" t="s">
        <v>124</v>
      </c>
      <c r="D215" s="11" t="s">
        <v>247</v>
      </c>
      <c r="E215" s="11" t="s">
        <v>249</v>
      </c>
      <c r="F215" s="12">
        <v>0</v>
      </c>
    </row>
    <row r="216" spans="2:6" hidden="1" x14ac:dyDescent="0.2">
      <c r="B216" s="4">
        <v>2014</v>
      </c>
      <c r="C216" s="11" t="s">
        <v>124</v>
      </c>
      <c r="D216" s="11" t="s">
        <v>247</v>
      </c>
      <c r="E216" s="11" t="s">
        <v>250</v>
      </c>
      <c r="F216" s="12">
        <v>0</v>
      </c>
    </row>
    <row r="217" spans="2:6" hidden="1" x14ac:dyDescent="0.2">
      <c r="B217" s="4">
        <v>2014</v>
      </c>
      <c r="C217" s="11" t="s">
        <v>124</v>
      </c>
      <c r="D217" s="11" t="s">
        <v>251</v>
      </c>
      <c r="E217" s="11" t="s">
        <v>251</v>
      </c>
      <c r="F217" s="12">
        <v>1</v>
      </c>
    </row>
    <row r="218" spans="2:6" hidden="1" x14ac:dyDescent="0.2">
      <c r="B218" s="4">
        <v>2014</v>
      </c>
      <c r="C218" s="11" t="s">
        <v>124</v>
      </c>
      <c r="D218" s="11" t="s">
        <v>251</v>
      </c>
      <c r="E218" s="11" t="s">
        <v>252</v>
      </c>
      <c r="F218" s="12">
        <v>2</v>
      </c>
    </row>
    <row r="219" spans="2:6" hidden="1" x14ac:dyDescent="0.2">
      <c r="B219" s="4">
        <v>2014</v>
      </c>
      <c r="C219" s="11" t="s">
        <v>124</v>
      </c>
      <c r="D219" s="11" t="s">
        <v>251</v>
      </c>
      <c r="E219" s="11" t="s">
        <v>253</v>
      </c>
      <c r="F219" s="12">
        <v>0</v>
      </c>
    </row>
    <row r="220" spans="2:6" hidden="1" x14ac:dyDescent="0.2">
      <c r="B220" s="4">
        <v>2014</v>
      </c>
      <c r="C220" s="11" t="s">
        <v>124</v>
      </c>
      <c r="D220" s="11" t="s">
        <v>251</v>
      </c>
      <c r="E220" s="11" t="s">
        <v>254</v>
      </c>
      <c r="F220" s="12">
        <v>0</v>
      </c>
    </row>
    <row r="221" spans="2:6" hidden="1" x14ac:dyDescent="0.2">
      <c r="B221" s="4">
        <v>2014</v>
      </c>
      <c r="C221" s="11" t="s">
        <v>124</v>
      </c>
      <c r="D221" s="11" t="s">
        <v>251</v>
      </c>
      <c r="E221" s="11" t="s">
        <v>255</v>
      </c>
      <c r="F221" s="12">
        <v>1</v>
      </c>
    </row>
    <row r="222" spans="2:6" hidden="1" x14ac:dyDescent="0.2">
      <c r="B222" s="4">
        <v>2014</v>
      </c>
      <c r="C222" s="11" t="s">
        <v>124</v>
      </c>
      <c r="D222" s="11" t="s">
        <v>251</v>
      </c>
      <c r="E222" s="11" t="s">
        <v>256</v>
      </c>
      <c r="F222" s="12">
        <v>0</v>
      </c>
    </row>
    <row r="223" spans="2:6" hidden="1" x14ac:dyDescent="0.2">
      <c r="B223" s="4">
        <v>2014</v>
      </c>
      <c r="C223" s="11" t="s">
        <v>124</v>
      </c>
      <c r="D223" s="11" t="s">
        <v>251</v>
      </c>
      <c r="E223" s="11" t="s">
        <v>257</v>
      </c>
      <c r="F223" s="12">
        <v>0</v>
      </c>
    </row>
    <row r="224" spans="2:6" hidden="1" x14ac:dyDescent="0.2">
      <c r="B224" s="4">
        <v>2014</v>
      </c>
      <c r="C224" s="11" t="s">
        <v>124</v>
      </c>
      <c r="D224" s="11" t="s">
        <v>251</v>
      </c>
      <c r="E224" s="11" t="s">
        <v>258</v>
      </c>
      <c r="F224" s="12">
        <v>0</v>
      </c>
    </row>
    <row r="225" spans="2:6" hidden="1" x14ac:dyDescent="0.2">
      <c r="B225" s="4">
        <v>2014</v>
      </c>
      <c r="C225" s="11" t="s">
        <v>124</v>
      </c>
      <c r="D225" s="11" t="s">
        <v>251</v>
      </c>
      <c r="E225" s="11" t="s">
        <v>259</v>
      </c>
      <c r="F225" s="12">
        <v>0</v>
      </c>
    </row>
    <row r="226" spans="2:6" hidden="1" x14ac:dyDescent="0.2">
      <c r="B226" s="4">
        <v>2014</v>
      </c>
      <c r="C226" s="11" t="s">
        <v>124</v>
      </c>
      <c r="D226" s="11" t="s">
        <v>251</v>
      </c>
      <c r="E226" s="11" t="s">
        <v>260</v>
      </c>
      <c r="F226" s="12">
        <v>0</v>
      </c>
    </row>
    <row r="227" spans="2:6" hidden="1" x14ac:dyDescent="0.2">
      <c r="B227" s="4">
        <v>2014</v>
      </c>
      <c r="C227" s="11" t="s">
        <v>124</v>
      </c>
      <c r="D227" s="11" t="s">
        <v>261</v>
      </c>
      <c r="E227" s="11" t="s">
        <v>262</v>
      </c>
      <c r="F227" s="12">
        <v>85</v>
      </c>
    </row>
    <row r="228" spans="2:6" hidden="1" x14ac:dyDescent="0.2">
      <c r="B228" s="4">
        <v>2014</v>
      </c>
      <c r="C228" s="11" t="s">
        <v>124</v>
      </c>
      <c r="D228" s="11" t="s">
        <v>261</v>
      </c>
      <c r="E228" s="11" t="s">
        <v>263</v>
      </c>
      <c r="F228" s="12">
        <v>2</v>
      </c>
    </row>
    <row r="229" spans="2:6" hidden="1" x14ac:dyDescent="0.2">
      <c r="B229" s="4">
        <v>2014</v>
      </c>
      <c r="C229" s="11" t="s">
        <v>124</v>
      </c>
      <c r="D229" s="11" t="s">
        <v>261</v>
      </c>
      <c r="E229" s="11" t="s">
        <v>264</v>
      </c>
      <c r="F229" s="12">
        <v>5</v>
      </c>
    </row>
    <row r="230" spans="2:6" hidden="1" x14ac:dyDescent="0.2">
      <c r="B230" s="4">
        <v>2014</v>
      </c>
      <c r="C230" s="11" t="s">
        <v>124</v>
      </c>
      <c r="D230" s="11" t="s">
        <v>261</v>
      </c>
      <c r="E230" s="11" t="s">
        <v>265</v>
      </c>
      <c r="F230" s="12">
        <v>0</v>
      </c>
    </row>
    <row r="231" spans="2:6" hidden="1" x14ac:dyDescent="0.2">
      <c r="B231" s="4">
        <v>2014</v>
      </c>
      <c r="C231" s="11" t="s">
        <v>124</v>
      </c>
      <c r="D231" s="11" t="s">
        <v>261</v>
      </c>
      <c r="E231" s="11" t="s">
        <v>266</v>
      </c>
      <c r="F231" s="12">
        <v>1</v>
      </c>
    </row>
    <row r="232" spans="2:6" hidden="1" x14ac:dyDescent="0.2">
      <c r="B232" s="4">
        <v>2014</v>
      </c>
      <c r="C232" s="11" t="s">
        <v>124</v>
      </c>
      <c r="D232" s="11" t="s">
        <v>261</v>
      </c>
      <c r="E232" s="11" t="s">
        <v>267</v>
      </c>
      <c r="F232" s="12">
        <v>11</v>
      </c>
    </row>
    <row r="233" spans="2:6" hidden="1" x14ac:dyDescent="0.2">
      <c r="B233" s="4">
        <v>2014</v>
      </c>
      <c r="C233" s="11" t="s">
        <v>124</v>
      </c>
      <c r="D233" s="11" t="s">
        <v>261</v>
      </c>
      <c r="E233" s="11" t="s">
        <v>268</v>
      </c>
      <c r="F233" s="12">
        <v>2</v>
      </c>
    </row>
    <row r="234" spans="2:6" hidden="1" x14ac:dyDescent="0.2">
      <c r="B234" s="4">
        <v>2014</v>
      </c>
      <c r="C234" s="11" t="s">
        <v>124</v>
      </c>
      <c r="D234" s="11" t="s">
        <v>261</v>
      </c>
      <c r="E234" s="11" t="s">
        <v>261</v>
      </c>
      <c r="F234" s="12">
        <v>4</v>
      </c>
    </row>
    <row r="235" spans="2:6" hidden="1" x14ac:dyDescent="0.2">
      <c r="B235" s="4">
        <v>2014</v>
      </c>
      <c r="C235" s="11" t="s">
        <v>124</v>
      </c>
      <c r="D235" s="11" t="s">
        <v>261</v>
      </c>
      <c r="E235" s="11" t="s">
        <v>269</v>
      </c>
      <c r="F235" s="12">
        <v>152</v>
      </c>
    </row>
    <row r="236" spans="2:6" hidden="1" x14ac:dyDescent="0.2">
      <c r="B236" s="4">
        <v>2014</v>
      </c>
      <c r="C236" s="11" t="s">
        <v>124</v>
      </c>
      <c r="D236" s="11" t="s">
        <v>270</v>
      </c>
      <c r="E236" s="11" t="s">
        <v>270</v>
      </c>
      <c r="F236" s="12">
        <v>0</v>
      </c>
    </row>
    <row r="237" spans="2:6" hidden="1" x14ac:dyDescent="0.2">
      <c r="B237" s="4">
        <v>2014</v>
      </c>
      <c r="C237" s="11" t="s">
        <v>124</v>
      </c>
      <c r="D237" s="11" t="s">
        <v>270</v>
      </c>
      <c r="E237" s="11" t="s">
        <v>271</v>
      </c>
      <c r="F237" s="12">
        <v>0</v>
      </c>
    </row>
    <row r="238" spans="2:6" hidden="1" x14ac:dyDescent="0.2">
      <c r="B238" s="4">
        <v>2014</v>
      </c>
      <c r="C238" s="11" t="s">
        <v>124</v>
      </c>
      <c r="D238" s="11" t="s">
        <v>270</v>
      </c>
      <c r="E238" s="11" t="s">
        <v>272</v>
      </c>
      <c r="F238" s="12">
        <v>0</v>
      </c>
    </row>
    <row r="239" spans="2:6" hidden="1" x14ac:dyDescent="0.2">
      <c r="B239" s="4">
        <v>2014</v>
      </c>
      <c r="C239" s="11" t="s">
        <v>124</v>
      </c>
      <c r="D239" s="11" t="s">
        <v>270</v>
      </c>
      <c r="E239" s="11" t="s">
        <v>273</v>
      </c>
      <c r="F239" s="12">
        <v>1</v>
      </c>
    </row>
    <row r="240" spans="2:6" hidden="1" x14ac:dyDescent="0.2">
      <c r="B240" s="4">
        <v>2014</v>
      </c>
      <c r="C240" s="11" t="s">
        <v>124</v>
      </c>
      <c r="D240" s="11" t="s">
        <v>270</v>
      </c>
      <c r="E240" s="11" t="s">
        <v>274</v>
      </c>
      <c r="F240" s="12">
        <v>0</v>
      </c>
    </row>
    <row r="241" spans="2:6" hidden="1" x14ac:dyDescent="0.2">
      <c r="B241" s="4">
        <v>2014</v>
      </c>
      <c r="C241" s="11" t="s">
        <v>124</v>
      </c>
      <c r="D241" s="11" t="s">
        <v>270</v>
      </c>
      <c r="E241" s="11" t="s">
        <v>275</v>
      </c>
      <c r="F241" s="12">
        <v>0</v>
      </c>
    </row>
    <row r="242" spans="2:6" hidden="1" x14ac:dyDescent="0.2">
      <c r="B242" s="4">
        <v>2014</v>
      </c>
      <c r="C242" s="11" t="s">
        <v>124</v>
      </c>
      <c r="D242" s="11" t="s">
        <v>270</v>
      </c>
      <c r="E242" s="11" t="s">
        <v>276</v>
      </c>
      <c r="F242" s="12">
        <v>0</v>
      </c>
    </row>
    <row r="243" spans="2:6" hidden="1" x14ac:dyDescent="0.2">
      <c r="B243" s="4">
        <v>2014</v>
      </c>
      <c r="C243" s="11" t="s">
        <v>124</v>
      </c>
      <c r="D243" s="11" t="s">
        <v>270</v>
      </c>
      <c r="E243" s="11" t="s">
        <v>277</v>
      </c>
      <c r="F243" s="12">
        <v>0</v>
      </c>
    </row>
    <row r="244" spans="2:6" hidden="1" x14ac:dyDescent="0.2">
      <c r="B244" s="4">
        <v>2014</v>
      </c>
      <c r="C244" s="11" t="s">
        <v>124</v>
      </c>
      <c r="D244" s="11" t="s">
        <v>270</v>
      </c>
      <c r="E244" s="11" t="s">
        <v>278</v>
      </c>
      <c r="F244" s="12">
        <v>0</v>
      </c>
    </row>
    <row r="245" spans="2:6" hidden="1" x14ac:dyDescent="0.2">
      <c r="B245" s="4">
        <v>2014</v>
      </c>
      <c r="C245" s="11" t="s">
        <v>124</v>
      </c>
      <c r="D245" s="11" t="s">
        <v>270</v>
      </c>
      <c r="E245" s="11" t="s">
        <v>279</v>
      </c>
      <c r="F245" s="12">
        <v>0</v>
      </c>
    </row>
    <row r="246" spans="2:6" hidden="1" x14ac:dyDescent="0.2">
      <c r="B246" s="4">
        <v>2014</v>
      </c>
      <c r="C246" s="11" t="s">
        <v>124</v>
      </c>
      <c r="D246" s="11" t="s">
        <v>280</v>
      </c>
      <c r="E246" s="11" t="s">
        <v>280</v>
      </c>
      <c r="F246" s="12">
        <v>8</v>
      </c>
    </row>
    <row r="247" spans="2:6" hidden="1" x14ac:dyDescent="0.2">
      <c r="B247" s="4">
        <v>2014</v>
      </c>
      <c r="C247" s="11" t="s">
        <v>124</v>
      </c>
      <c r="D247" s="11" t="s">
        <v>280</v>
      </c>
      <c r="E247" s="11" t="s">
        <v>281</v>
      </c>
      <c r="F247" s="12">
        <v>1</v>
      </c>
    </row>
    <row r="248" spans="2:6" hidden="1" x14ac:dyDescent="0.2">
      <c r="B248" s="4">
        <v>2014</v>
      </c>
      <c r="C248" s="11" t="s">
        <v>124</v>
      </c>
      <c r="D248" s="11" t="s">
        <v>280</v>
      </c>
      <c r="E248" s="11" t="s">
        <v>282</v>
      </c>
      <c r="F248" s="12">
        <v>3</v>
      </c>
    </row>
    <row r="249" spans="2:6" hidden="1" x14ac:dyDescent="0.2">
      <c r="B249" s="4">
        <v>2014</v>
      </c>
      <c r="C249" s="11" t="s">
        <v>124</v>
      </c>
      <c r="D249" s="11" t="s">
        <v>280</v>
      </c>
      <c r="E249" s="11" t="s">
        <v>283</v>
      </c>
      <c r="F249" s="12">
        <v>0</v>
      </c>
    </row>
    <row r="250" spans="2:6" hidden="1" x14ac:dyDescent="0.2">
      <c r="B250" s="4">
        <v>2014</v>
      </c>
      <c r="C250" s="11" t="s">
        <v>124</v>
      </c>
      <c r="D250" s="11" t="s">
        <v>280</v>
      </c>
      <c r="E250" s="11" t="s">
        <v>284</v>
      </c>
      <c r="F250" s="12">
        <v>1</v>
      </c>
    </row>
    <row r="251" spans="2:6" hidden="1" x14ac:dyDescent="0.2">
      <c r="B251" s="4">
        <v>2014</v>
      </c>
      <c r="C251" s="11" t="s">
        <v>124</v>
      </c>
      <c r="D251" s="11" t="s">
        <v>280</v>
      </c>
      <c r="E251" s="11" t="s">
        <v>285</v>
      </c>
      <c r="F251" s="12">
        <v>0</v>
      </c>
    </row>
    <row r="252" spans="2:6" hidden="1" x14ac:dyDescent="0.2">
      <c r="B252" s="4">
        <v>2014</v>
      </c>
      <c r="C252" s="11" t="s">
        <v>124</v>
      </c>
      <c r="D252" s="11" t="s">
        <v>280</v>
      </c>
      <c r="E252" s="11" t="s">
        <v>286</v>
      </c>
      <c r="F252" s="12">
        <v>0</v>
      </c>
    </row>
    <row r="253" spans="2:6" hidden="1" x14ac:dyDescent="0.2">
      <c r="B253" s="4">
        <v>2014</v>
      </c>
      <c r="C253" s="11" t="s">
        <v>124</v>
      </c>
      <c r="D253" s="11" t="s">
        <v>280</v>
      </c>
      <c r="E253" s="11" t="s">
        <v>287</v>
      </c>
      <c r="F253" s="12">
        <v>0</v>
      </c>
    </row>
    <row r="254" spans="2:6" hidden="1" x14ac:dyDescent="0.2">
      <c r="B254" s="4">
        <v>2014</v>
      </c>
      <c r="C254" s="11" t="s">
        <v>288</v>
      </c>
      <c r="D254" s="11" t="s">
        <v>289</v>
      </c>
      <c r="E254" s="11" t="s">
        <v>289</v>
      </c>
      <c r="F254" s="12">
        <v>57</v>
      </c>
    </row>
    <row r="255" spans="2:6" hidden="1" x14ac:dyDescent="0.2">
      <c r="B255" s="4">
        <v>2014</v>
      </c>
      <c r="C255" s="11" t="s">
        <v>288</v>
      </c>
      <c r="D255" s="11" t="s">
        <v>289</v>
      </c>
      <c r="E255" s="11" t="s">
        <v>290</v>
      </c>
      <c r="F255" s="12">
        <v>0</v>
      </c>
    </row>
    <row r="256" spans="2:6" hidden="1" x14ac:dyDescent="0.2">
      <c r="B256" s="4">
        <v>2014</v>
      </c>
      <c r="C256" s="11" t="s">
        <v>288</v>
      </c>
      <c r="D256" s="11" t="s">
        <v>289</v>
      </c>
      <c r="E256" s="11" t="s">
        <v>291</v>
      </c>
      <c r="F256" s="12">
        <v>1</v>
      </c>
    </row>
    <row r="257" spans="2:6" hidden="1" x14ac:dyDescent="0.2">
      <c r="B257" s="4">
        <v>2014</v>
      </c>
      <c r="C257" s="11" t="s">
        <v>288</v>
      </c>
      <c r="D257" s="11" t="s">
        <v>289</v>
      </c>
      <c r="E257" s="11" t="s">
        <v>292</v>
      </c>
      <c r="F257" s="12">
        <v>2</v>
      </c>
    </row>
    <row r="258" spans="2:6" hidden="1" x14ac:dyDescent="0.2">
      <c r="B258" s="4">
        <v>2014</v>
      </c>
      <c r="C258" s="11" t="s">
        <v>288</v>
      </c>
      <c r="D258" s="11" t="s">
        <v>289</v>
      </c>
      <c r="E258" s="11" t="s">
        <v>293</v>
      </c>
      <c r="F258" s="12">
        <v>0</v>
      </c>
    </row>
    <row r="259" spans="2:6" hidden="1" x14ac:dyDescent="0.2">
      <c r="B259" s="4">
        <v>2014</v>
      </c>
      <c r="C259" s="11" t="s">
        <v>288</v>
      </c>
      <c r="D259" s="11" t="s">
        <v>289</v>
      </c>
      <c r="E259" s="11" t="s">
        <v>294</v>
      </c>
      <c r="F259" s="12">
        <v>10</v>
      </c>
    </row>
    <row r="260" spans="2:6" hidden="1" x14ac:dyDescent="0.2">
      <c r="B260" s="4">
        <v>2014</v>
      </c>
      <c r="C260" s="11" t="s">
        <v>288</v>
      </c>
      <c r="D260" s="11" t="s">
        <v>289</v>
      </c>
      <c r="E260" s="11" t="s">
        <v>295</v>
      </c>
      <c r="F260" s="12">
        <v>0</v>
      </c>
    </row>
    <row r="261" spans="2:6" hidden="1" x14ac:dyDescent="0.2">
      <c r="B261" s="4">
        <v>2014</v>
      </c>
      <c r="C261" s="11" t="s">
        <v>288</v>
      </c>
      <c r="D261" s="11" t="s">
        <v>289</v>
      </c>
      <c r="E261" s="11" t="s">
        <v>296</v>
      </c>
      <c r="F261" s="12">
        <v>0</v>
      </c>
    </row>
    <row r="262" spans="2:6" hidden="1" x14ac:dyDescent="0.2">
      <c r="B262" s="4">
        <v>2014</v>
      </c>
      <c r="C262" s="11" t="s">
        <v>288</v>
      </c>
      <c r="D262" s="11" t="s">
        <v>289</v>
      </c>
      <c r="E262" s="11" t="s">
        <v>297</v>
      </c>
      <c r="F262" s="12">
        <v>4</v>
      </c>
    </row>
    <row r="263" spans="2:6" hidden="1" x14ac:dyDescent="0.2">
      <c r="B263" s="4">
        <v>2014</v>
      </c>
      <c r="C263" s="11" t="s">
        <v>288</v>
      </c>
      <c r="D263" s="11" t="s">
        <v>298</v>
      </c>
      <c r="E263" s="11" t="s">
        <v>298</v>
      </c>
      <c r="F263" s="12">
        <v>36</v>
      </c>
    </row>
    <row r="264" spans="2:6" hidden="1" x14ac:dyDescent="0.2">
      <c r="B264" s="4">
        <v>2014</v>
      </c>
      <c r="C264" s="11" t="s">
        <v>288</v>
      </c>
      <c r="D264" s="11" t="s">
        <v>298</v>
      </c>
      <c r="E264" s="11" t="s">
        <v>299</v>
      </c>
      <c r="F264" s="12">
        <v>1</v>
      </c>
    </row>
    <row r="265" spans="2:6" hidden="1" x14ac:dyDescent="0.2">
      <c r="B265" s="4">
        <v>2014</v>
      </c>
      <c r="C265" s="11" t="s">
        <v>288</v>
      </c>
      <c r="D265" s="11" t="s">
        <v>298</v>
      </c>
      <c r="E265" s="11" t="s">
        <v>300</v>
      </c>
      <c r="F265" s="12">
        <v>0</v>
      </c>
    </row>
    <row r="266" spans="2:6" hidden="1" x14ac:dyDescent="0.2">
      <c r="B266" s="4">
        <v>2014</v>
      </c>
      <c r="C266" s="11" t="s">
        <v>288</v>
      </c>
      <c r="D266" s="11" t="s">
        <v>298</v>
      </c>
      <c r="E266" s="11" t="s">
        <v>301</v>
      </c>
      <c r="F266" s="12">
        <v>4</v>
      </c>
    </row>
    <row r="267" spans="2:6" hidden="1" x14ac:dyDescent="0.2">
      <c r="B267" s="4">
        <v>2014</v>
      </c>
      <c r="C267" s="11" t="s">
        <v>288</v>
      </c>
      <c r="D267" s="11" t="s">
        <v>298</v>
      </c>
      <c r="E267" s="11" t="s">
        <v>302</v>
      </c>
      <c r="F267" s="12">
        <v>2</v>
      </c>
    </row>
    <row r="268" spans="2:6" hidden="1" x14ac:dyDescent="0.2">
      <c r="B268" s="4">
        <v>2014</v>
      </c>
      <c r="C268" s="11" t="s">
        <v>288</v>
      </c>
      <c r="D268" s="11" t="s">
        <v>298</v>
      </c>
      <c r="E268" s="11" t="s">
        <v>303</v>
      </c>
      <c r="F268" s="12">
        <v>0</v>
      </c>
    </row>
    <row r="269" spans="2:6" hidden="1" x14ac:dyDescent="0.2">
      <c r="B269" s="4">
        <v>2014</v>
      </c>
      <c r="C269" s="11" t="s">
        <v>288</v>
      </c>
      <c r="D269" s="11" t="s">
        <v>298</v>
      </c>
      <c r="E269" s="11" t="s">
        <v>304</v>
      </c>
      <c r="F269" s="12">
        <v>3</v>
      </c>
    </row>
    <row r="270" spans="2:6" hidden="1" x14ac:dyDescent="0.2">
      <c r="B270" s="4">
        <v>2014</v>
      </c>
      <c r="C270" s="11" t="s">
        <v>288</v>
      </c>
      <c r="D270" s="11" t="s">
        <v>298</v>
      </c>
      <c r="E270" s="11" t="s">
        <v>305</v>
      </c>
      <c r="F270" s="12">
        <v>0</v>
      </c>
    </row>
    <row r="271" spans="2:6" hidden="1" x14ac:dyDescent="0.2">
      <c r="B271" s="4">
        <v>2014</v>
      </c>
      <c r="C271" s="11" t="s">
        <v>288</v>
      </c>
      <c r="D271" s="11" t="s">
        <v>298</v>
      </c>
      <c r="E271" s="11" t="s">
        <v>306</v>
      </c>
      <c r="F271" s="12">
        <v>5</v>
      </c>
    </row>
    <row r="272" spans="2:6" hidden="1" x14ac:dyDescent="0.2">
      <c r="B272" s="4">
        <v>2014</v>
      </c>
      <c r="C272" s="11" t="s">
        <v>288</v>
      </c>
      <c r="D272" s="11" t="s">
        <v>298</v>
      </c>
      <c r="E272" s="11" t="s">
        <v>307</v>
      </c>
      <c r="F272" s="12">
        <v>2</v>
      </c>
    </row>
    <row r="273" spans="2:6" hidden="1" x14ac:dyDescent="0.2">
      <c r="B273" s="4">
        <v>2014</v>
      </c>
      <c r="C273" s="11" t="s">
        <v>288</v>
      </c>
      <c r="D273" s="11" t="s">
        <v>298</v>
      </c>
      <c r="E273" s="11" t="s">
        <v>308</v>
      </c>
      <c r="F273" s="12">
        <v>2</v>
      </c>
    </row>
    <row r="274" spans="2:6" hidden="1" x14ac:dyDescent="0.2">
      <c r="B274" s="4">
        <v>2014</v>
      </c>
      <c r="C274" s="11" t="s">
        <v>288</v>
      </c>
      <c r="D274" s="11" t="s">
        <v>298</v>
      </c>
      <c r="E274" s="11" t="s">
        <v>309</v>
      </c>
      <c r="F274" s="12">
        <v>0</v>
      </c>
    </row>
    <row r="275" spans="2:6" hidden="1" x14ac:dyDescent="0.2">
      <c r="B275" s="4">
        <v>2014</v>
      </c>
      <c r="C275" s="11" t="s">
        <v>288</v>
      </c>
      <c r="D275" s="11" t="s">
        <v>298</v>
      </c>
      <c r="E275" s="11" t="s">
        <v>97</v>
      </c>
      <c r="F275" s="12">
        <v>7</v>
      </c>
    </row>
    <row r="276" spans="2:6" hidden="1" x14ac:dyDescent="0.2">
      <c r="B276" s="4">
        <v>2014</v>
      </c>
      <c r="C276" s="11" t="s">
        <v>288</v>
      </c>
      <c r="D276" s="11" t="s">
        <v>298</v>
      </c>
      <c r="E276" s="11" t="s">
        <v>310</v>
      </c>
      <c r="F276" s="12">
        <v>1</v>
      </c>
    </row>
    <row r="277" spans="2:6" hidden="1" x14ac:dyDescent="0.2">
      <c r="B277" s="4">
        <v>2014</v>
      </c>
      <c r="C277" s="11" t="s">
        <v>288</v>
      </c>
      <c r="D277" s="11" t="s">
        <v>298</v>
      </c>
      <c r="E277" s="11" t="s">
        <v>311</v>
      </c>
      <c r="F277" s="12">
        <v>1</v>
      </c>
    </row>
    <row r="278" spans="2:6" hidden="1" x14ac:dyDescent="0.2">
      <c r="B278" s="4">
        <v>2014</v>
      </c>
      <c r="C278" s="11" t="s">
        <v>288</v>
      </c>
      <c r="D278" s="11" t="s">
        <v>298</v>
      </c>
      <c r="E278" s="11" t="s">
        <v>312</v>
      </c>
      <c r="F278" s="12">
        <v>3</v>
      </c>
    </row>
    <row r="279" spans="2:6" hidden="1" x14ac:dyDescent="0.2">
      <c r="B279" s="4">
        <v>2014</v>
      </c>
      <c r="C279" s="11" t="s">
        <v>288</v>
      </c>
      <c r="D279" s="11" t="s">
        <v>298</v>
      </c>
      <c r="E279" s="11" t="s">
        <v>313</v>
      </c>
      <c r="F279" s="12">
        <v>0</v>
      </c>
    </row>
    <row r="280" spans="2:6" hidden="1" x14ac:dyDescent="0.2">
      <c r="B280" s="4">
        <v>2014</v>
      </c>
      <c r="C280" s="11" t="s">
        <v>288</v>
      </c>
      <c r="D280" s="11" t="s">
        <v>298</v>
      </c>
      <c r="E280" s="11" t="s">
        <v>314</v>
      </c>
      <c r="F280" s="12">
        <v>1</v>
      </c>
    </row>
    <row r="281" spans="2:6" hidden="1" x14ac:dyDescent="0.2">
      <c r="B281" s="4">
        <v>2014</v>
      </c>
      <c r="C281" s="11" t="s">
        <v>288</v>
      </c>
      <c r="D281" s="11" t="s">
        <v>298</v>
      </c>
      <c r="E281" s="11" t="s">
        <v>315</v>
      </c>
      <c r="F281" s="12">
        <v>2</v>
      </c>
    </row>
    <row r="282" spans="2:6" hidden="1" x14ac:dyDescent="0.2">
      <c r="B282" s="4">
        <v>2014</v>
      </c>
      <c r="C282" s="11" t="s">
        <v>288</v>
      </c>
      <c r="D282" s="11" t="s">
        <v>316</v>
      </c>
      <c r="E282" s="11" t="s">
        <v>316</v>
      </c>
      <c r="F282" s="12">
        <v>5</v>
      </c>
    </row>
    <row r="283" spans="2:6" hidden="1" x14ac:dyDescent="0.2">
      <c r="B283" s="4">
        <v>2014</v>
      </c>
      <c r="C283" s="11" t="s">
        <v>288</v>
      </c>
      <c r="D283" s="11" t="s">
        <v>316</v>
      </c>
      <c r="E283" s="11" t="s">
        <v>317</v>
      </c>
      <c r="F283" s="12">
        <v>0</v>
      </c>
    </row>
    <row r="284" spans="2:6" hidden="1" x14ac:dyDescent="0.2">
      <c r="B284" s="4">
        <v>2014</v>
      </c>
      <c r="C284" s="11" t="s">
        <v>288</v>
      </c>
      <c r="D284" s="11" t="s">
        <v>316</v>
      </c>
      <c r="E284" s="11" t="s">
        <v>318</v>
      </c>
      <c r="F284" s="12">
        <v>0</v>
      </c>
    </row>
    <row r="285" spans="2:6" hidden="1" x14ac:dyDescent="0.2">
      <c r="B285" s="4">
        <v>2014</v>
      </c>
      <c r="C285" s="11" t="s">
        <v>288</v>
      </c>
      <c r="D285" s="11" t="s">
        <v>316</v>
      </c>
      <c r="E285" s="11" t="s">
        <v>319</v>
      </c>
      <c r="F285" s="12">
        <v>1</v>
      </c>
    </row>
    <row r="286" spans="2:6" hidden="1" x14ac:dyDescent="0.2">
      <c r="B286" s="4">
        <v>2014</v>
      </c>
      <c r="C286" s="11" t="s">
        <v>288</v>
      </c>
      <c r="D286" s="11" t="s">
        <v>316</v>
      </c>
      <c r="E286" s="11" t="s">
        <v>320</v>
      </c>
      <c r="F286" s="12">
        <v>2</v>
      </c>
    </row>
    <row r="287" spans="2:6" hidden="1" x14ac:dyDescent="0.2">
      <c r="B287" s="4">
        <v>2014</v>
      </c>
      <c r="C287" s="11" t="s">
        <v>288</v>
      </c>
      <c r="D287" s="11" t="s">
        <v>316</v>
      </c>
      <c r="E287" s="11" t="s">
        <v>321</v>
      </c>
      <c r="F287" s="12">
        <v>1</v>
      </c>
    </row>
    <row r="288" spans="2:6" hidden="1" x14ac:dyDescent="0.2">
      <c r="B288" s="4">
        <v>2014</v>
      </c>
      <c r="C288" s="11" t="s">
        <v>288</v>
      </c>
      <c r="D288" s="11" t="s">
        <v>316</v>
      </c>
      <c r="E288" s="11" t="s">
        <v>322</v>
      </c>
      <c r="F288" s="12">
        <v>0</v>
      </c>
    </row>
    <row r="289" spans="2:6" hidden="1" x14ac:dyDescent="0.2">
      <c r="B289" s="4">
        <v>2014</v>
      </c>
      <c r="C289" s="11" t="s">
        <v>288</v>
      </c>
      <c r="D289" s="11" t="s">
        <v>323</v>
      </c>
      <c r="E289" s="11" t="s">
        <v>324</v>
      </c>
      <c r="F289" s="12">
        <v>5</v>
      </c>
    </row>
    <row r="290" spans="2:6" hidden="1" x14ac:dyDescent="0.2">
      <c r="B290" s="4">
        <v>2014</v>
      </c>
      <c r="C290" s="11" t="s">
        <v>288</v>
      </c>
      <c r="D290" s="11" t="s">
        <v>323</v>
      </c>
      <c r="E290" s="11" t="s">
        <v>325</v>
      </c>
      <c r="F290" s="12">
        <v>0</v>
      </c>
    </row>
    <row r="291" spans="2:6" hidden="1" x14ac:dyDescent="0.2">
      <c r="B291" s="4">
        <v>2014</v>
      </c>
      <c r="C291" s="11" t="s">
        <v>288</v>
      </c>
      <c r="D291" s="11" t="s">
        <v>323</v>
      </c>
      <c r="E291" s="11" t="s">
        <v>326</v>
      </c>
      <c r="F291" s="12">
        <v>0</v>
      </c>
    </row>
    <row r="292" spans="2:6" hidden="1" x14ac:dyDescent="0.2">
      <c r="B292" s="4">
        <v>2014</v>
      </c>
      <c r="C292" s="11" t="s">
        <v>288</v>
      </c>
      <c r="D292" s="11" t="s">
        <v>323</v>
      </c>
      <c r="E292" s="11" t="s">
        <v>327</v>
      </c>
      <c r="F292" s="12">
        <v>0</v>
      </c>
    </row>
    <row r="293" spans="2:6" hidden="1" x14ac:dyDescent="0.2">
      <c r="B293" s="4">
        <v>2014</v>
      </c>
      <c r="C293" s="11" t="s">
        <v>288</v>
      </c>
      <c r="D293" s="11" t="s">
        <v>323</v>
      </c>
      <c r="E293" s="11" t="s">
        <v>127</v>
      </c>
      <c r="F293" s="12">
        <v>0</v>
      </c>
    </row>
    <row r="294" spans="2:6" hidden="1" x14ac:dyDescent="0.2">
      <c r="B294" s="4">
        <v>2014</v>
      </c>
      <c r="C294" s="11" t="s">
        <v>288</v>
      </c>
      <c r="D294" s="11" t="s">
        <v>323</v>
      </c>
      <c r="E294" s="11" t="s">
        <v>328</v>
      </c>
      <c r="F294" s="12">
        <v>14</v>
      </c>
    </row>
    <row r="295" spans="2:6" hidden="1" x14ac:dyDescent="0.2">
      <c r="B295" s="4">
        <v>2014</v>
      </c>
      <c r="C295" s="11" t="s">
        <v>288</v>
      </c>
      <c r="D295" s="11" t="s">
        <v>323</v>
      </c>
      <c r="E295" s="11" t="s">
        <v>329</v>
      </c>
      <c r="F295" s="12">
        <v>0</v>
      </c>
    </row>
    <row r="296" spans="2:6" hidden="1" x14ac:dyDescent="0.2">
      <c r="B296" s="4">
        <v>2014</v>
      </c>
      <c r="C296" s="11" t="s">
        <v>288</v>
      </c>
      <c r="D296" s="11" t="s">
        <v>323</v>
      </c>
      <c r="E296" s="11" t="s">
        <v>330</v>
      </c>
      <c r="F296" s="12">
        <v>0</v>
      </c>
    </row>
    <row r="297" spans="2:6" hidden="1" x14ac:dyDescent="0.2">
      <c r="B297" s="4">
        <v>2014</v>
      </c>
      <c r="C297" s="11" t="s">
        <v>288</v>
      </c>
      <c r="D297" s="11" t="s">
        <v>323</v>
      </c>
      <c r="E297" s="11" t="s">
        <v>331</v>
      </c>
      <c r="F297" s="12">
        <v>0</v>
      </c>
    </row>
    <row r="298" spans="2:6" hidden="1" x14ac:dyDescent="0.2">
      <c r="B298" s="4">
        <v>2014</v>
      </c>
      <c r="C298" s="11" t="s">
        <v>288</v>
      </c>
      <c r="D298" s="11" t="s">
        <v>323</v>
      </c>
      <c r="E298" s="11" t="s">
        <v>332</v>
      </c>
      <c r="F298" s="12">
        <v>0</v>
      </c>
    </row>
    <row r="299" spans="2:6" hidden="1" x14ac:dyDescent="0.2">
      <c r="B299" s="4">
        <v>2014</v>
      </c>
      <c r="C299" s="11" t="s">
        <v>288</v>
      </c>
      <c r="D299" s="11" t="s">
        <v>323</v>
      </c>
      <c r="E299" s="11" t="s">
        <v>333</v>
      </c>
      <c r="F299" s="12">
        <v>0</v>
      </c>
    </row>
    <row r="300" spans="2:6" hidden="1" x14ac:dyDescent="0.2">
      <c r="B300" s="4">
        <v>2014</v>
      </c>
      <c r="C300" s="11" t="s">
        <v>288</v>
      </c>
      <c r="D300" s="11" t="s">
        <v>323</v>
      </c>
      <c r="E300" s="11" t="s">
        <v>334</v>
      </c>
      <c r="F300" s="12">
        <v>0</v>
      </c>
    </row>
    <row r="301" spans="2:6" hidden="1" x14ac:dyDescent="0.2">
      <c r="B301" s="4">
        <v>2014</v>
      </c>
      <c r="C301" s="11" t="s">
        <v>288</v>
      </c>
      <c r="D301" s="11" t="s">
        <v>323</v>
      </c>
      <c r="E301" s="11" t="s">
        <v>335</v>
      </c>
      <c r="F301" s="12">
        <v>0</v>
      </c>
    </row>
    <row r="302" spans="2:6" hidden="1" x14ac:dyDescent="0.2">
      <c r="B302" s="4">
        <v>2014</v>
      </c>
      <c r="C302" s="11" t="s">
        <v>288</v>
      </c>
      <c r="D302" s="11" t="s">
        <v>323</v>
      </c>
      <c r="E302" s="11" t="s">
        <v>336</v>
      </c>
      <c r="F302" s="12">
        <v>0</v>
      </c>
    </row>
    <row r="303" spans="2:6" hidden="1" x14ac:dyDescent="0.2">
      <c r="B303" s="4">
        <v>2014</v>
      </c>
      <c r="C303" s="11" t="s">
        <v>288</v>
      </c>
      <c r="D303" s="11" t="s">
        <v>323</v>
      </c>
      <c r="E303" s="11" t="s">
        <v>337</v>
      </c>
      <c r="F303" s="12">
        <v>0</v>
      </c>
    </row>
    <row r="304" spans="2:6" hidden="1" x14ac:dyDescent="0.2">
      <c r="B304" s="4">
        <v>2014</v>
      </c>
      <c r="C304" s="11" t="s">
        <v>288</v>
      </c>
      <c r="D304" s="11" t="s">
        <v>323</v>
      </c>
      <c r="E304" s="11" t="s">
        <v>338</v>
      </c>
      <c r="F304" s="12">
        <v>1</v>
      </c>
    </row>
    <row r="305" spans="2:6" hidden="1" x14ac:dyDescent="0.2">
      <c r="B305" s="4">
        <v>2014</v>
      </c>
      <c r="C305" s="11" t="s">
        <v>288</v>
      </c>
      <c r="D305" s="11" t="s">
        <v>323</v>
      </c>
      <c r="E305" s="11" t="s">
        <v>339</v>
      </c>
      <c r="F305" s="12">
        <v>1</v>
      </c>
    </row>
    <row r="306" spans="2:6" hidden="1" x14ac:dyDescent="0.2">
      <c r="B306" s="4">
        <v>2014</v>
      </c>
      <c r="C306" s="11" t="s">
        <v>288</v>
      </c>
      <c r="D306" s="11" t="s">
        <v>340</v>
      </c>
      <c r="E306" s="11" t="s">
        <v>341</v>
      </c>
      <c r="F306" s="12">
        <v>7</v>
      </c>
    </row>
    <row r="307" spans="2:6" hidden="1" x14ac:dyDescent="0.2">
      <c r="B307" s="4">
        <v>2014</v>
      </c>
      <c r="C307" s="11" t="s">
        <v>288</v>
      </c>
      <c r="D307" s="11" t="s">
        <v>340</v>
      </c>
      <c r="E307" s="11" t="s">
        <v>340</v>
      </c>
      <c r="F307" s="12">
        <v>6</v>
      </c>
    </row>
    <row r="308" spans="2:6" hidden="1" x14ac:dyDescent="0.2">
      <c r="B308" s="4">
        <v>2014</v>
      </c>
      <c r="C308" s="11" t="s">
        <v>288</v>
      </c>
      <c r="D308" s="11" t="s">
        <v>340</v>
      </c>
      <c r="E308" s="11" t="s">
        <v>342</v>
      </c>
      <c r="F308" s="12">
        <v>0</v>
      </c>
    </row>
    <row r="309" spans="2:6" hidden="1" x14ac:dyDescent="0.2">
      <c r="B309" s="4">
        <v>2014</v>
      </c>
      <c r="C309" s="11" t="s">
        <v>288</v>
      </c>
      <c r="D309" s="11" t="s">
        <v>340</v>
      </c>
      <c r="E309" s="11" t="s">
        <v>343</v>
      </c>
      <c r="F309" s="12">
        <v>13</v>
      </c>
    </row>
    <row r="310" spans="2:6" hidden="1" x14ac:dyDescent="0.2">
      <c r="B310" s="4">
        <v>2014</v>
      </c>
      <c r="C310" s="11" t="s">
        <v>288</v>
      </c>
      <c r="D310" s="11" t="s">
        <v>340</v>
      </c>
      <c r="E310" s="11" t="s">
        <v>344</v>
      </c>
      <c r="F310" s="12">
        <v>1</v>
      </c>
    </row>
    <row r="311" spans="2:6" hidden="1" x14ac:dyDescent="0.2">
      <c r="B311" s="4">
        <v>2014</v>
      </c>
      <c r="C311" s="11" t="s">
        <v>288</v>
      </c>
      <c r="D311" s="11" t="s">
        <v>340</v>
      </c>
      <c r="E311" s="11" t="s">
        <v>345</v>
      </c>
      <c r="F311" s="12">
        <v>20</v>
      </c>
    </row>
    <row r="312" spans="2:6" hidden="1" x14ac:dyDescent="0.2">
      <c r="B312" s="4">
        <v>2014</v>
      </c>
      <c r="C312" s="11" t="s">
        <v>288</v>
      </c>
      <c r="D312" s="11" t="s">
        <v>346</v>
      </c>
      <c r="E312" s="11" t="s">
        <v>346</v>
      </c>
      <c r="F312" s="12">
        <v>2</v>
      </c>
    </row>
    <row r="313" spans="2:6" hidden="1" x14ac:dyDescent="0.2">
      <c r="B313" s="4">
        <v>2014</v>
      </c>
      <c r="C313" s="11" t="s">
        <v>288</v>
      </c>
      <c r="D313" s="11" t="s">
        <v>346</v>
      </c>
      <c r="E313" s="11" t="s">
        <v>347</v>
      </c>
      <c r="F313" s="12">
        <v>5</v>
      </c>
    </row>
    <row r="314" spans="2:6" hidden="1" x14ac:dyDescent="0.2">
      <c r="B314" s="4">
        <v>2014</v>
      </c>
      <c r="C314" s="11" t="s">
        <v>288</v>
      </c>
      <c r="D314" s="11" t="s">
        <v>346</v>
      </c>
      <c r="E314" s="11" t="s">
        <v>348</v>
      </c>
      <c r="F314" s="12">
        <v>0</v>
      </c>
    </row>
    <row r="315" spans="2:6" hidden="1" x14ac:dyDescent="0.2">
      <c r="B315" s="4">
        <v>2014</v>
      </c>
      <c r="C315" s="11" t="s">
        <v>288</v>
      </c>
      <c r="D315" s="11" t="s">
        <v>346</v>
      </c>
      <c r="E315" s="11" t="s">
        <v>349</v>
      </c>
      <c r="F315" s="12">
        <v>4</v>
      </c>
    </row>
    <row r="316" spans="2:6" hidden="1" x14ac:dyDescent="0.2">
      <c r="B316" s="4">
        <v>2014</v>
      </c>
      <c r="C316" s="11" t="s">
        <v>288</v>
      </c>
      <c r="D316" s="11" t="s">
        <v>346</v>
      </c>
      <c r="E316" s="11" t="s">
        <v>350</v>
      </c>
      <c r="F316" s="12">
        <v>1</v>
      </c>
    </row>
    <row r="317" spans="2:6" hidden="1" x14ac:dyDescent="0.2">
      <c r="B317" s="4">
        <v>2014</v>
      </c>
      <c r="C317" s="11" t="s">
        <v>288</v>
      </c>
      <c r="D317" s="11" t="s">
        <v>346</v>
      </c>
      <c r="E317" s="11" t="s">
        <v>351</v>
      </c>
      <c r="F317" s="12">
        <v>2</v>
      </c>
    </row>
    <row r="318" spans="2:6" hidden="1" x14ac:dyDescent="0.2">
      <c r="B318" s="4">
        <v>2014</v>
      </c>
      <c r="C318" s="11" t="s">
        <v>288</v>
      </c>
      <c r="D318" s="11" t="s">
        <v>346</v>
      </c>
      <c r="E318" s="11" t="s">
        <v>352</v>
      </c>
      <c r="F318" s="12">
        <v>0</v>
      </c>
    </row>
    <row r="319" spans="2:6" hidden="1" x14ac:dyDescent="0.2">
      <c r="B319" s="4">
        <v>2014</v>
      </c>
      <c r="C319" s="11" t="s">
        <v>288</v>
      </c>
      <c r="D319" s="11" t="s">
        <v>346</v>
      </c>
      <c r="E319" s="11" t="s">
        <v>353</v>
      </c>
      <c r="F319" s="12">
        <v>1</v>
      </c>
    </row>
    <row r="320" spans="2:6" hidden="1" x14ac:dyDescent="0.2">
      <c r="B320" s="4">
        <v>2014</v>
      </c>
      <c r="C320" s="11" t="s">
        <v>288</v>
      </c>
      <c r="D320" s="11" t="s">
        <v>354</v>
      </c>
      <c r="E320" s="11" t="s">
        <v>355</v>
      </c>
      <c r="F320" s="12">
        <v>16</v>
      </c>
    </row>
    <row r="321" spans="2:6" hidden="1" x14ac:dyDescent="0.2">
      <c r="B321" s="4">
        <v>2014</v>
      </c>
      <c r="C321" s="11" t="s">
        <v>288</v>
      </c>
      <c r="D321" s="11" t="s">
        <v>354</v>
      </c>
      <c r="E321" s="11" t="s">
        <v>356</v>
      </c>
      <c r="F321" s="12">
        <v>0</v>
      </c>
    </row>
    <row r="322" spans="2:6" hidden="1" x14ac:dyDescent="0.2">
      <c r="B322" s="4">
        <v>2014</v>
      </c>
      <c r="C322" s="11" t="s">
        <v>288</v>
      </c>
      <c r="D322" s="11" t="s">
        <v>354</v>
      </c>
      <c r="E322" s="11" t="s">
        <v>357</v>
      </c>
      <c r="F322" s="12">
        <v>0</v>
      </c>
    </row>
    <row r="323" spans="2:6" hidden="1" x14ac:dyDescent="0.2">
      <c r="B323" s="4">
        <v>2014</v>
      </c>
      <c r="C323" s="11" t="s">
        <v>288</v>
      </c>
      <c r="D323" s="11" t="s">
        <v>354</v>
      </c>
      <c r="E323" s="11" t="s">
        <v>358</v>
      </c>
      <c r="F323" s="12">
        <v>0</v>
      </c>
    </row>
    <row r="324" spans="2:6" hidden="1" x14ac:dyDescent="0.2">
      <c r="B324" s="4">
        <v>2014</v>
      </c>
      <c r="C324" s="11" t="s">
        <v>288</v>
      </c>
      <c r="D324" s="11" t="s">
        <v>354</v>
      </c>
      <c r="E324" s="11" t="s">
        <v>359</v>
      </c>
      <c r="F324" s="12">
        <v>0</v>
      </c>
    </row>
    <row r="325" spans="2:6" hidden="1" x14ac:dyDescent="0.2">
      <c r="B325" s="4">
        <v>2014</v>
      </c>
      <c r="C325" s="11" t="s">
        <v>288</v>
      </c>
      <c r="D325" s="11" t="s">
        <v>354</v>
      </c>
      <c r="E325" s="11" t="s">
        <v>360</v>
      </c>
      <c r="F325" s="12">
        <v>0</v>
      </c>
    </row>
    <row r="326" spans="2:6" hidden="1" x14ac:dyDescent="0.2">
      <c r="B326" s="4">
        <v>2014</v>
      </c>
      <c r="C326" s="11" t="s">
        <v>288</v>
      </c>
      <c r="D326" s="11" t="s">
        <v>354</v>
      </c>
      <c r="E326" s="11" t="s">
        <v>361</v>
      </c>
      <c r="F326" s="12">
        <v>0</v>
      </c>
    </row>
    <row r="327" spans="2:6" hidden="1" x14ac:dyDescent="0.2">
      <c r="B327" s="4">
        <v>2014</v>
      </c>
      <c r="C327" s="11" t="s">
        <v>288</v>
      </c>
      <c r="D327" s="11" t="s">
        <v>354</v>
      </c>
      <c r="E327" s="11" t="s">
        <v>362</v>
      </c>
      <c r="F327" s="12">
        <v>2</v>
      </c>
    </row>
    <row r="328" spans="2:6" hidden="1" x14ac:dyDescent="0.2">
      <c r="B328" s="4">
        <v>2014</v>
      </c>
      <c r="C328" s="11" t="s">
        <v>288</v>
      </c>
      <c r="D328" s="11" t="s">
        <v>354</v>
      </c>
      <c r="E328" s="11" t="s">
        <v>363</v>
      </c>
      <c r="F328" s="12">
        <v>0</v>
      </c>
    </row>
    <row r="329" spans="2:6" hidden="1" x14ac:dyDescent="0.2">
      <c r="B329" s="4">
        <v>2014</v>
      </c>
      <c r="C329" s="11" t="s">
        <v>288</v>
      </c>
      <c r="D329" s="11" t="s">
        <v>354</v>
      </c>
      <c r="E329" s="11" t="s">
        <v>113</v>
      </c>
      <c r="F329" s="12">
        <v>0</v>
      </c>
    </row>
    <row r="330" spans="2:6" hidden="1" x14ac:dyDescent="0.2">
      <c r="B330" s="4">
        <v>2014</v>
      </c>
      <c r="C330" s="11" t="s">
        <v>288</v>
      </c>
      <c r="D330" s="11" t="s">
        <v>354</v>
      </c>
      <c r="E330" s="11" t="s">
        <v>364</v>
      </c>
      <c r="F330" s="12">
        <v>0</v>
      </c>
    </row>
    <row r="331" spans="2:6" hidden="1" x14ac:dyDescent="0.2">
      <c r="B331" s="4">
        <v>2014</v>
      </c>
      <c r="C331" s="11" t="s">
        <v>288</v>
      </c>
      <c r="D331" s="11" t="s">
        <v>354</v>
      </c>
      <c r="E331" s="11" t="s">
        <v>365</v>
      </c>
      <c r="F331" s="12">
        <v>4</v>
      </c>
    </row>
    <row r="332" spans="2:6" hidden="1" x14ac:dyDescent="0.2">
      <c r="B332" s="4">
        <v>2014</v>
      </c>
      <c r="C332" s="11" t="s">
        <v>288</v>
      </c>
      <c r="D332" s="11" t="s">
        <v>354</v>
      </c>
      <c r="E332" s="11" t="s">
        <v>366</v>
      </c>
      <c r="F332" s="12">
        <v>0</v>
      </c>
    </row>
    <row r="333" spans="2:6" hidden="1" x14ac:dyDescent="0.2">
      <c r="B333" s="4">
        <v>2014</v>
      </c>
      <c r="C333" s="11" t="s">
        <v>288</v>
      </c>
      <c r="D333" s="11" t="s">
        <v>354</v>
      </c>
      <c r="E333" s="11" t="s">
        <v>367</v>
      </c>
      <c r="F333" s="12">
        <v>0</v>
      </c>
    </row>
    <row r="334" spans="2:6" hidden="1" x14ac:dyDescent="0.2">
      <c r="B334" s="4">
        <v>2014</v>
      </c>
      <c r="C334" s="11" t="s">
        <v>368</v>
      </c>
      <c r="D334" s="11" t="s">
        <v>368</v>
      </c>
      <c r="E334" s="11" t="s">
        <v>368</v>
      </c>
      <c r="F334" s="12">
        <v>118</v>
      </c>
    </row>
    <row r="335" spans="2:6" hidden="1" x14ac:dyDescent="0.2">
      <c r="B335" s="4">
        <v>2014</v>
      </c>
      <c r="C335" s="11" t="s">
        <v>368</v>
      </c>
      <c r="D335" s="11" t="s">
        <v>368</v>
      </c>
      <c r="E335" s="11" t="s">
        <v>369</v>
      </c>
      <c r="F335" s="12">
        <v>19</v>
      </c>
    </row>
    <row r="336" spans="2:6" hidden="1" x14ac:dyDescent="0.2">
      <c r="B336" s="4">
        <v>2014</v>
      </c>
      <c r="C336" s="11" t="s">
        <v>368</v>
      </c>
      <c r="D336" s="11" t="s">
        <v>368</v>
      </c>
      <c r="E336" s="11" t="s">
        <v>370</v>
      </c>
      <c r="F336" s="12">
        <v>67</v>
      </c>
    </row>
    <row r="337" spans="2:6" hidden="1" x14ac:dyDescent="0.2">
      <c r="B337" s="4">
        <v>2014</v>
      </c>
      <c r="C337" s="11" t="s">
        <v>368</v>
      </c>
      <c r="D337" s="11" t="s">
        <v>368</v>
      </c>
      <c r="E337" s="11" t="s">
        <v>371</v>
      </c>
      <c r="F337" s="12">
        <v>31</v>
      </c>
    </row>
    <row r="338" spans="2:6" hidden="1" x14ac:dyDescent="0.2">
      <c r="B338" s="4">
        <v>2014</v>
      </c>
      <c r="C338" s="11" t="s">
        <v>368</v>
      </c>
      <c r="D338" s="11" t="s">
        <v>368</v>
      </c>
      <c r="E338" s="11" t="s">
        <v>372</v>
      </c>
      <c r="F338" s="12">
        <v>1</v>
      </c>
    </row>
    <row r="339" spans="2:6" hidden="1" x14ac:dyDescent="0.2">
      <c r="B339" s="4">
        <v>2014</v>
      </c>
      <c r="C339" s="11" t="s">
        <v>368</v>
      </c>
      <c r="D339" s="11" t="s">
        <v>368</v>
      </c>
      <c r="E339" s="11" t="s">
        <v>373</v>
      </c>
      <c r="F339" s="12">
        <v>1</v>
      </c>
    </row>
    <row r="340" spans="2:6" hidden="1" x14ac:dyDescent="0.2">
      <c r="B340" s="4">
        <v>2014</v>
      </c>
      <c r="C340" s="11" t="s">
        <v>368</v>
      </c>
      <c r="D340" s="11" t="s">
        <v>368</v>
      </c>
      <c r="E340" s="11" t="s">
        <v>374</v>
      </c>
      <c r="F340" s="12">
        <v>27</v>
      </c>
    </row>
    <row r="341" spans="2:6" hidden="1" x14ac:dyDescent="0.2">
      <c r="B341" s="4">
        <v>2014</v>
      </c>
      <c r="C341" s="11" t="s">
        <v>368</v>
      </c>
      <c r="D341" s="11" t="s">
        <v>368</v>
      </c>
      <c r="E341" s="11" t="s">
        <v>375</v>
      </c>
      <c r="F341" s="12">
        <v>51</v>
      </c>
    </row>
    <row r="342" spans="2:6" hidden="1" x14ac:dyDescent="0.2">
      <c r="B342" s="4">
        <v>2014</v>
      </c>
      <c r="C342" s="11" t="s">
        <v>368</v>
      </c>
      <c r="D342" s="11" t="s">
        <v>368</v>
      </c>
      <c r="E342" s="11" t="s">
        <v>376</v>
      </c>
      <c r="F342" s="12">
        <v>35</v>
      </c>
    </row>
    <row r="343" spans="2:6" hidden="1" x14ac:dyDescent="0.2">
      <c r="B343" s="4">
        <v>2014</v>
      </c>
      <c r="C343" s="11" t="s">
        <v>368</v>
      </c>
      <c r="D343" s="11" t="s">
        <v>368</v>
      </c>
      <c r="E343" s="11" t="s">
        <v>377</v>
      </c>
      <c r="F343" s="12">
        <v>31</v>
      </c>
    </row>
    <row r="344" spans="2:6" hidden="1" x14ac:dyDescent="0.2">
      <c r="B344" s="4">
        <v>2014</v>
      </c>
      <c r="C344" s="11" t="s">
        <v>368</v>
      </c>
      <c r="D344" s="11" t="s">
        <v>368</v>
      </c>
      <c r="E344" s="11" t="s">
        <v>378</v>
      </c>
      <c r="F344" s="12">
        <v>0</v>
      </c>
    </row>
    <row r="345" spans="2:6" hidden="1" x14ac:dyDescent="0.2">
      <c r="B345" s="4">
        <v>2014</v>
      </c>
      <c r="C345" s="11" t="s">
        <v>368</v>
      </c>
      <c r="D345" s="11" t="s">
        <v>368</v>
      </c>
      <c r="E345" s="11" t="s">
        <v>379</v>
      </c>
      <c r="F345" s="12">
        <v>107</v>
      </c>
    </row>
    <row r="346" spans="2:6" hidden="1" x14ac:dyDescent="0.2">
      <c r="B346" s="4">
        <v>2014</v>
      </c>
      <c r="C346" s="11" t="s">
        <v>368</v>
      </c>
      <c r="D346" s="11" t="s">
        <v>368</v>
      </c>
      <c r="E346" s="11" t="s">
        <v>380</v>
      </c>
      <c r="F346" s="12">
        <v>0</v>
      </c>
    </row>
    <row r="347" spans="2:6" hidden="1" x14ac:dyDescent="0.2">
      <c r="B347" s="4">
        <v>2014</v>
      </c>
      <c r="C347" s="11" t="s">
        <v>368</v>
      </c>
      <c r="D347" s="11" t="s">
        <v>368</v>
      </c>
      <c r="E347" s="11" t="s">
        <v>381</v>
      </c>
      <c r="F347" s="12">
        <v>2</v>
      </c>
    </row>
    <row r="348" spans="2:6" hidden="1" x14ac:dyDescent="0.2">
      <c r="B348" s="4">
        <v>2014</v>
      </c>
      <c r="C348" s="11" t="s">
        <v>368</v>
      </c>
      <c r="D348" s="11" t="s">
        <v>368</v>
      </c>
      <c r="E348" s="11" t="s">
        <v>382</v>
      </c>
      <c r="F348" s="12">
        <v>3</v>
      </c>
    </row>
    <row r="349" spans="2:6" hidden="1" x14ac:dyDescent="0.2">
      <c r="B349" s="4">
        <v>2014</v>
      </c>
      <c r="C349" s="11" t="s">
        <v>368</v>
      </c>
      <c r="D349" s="11" t="s">
        <v>368</v>
      </c>
      <c r="E349" s="11" t="s">
        <v>383</v>
      </c>
      <c r="F349" s="12">
        <v>1</v>
      </c>
    </row>
    <row r="350" spans="2:6" hidden="1" x14ac:dyDescent="0.2">
      <c r="B350" s="4">
        <v>2014</v>
      </c>
      <c r="C350" s="11" t="s">
        <v>368</v>
      </c>
      <c r="D350" s="11" t="s">
        <v>368</v>
      </c>
      <c r="E350" s="11" t="s">
        <v>384</v>
      </c>
      <c r="F350" s="12">
        <v>0</v>
      </c>
    </row>
    <row r="351" spans="2:6" hidden="1" x14ac:dyDescent="0.2">
      <c r="B351" s="4">
        <v>2014</v>
      </c>
      <c r="C351" s="11" t="s">
        <v>368</v>
      </c>
      <c r="D351" s="11" t="s">
        <v>368</v>
      </c>
      <c r="E351" s="11" t="s">
        <v>385</v>
      </c>
      <c r="F351" s="12">
        <v>0</v>
      </c>
    </row>
    <row r="352" spans="2:6" hidden="1" x14ac:dyDescent="0.2">
      <c r="B352" s="4">
        <v>2014</v>
      </c>
      <c r="C352" s="11" t="s">
        <v>368</v>
      </c>
      <c r="D352" s="11" t="s">
        <v>368</v>
      </c>
      <c r="E352" s="11" t="s">
        <v>386</v>
      </c>
      <c r="F352" s="12">
        <v>0</v>
      </c>
    </row>
    <row r="353" spans="2:6" hidden="1" x14ac:dyDescent="0.2">
      <c r="B353" s="4">
        <v>2014</v>
      </c>
      <c r="C353" s="11" t="s">
        <v>368</v>
      </c>
      <c r="D353" s="11" t="s">
        <v>368</v>
      </c>
      <c r="E353" s="11" t="s">
        <v>387</v>
      </c>
      <c r="F353" s="12">
        <v>0</v>
      </c>
    </row>
    <row r="354" spans="2:6" hidden="1" x14ac:dyDescent="0.2">
      <c r="B354" s="4">
        <v>2014</v>
      </c>
      <c r="C354" s="11" t="s">
        <v>368</v>
      </c>
      <c r="D354" s="11" t="s">
        <v>368</v>
      </c>
      <c r="E354" s="11" t="s">
        <v>388</v>
      </c>
      <c r="F354" s="12">
        <v>0</v>
      </c>
    </row>
    <row r="355" spans="2:6" hidden="1" x14ac:dyDescent="0.2">
      <c r="B355" s="4">
        <v>2014</v>
      </c>
      <c r="C355" s="11" t="s">
        <v>368</v>
      </c>
      <c r="D355" s="11" t="s">
        <v>368</v>
      </c>
      <c r="E355" s="11" t="s">
        <v>389</v>
      </c>
      <c r="F355" s="12">
        <v>47</v>
      </c>
    </row>
    <row r="356" spans="2:6" hidden="1" x14ac:dyDescent="0.2">
      <c r="B356" s="4">
        <v>2014</v>
      </c>
      <c r="C356" s="11" t="s">
        <v>368</v>
      </c>
      <c r="D356" s="11" t="s">
        <v>368</v>
      </c>
      <c r="E356" s="11" t="s">
        <v>390</v>
      </c>
      <c r="F356" s="12">
        <v>2</v>
      </c>
    </row>
    <row r="357" spans="2:6" hidden="1" x14ac:dyDescent="0.2">
      <c r="B357" s="4">
        <v>2014</v>
      </c>
      <c r="C357" s="11" t="s">
        <v>368</v>
      </c>
      <c r="D357" s="11" t="s">
        <v>368</v>
      </c>
      <c r="E357" s="11" t="s">
        <v>391</v>
      </c>
      <c r="F357" s="12">
        <v>3</v>
      </c>
    </row>
    <row r="358" spans="2:6" hidden="1" x14ac:dyDescent="0.2">
      <c r="B358" s="4">
        <v>2014</v>
      </c>
      <c r="C358" s="11" t="s">
        <v>368</v>
      </c>
      <c r="D358" s="11" t="s">
        <v>368</v>
      </c>
      <c r="E358" s="11" t="s">
        <v>392</v>
      </c>
      <c r="F358" s="12">
        <v>1</v>
      </c>
    </row>
    <row r="359" spans="2:6" hidden="1" x14ac:dyDescent="0.2">
      <c r="B359" s="4">
        <v>2014</v>
      </c>
      <c r="C359" s="11" t="s">
        <v>368</v>
      </c>
      <c r="D359" s="11" t="s">
        <v>368</v>
      </c>
      <c r="E359" s="11" t="s">
        <v>393</v>
      </c>
      <c r="F359" s="12">
        <v>22</v>
      </c>
    </row>
    <row r="360" spans="2:6" hidden="1" x14ac:dyDescent="0.2">
      <c r="B360" s="4">
        <v>2014</v>
      </c>
      <c r="C360" s="11" t="s">
        <v>368</v>
      </c>
      <c r="D360" s="11" t="s">
        <v>368</v>
      </c>
      <c r="E360" s="11" t="s">
        <v>394</v>
      </c>
      <c r="F360" s="12">
        <v>0</v>
      </c>
    </row>
    <row r="361" spans="2:6" hidden="1" x14ac:dyDescent="0.2">
      <c r="B361" s="4">
        <v>2014</v>
      </c>
      <c r="C361" s="11" t="s">
        <v>368</v>
      </c>
      <c r="D361" s="11" t="s">
        <v>368</v>
      </c>
      <c r="E361" s="11" t="s">
        <v>395</v>
      </c>
      <c r="F361" s="12">
        <v>0</v>
      </c>
    </row>
    <row r="362" spans="2:6" hidden="1" x14ac:dyDescent="0.2">
      <c r="B362" s="4">
        <v>2014</v>
      </c>
      <c r="C362" s="11" t="s">
        <v>368</v>
      </c>
      <c r="D362" s="11" t="s">
        <v>368</v>
      </c>
      <c r="E362" s="11" t="s">
        <v>396</v>
      </c>
      <c r="F362" s="12">
        <v>69</v>
      </c>
    </row>
    <row r="363" spans="2:6" hidden="1" x14ac:dyDescent="0.2">
      <c r="B363" s="4">
        <v>2014</v>
      </c>
      <c r="C363" s="11" t="s">
        <v>368</v>
      </c>
      <c r="D363" s="11" t="s">
        <v>397</v>
      </c>
      <c r="E363" s="11" t="s">
        <v>397</v>
      </c>
      <c r="F363" s="12">
        <v>45</v>
      </c>
    </row>
    <row r="364" spans="2:6" hidden="1" x14ac:dyDescent="0.2">
      <c r="B364" s="4">
        <v>2014</v>
      </c>
      <c r="C364" s="11" t="s">
        <v>368</v>
      </c>
      <c r="D364" s="11" t="s">
        <v>397</v>
      </c>
      <c r="E364" s="11" t="s">
        <v>398</v>
      </c>
      <c r="F364" s="12">
        <v>1</v>
      </c>
    </row>
    <row r="365" spans="2:6" hidden="1" x14ac:dyDescent="0.2">
      <c r="B365" s="4">
        <v>2014</v>
      </c>
      <c r="C365" s="11" t="s">
        <v>368</v>
      </c>
      <c r="D365" s="11" t="s">
        <v>397</v>
      </c>
      <c r="E365" s="11" t="s">
        <v>399</v>
      </c>
      <c r="F365" s="12">
        <v>4</v>
      </c>
    </row>
    <row r="366" spans="2:6" hidden="1" x14ac:dyDescent="0.2">
      <c r="B366" s="4">
        <v>2014</v>
      </c>
      <c r="C366" s="11" t="s">
        <v>368</v>
      </c>
      <c r="D366" s="11" t="s">
        <v>397</v>
      </c>
      <c r="E366" s="11" t="s">
        <v>400</v>
      </c>
      <c r="F366" s="12">
        <v>3</v>
      </c>
    </row>
    <row r="367" spans="2:6" hidden="1" x14ac:dyDescent="0.2">
      <c r="B367" s="4">
        <v>2014</v>
      </c>
      <c r="C367" s="11" t="s">
        <v>368</v>
      </c>
      <c r="D367" s="11" t="s">
        <v>397</v>
      </c>
      <c r="E367" s="11" t="s">
        <v>401</v>
      </c>
      <c r="F367" s="12">
        <v>1</v>
      </c>
    </row>
    <row r="368" spans="2:6" hidden="1" x14ac:dyDescent="0.2">
      <c r="B368" s="4">
        <v>2014</v>
      </c>
      <c r="C368" s="11" t="s">
        <v>368</v>
      </c>
      <c r="D368" s="11" t="s">
        <v>397</v>
      </c>
      <c r="E368" s="11" t="s">
        <v>402</v>
      </c>
      <c r="F368" s="12">
        <v>2</v>
      </c>
    </row>
    <row r="369" spans="2:6" hidden="1" x14ac:dyDescent="0.2">
      <c r="B369" s="4">
        <v>2014</v>
      </c>
      <c r="C369" s="11" t="s">
        <v>368</v>
      </c>
      <c r="D369" s="11" t="s">
        <v>397</v>
      </c>
      <c r="E369" s="11" t="s">
        <v>403</v>
      </c>
      <c r="F369" s="12">
        <v>6</v>
      </c>
    </row>
    <row r="370" spans="2:6" hidden="1" x14ac:dyDescent="0.2">
      <c r="B370" s="4">
        <v>2014</v>
      </c>
      <c r="C370" s="11" t="s">
        <v>368</v>
      </c>
      <c r="D370" s="11" t="s">
        <v>397</v>
      </c>
      <c r="E370" s="11" t="s">
        <v>404</v>
      </c>
      <c r="F370" s="12">
        <v>4</v>
      </c>
    </row>
    <row r="371" spans="2:6" hidden="1" x14ac:dyDescent="0.2">
      <c r="B371" s="4">
        <v>2014</v>
      </c>
      <c r="C371" s="11" t="s">
        <v>368</v>
      </c>
      <c r="D371" s="11" t="s">
        <v>405</v>
      </c>
      <c r="E371" s="11" t="s">
        <v>405</v>
      </c>
      <c r="F371" s="12">
        <v>0</v>
      </c>
    </row>
    <row r="372" spans="2:6" hidden="1" x14ac:dyDescent="0.2">
      <c r="B372" s="4">
        <v>2014</v>
      </c>
      <c r="C372" s="11" t="s">
        <v>368</v>
      </c>
      <c r="D372" s="11" t="s">
        <v>405</v>
      </c>
      <c r="E372" s="11" t="s">
        <v>406</v>
      </c>
      <c r="F372" s="12">
        <v>5</v>
      </c>
    </row>
    <row r="373" spans="2:6" hidden="1" x14ac:dyDescent="0.2">
      <c r="B373" s="4">
        <v>2014</v>
      </c>
      <c r="C373" s="11" t="s">
        <v>368</v>
      </c>
      <c r="D373" s="11" t="s">
        <v>405</v>
      </c>
      <c r="E373" s="11" t="s">
        <v>407</v>
      </c>
      <c r="F373" s="12">
        <v>17</v>
      </c>
    </row>
    <row r="374" spans="2:6" hidden="1" x14ac:dyDescent="0.2">
      <c r="B374" s="4">
        <v>2014</v>
      </c>
      <c r="C374" s="11" t="s">
        <v>368</v>
      </c>
      <c r="D374" s="11" t="s">
        <v>405</v>
      </c>
      <c r="E374" s="11" t="s">
        <v>408</v>
      </c>
      <c r="F374" s="12">
        <v>0</v>
      </c>
    </row>
    <row r="375" spans="2:6" hidden="1" x14ac:dyDescent="0.2">
      <c r="B375" s="4">
        <v>2014</v>
      </c>
      <c r="C375" s="11" t="s">
        <v>368</v>
      </c>
      <c r="D375" s="11" t="s">
        <v>405</v>
      </c>
      <c r="E375" s="11" t="s">
        <v>409</v>
      </c>
      <c r="F375" s="12">
        <v>0</v>
      </c>
    </row>
    <row r="376" spans="2:6" hidden="1" x14ac:dyDescent="0.2">
      <c r="B376" s="4">
        <v>2014</v>
      </c>
      <c r="C376" s="11" t="s">
        <v>368</v>
      </c>
      <c r="D376" s="11" t="s">
        <v>405</v>
      </c>
      <c r="E376" s="11" t="s">
        <v>410</v>
      </c>
      <c r="F376" s="12">
        <v>0</v>
      </c>
    </row>
    <row r="377" spans="2:6" hidden="1" x14ac:dyDescent="0.2">
      <c r="B377" s="4">
        <v>2014</v>
      </c>
      <c r="C377" s="11" t="s">
        <v>368</v>
      </c>
      <c r="D377" s="11" t="s">
        <v>405</v>
      </c>
      <c r="E377" s="11" t="s">
        <v>411</v>
      </c>
      <c r="F377" s="12">
        <v>3</v>
      </c>
    </row>
    <row r="378" spans="2:6" hidden="1" x14ac:dyDescent="0.2">
      <c r="B378" s="4">
        <v>2014</v>
      </c>
      <c r="C378" s="11" t="s">
        <v>368</v>
      </c>
      <c r="D378" s="11" t="s">
        <v>405</v>
      </c>
      <c r="E378" s="11" t="s">
        <v>412</v>
      </c>
      <c r="F378" s="12">
        <v>1</v>
      </c>
    </row>
    <row r="379" spans="2:6" hidden="1" x14ac:dyDescent="0.2">
      <c r="B379" s="4">
        <v>2014</v>
      </c>
      <c r="C379" s="11" t="s">
        <v>368</v>
      </c>
      <c r="D379" s="11" t="s">
        <v>405</v>
      </c>
      <c r="E379" s="11" t="s">
        <v>413</v>
      </c>
      <c r="F379" s="12">
        <v>5</v>
      </c>
    </row>
    <row r="380" spans="2:6" hidden="1" x14ac:dyDescent="0.2">
      <c r="B380" s="4">
        <v>2014</v>
      </c>
      <c r="C380" s="11" t="s">
        <v>368</v>
      </c>
      <c r="D380" s="11" t="s">
        <v>405</v>
      </c>
      <c r="E380" s="11" t="s">
        <v>414</v>
      </c>
      <c r="F380" s="12">
        <v>1</v>
      </c>
    </row>
    <row r="381" spans="2:6" hidden="1" x14ac:dyDescent="0.2">
      <c r="B381" s="4">
        <v>2014</v>
      </c>
      <c r="C381" s="11" t="s">
        <v>368</v>
      </c>
      <c r="D381" s="11" t="s">
        <v>405</v>
      </c>
      <c r="E381" s="11" t="s">
        <v>415</v>
      </c>
      <c r="F381" s="12">
        <v>4</v>
      </c>
    </row>
    <row r="382" spans="2:6" hidden="1" x14ac:dyDescent="0.2">
      <c r="B382" s="4">
        <v>2014</v>
      </c>
      <c r="C382" s="11" t="s">
        <v>368</v>
      </c>
      <c r="D382" s="11" t="s">
        <v>405</v>
      </c>
      <c r="E382" s="11" t="s">
        <v>416</v>
      </c>
      <c r="F382" s="12">
        <v>0</v>
      </c>
    </row>
    <row r="383" spans="2:6" hidden="1" x14ac:dyDescent="0.2">
      <c r="B383" s="4">
        <v>2014</v>
      </c>
      <c r="C383" s="11" t="s">
        <v>368</v>
      </c>
      <c r="D383" s="11" t="s">
        <v>405</v>
      </c>
      <c r="E383" s="11" t="s">
        <v>417</v>
      </c>
      <c r="F383" s="12">
        <v>1</v>
      </c>
    </row>
    <row r="384" spans="2:6" hidden="1" x14ac:dyDescent="0.2">
      <c r="B384" s="4">
        <v>2014</v>
      </c>
      <c r="C384" s="11" t="s">
        <v>368</v>
      </c>
      <c r="D384" s="11" t="s">
        <v>418</v>
      </c>
      <c r="E384" s="11" t="s">
        <v>419</v>
      </c>
      <c r="F384" s="12">
        <v>2</v>
      </c>
    </row>
    <row r="385" spans="2:6" hidden="1" x14ac:dyDescent="0.2">
      <c r="B385" s="4">
        <v>2014</v>
      </c>
      <c r="C385" s="11" t="s">
        <v>368</v>
      </c>
      <c r="D385" s="11" t="s">
        <v>418</v>
      </c>
      <c r="E385" s="11" t="s">
        <v>420</v>
      </c>
      <c r="F385" s="12">
        <v>0</v>
      </c>
    </row>
    <row r="386" spans="2:6" hidden="1" x14ac:dyDescent="0.2">
      <c r="B386" s="4">
        <v>2014</v>
      </c>
      <c r="C386" s="11" t="s">
        <v>368</v>
      </c>
      <c r="D386" s="11" t="s">
        <v>418</v>
      </c>
      <c r="E386" s="11" t="s">
        <v>421</v>
      </c>
      <c r="F386" s="12">
        <v>0</v>
      </c>
    </row>
    <row r="387" spans="2:6" hidden="1" x14ac:dyDescent="0.2">
      <c r="B387" s="4">
        <v>2014</v>
      </c>
      <c r="C387" s="11" t="s">
        <v>368</v>
      </c>
      <c r="D387" s="11" t="s">
        <v>418</v>
      </c>
      <c r="E387" s="11" t="s">
        <v>422</v>
      </c>
      <c r="F387" s="12">
        <v>3</v>
      </c>
    </row>
    <row r="388" spans="2:6" hidden="1" x14ac:dyDescent="0.2">
      <c r="B388" s="4">
        <v>2014</v>
      </c>
      <c r="C388" s="11" t="s">
        <v>368</v>
      </c>
      <c r="D388" s="11" t="s">
        <v>418</v>
      </c>
      <c r="E388" s="11" t="s">
        <v>423</v>
      </c>
      <c r="F388" s="12">
        <v>0</v>
      </c>
    </row>
    <row r="389" spans="2:6" hidden="1" x14ac:dyDescent="0.2">
      <c r="B389" s="4">
        <v>2014</v>
      </c>
      <c r="C389" s="11" t="s">
        <v>368</v>
      </c>
      <c r="D389" s="11" t="s">
        <v>418</v>
      </c>
      <c r="E389" s="11" t="s">
        <v>424</v>
      </c>
      <c r="F389" s="12">
        <v>0</v>
      </c>
    </row>
    <row r="390" spans="2:6" hidden="1" x14ac:dyDescent="0.2">
      <c r="B390" s="4">
        <v>2014</v>
      </c>
      <c r="C390" s="11" t="s">
        <v>368</v>
      </c>
      <c r="D390" s="11" t="s">
        <v>418</v>
      </c>
      <c r="E390" s="11" t="s">
        <v>425</v>
      </c>
      <c r="F390" s="12">
        <v>1</v>
      </c>
    </row>
    <row r="391" spans="2:6" hidden="1" x14ac:dyDescent="0.2">
      <c r="B391" s="4">
        <v>2014</v>
      </c>
      <c r="C391" s="11" t="s">
        <v>368</v>
      </c>
      <c r="D391" s="11" t="s">
        <v>418</v>
      </c>
      <c r="E391" s="11" t="s">
        <v>426</v>
      </c>
      <c r="F391" s="12">
        <v>4</v>
      </c>
    </row>
    <row r="392" spans="2:6" hidden="1" x14ac:dyDescent="0.2">
      <c r="B392" s="4">
        <v>2014</v>
      </c>
      <c r="C392" s="11" t="s">
        <v>368</v>
      </c>
      <c r="D392" s="11" t="s">
        <v>418</v>
      </c>
      <c r="E392" s="11" t="s">
        <v>427</v>
      </c>
      <c r="F392" s="12">
        <v>0</v>
      </c>
    </row>
    <row r="393" spans="2:6" hidden="1" x14ac:dyDescent="0.2">
      <c r="B393" s="4">
        <v>2014</v>
      </c>
      <c r="C393" s="11" t="s">
        <v>368</v>
      </c>
      <c r="D393" s="11" t="s">
        <v>418</v>
      </c>
      <c r="E393" s="11" t="s">
        <v>428</v>
      </c>
      <c r="F393" s="12">
        <v>0</v>
      </c>
    </row>
    <row r="394" spans="2:6" hidden="1" x14ac:dyDescent="0.2">
      <c r="B394" s="4">
        <v>2014</v>
      </c>
      <c r="C394" s="11" t="s">
        <v>368</v>
      </c>
      <c r="D394" s="11" t="s">
        <v>418</v>
      </c>
      <c r="E394" s="11" t="s">
        <v>429</v>
      </c>
      <c r="F394" s="12">
        <v>0</v>
      </c>
    </row>
    <row r="395" spans="2:6" hidden="1" x14ac:dyDescent="0.2">
      <c r="B395" s="4">
        <v>2014</v>
      </c>
      <c r="C395" s="11" t="s">
        <v>368</v>
      </c>
      <c r="D395" s="11" t="s">
        <v>418</v>
      </c>
      <c r="E395" s="11" t="s">
        <v>430</v>
      </c>
      <c r="F395" s="12">
        <v>0</v>
      </c>
    </row>
    <row r="396" spans="2:6" hidden="1" x14ac:dyDescent="0.2">
      <c r="B396" s="4">
        <v>2014</v>
      </c>
      <c r="C396" s="11" t="s">
        <v>368</v>
      </c>
      <c r="D396" s="11" t="s">
        <v>418</v>
      </c>
      <c r="E396" s="11" t="s">
        <v>431</v>
      </c>
      <c r="F396" s="12">
        <v>3</v>
      </c>
    </row>
    <row r="397" spans="2:6" hidden="1" x14ac:dyDescent="0.2">
      <c r="B397" s="4">
        <v>2014</v>
      </c>
      <c r="C397" s="11" t="s">
        <v>368</v>
      </c>
      <c r="D397" s="11" t="s">
        <v>418</v>
      </c>
      <c r="E397" s="11" t="s">
        <v>432</v>
      </c>
      <c r="F397" s="12">
        <v>0</v>
      </c>
    </row>
    <row r="398" spans="2:6" hidden="1" x14ac:dyDescent="0.2">
      <c r="B398" s="4">
        <v>2014</v>
      </c>
      <c r="C398" s="11" t="s">
        <v>368</v>
      </c>
      <c r="D398" s="11" t="s">
        <v>433</v>
      </c>
      <c r="E398" s="11" t="s">
        <v>434</v>
      </c>
      <c r="F398" s="12">
        <v>3</v>
      </c>
    </row>
    <row r="399" spans="2:6" hidden="1" x14ac:dyDescent="0.2">
      <c r="B399" s="4">
        <v>2014</v>
      </c>
      <c r="C399" s="11" t="s">
        <v>368</v>
      </c>
      <c r="D399" s="11" t="s">
        <v>433</v>
      </c>
      <c r="E399" s="11" t="s">
        <v>435</v>
      </c>
      <c r="F399" s="12">
        <v>0</v>
      </c>
    </row>
    <row r="400" spans="2:6" hidden="1" x14ac:dyDescent="0.2">
      <c r="B400" s="4">
        <v>2014</v>
      </c>
      <c r="C400" s="11" t="s">
        <v>368</v>
      </c>
      <c r="D400" s="11" t="s">
        <v>433</v>
      </c>
      <c r="E400" s="11" t="s">
        <v>436</v>
      </c>
      <c r="F400" s="12">
        <v>2</v>
      </c>
    </row>
    <row r="401" spans="2:6" hidden="1" x14ac:dyDescent="0.2">
      <c r="B401" s="4">
        <v>2014</v>
      </c>
      <c r="C401" s="11" t="s">
        <v>368</v>
      </c>
      <c r="D401" s="11" t="s">
        <v>433</v>
      </c>
      <c r="E401" s="11" t="s">
        <v>437</v>
      </c>
      <c r="F401" s="12">
        <v>3</v>
      </c>
    </row>
    <row r="402" spans="2:6" hidden="1" x14ac:dyDescent="0.2">
      <c r="B402" s="4">
        <v>2014</v>
      </c>
      <c r="C402" s="11" t="s">
        <v>368</v>
      </c>
      <c r="D402" s="11" t="s">
        <v>433</v>
      </c>
      <c r="E402" s="11" t="s">
        <v>433</v>
      </c>
      <c r="F402" s="12">
        <v>10</v>
      </c>
    </row>
    <row r="403" spans="2:6" hidden="1" x14ac:dyDescent="0.2">
      <c r="B403" s="4">
        <v>2014</v>
      </c>
      <c r="C403" s="11" t="s">
        <v>368</v>
      </c>
      <c r="D403" s="11" t="s">
        <v>433</v>
      </c>
      <c r="E403" s="11" t="s">
        <v>438</v>
      </c>
      <c r="F403" s="12">
        <v>0</v>
      </c>
    </row>
    <row r="404" spans="2:6" hidden="1" x14ac:dyDescent="0.2">
      <c r="B404" s="4">
        <v>2014</v>
      </c>
      <c r="C404" s="11" t="s">
        <v>368</v>
      </c>
      <c r="D404" s="11" t="s">
        <v>433</v>
      </c>
      <c r="E404" s="11" t="s">
        <v>107</v>
      </c>
      <c r="F404" s="12">
        <v>0</v>
      </c>
    </row>
    <row r="405" spans="2:6" hidden="1" x14ac:dyDescent="0.2">
      <c r="B405" s="4">
        <v>2014</v>
      </c>
      <c r="C405" s="11" t="s">
        <v>368</v>
      </c>
      <c r="D405" s="11" t="s">
        <v>433</v>
      </c>
      <c r="E405" s="11" t="s">
        <v>439</v>
      </c>
      <c r="F405" s="12">
        <v>2</v>
      </c>
    </row>
    <row r="406" spans="2:6" hidden="1" x14ac:dyDescent="0.2">
      <c r="B406" s="4">
        <v>2014</v>
      </c>
      <c r="C406" s="11" t="s">
        <v>368</v>
      </c>
      <c r="D406" s="11" t="s">
        <v>433</v>
      </c>
      <c r="E406" s="11" t="s">
        <v>440</v>
      </c>
      <c r="F406" s="12">
        <v>0</v>
      </c>
    </row>
    <row r="407" spans="2:6" hidden="1" x14ac:dyDescent="0.2">
      <c r="B407" s="4">
        <v>2014</v>
      </c>
      <c r="C407" s="11" t="s">
        <v>368</v>
      </c>
      <c r="D407" s="11" t="s">
        <v>433</v>
      </c>
      <c r="E407" s="11" t="s">
        <v>441</v>
      </c>
      <c r="F407" s="12">
        <v>0</v>
      </c>
    </row>
    <row r="408" spans="2:6" hidden="1" x14ac:dyDescent="0.2">
      <c r="B408" s="4">
        <v>2014</v>
      </c>
      <c r="C408" s="11" t="s">
        <v>368</v>
      </c>
      <c r="D408" s="11" t="s">
        <v>433</v>
      </c>
      <c r="E408" s="11" t="s">
        <v>442</v>
      </c>
      <c r="F408" s="12">
        <v>0</v>
      </c>
    </row>
    <row r="409" spans="2:6" hidden="1" x14ac:dyDescent="0.2">
      <c r="B409" s="4">
        <v>2014</v>
      </c>
      <c r="C409" s="11" t="s">
        <v>368</v>
      </c>
      <c r="D409" s="11" t="s">
        <v>433</v>
      </c>
      <c r="E409" s="11" t="s">
        <v>443</v>
      </c>
      <c r="F409" s="12">
        <v>0</v>
      </c>
    </row>
    <row r="410" spans="2:6" hidden="1" x14ac:dyDescent="0.2">
      <c r="B410" s="4">
        <v>2014</v>
      </c>
      <c r="C410" s="11" t="s">
        <v>368</v>
      </c>
      <c r="D410" s="11" t="s">
        <v>433</v>
      </c>
      <c r="E410" s="11" t="s">
        <v>444</v>
      </c>
      <c r="F410" s="12">
        <v>0</v>
      </c>
    </row>
    <row r="411" spans="2:6" hidden="1" x14ac:dyDescent="0.2">
      <c r="B411" s="4">
        <v>2014</v>
      </c>
      <c r="C411" s="11" t="s">
        <v>368</v>
      </c>
      <c r="D411" s="11" t="s">
        <v>433</v>
      </c>
      <c r="E411" s="11" t="s">
        <v>445</v>
      </c>
      <c r="F411" s="12">
        <v>9</v>
      </c>
    </row>
    <row r="412" spans="2:6" hidden="1" x14ac:dyDescent="0.2">
      <c r="B412" s="4">
        <v>2014</v>
      </c>
      <c r="C412" s="11" t="s">
        <v>368</v>
      </c>
      <c r="D412" s="11" t="s">
        <v>433</v>
      </c>
      <c r="E412" s="11" t="s">
        <v>446</v>
      </c>
      <c r="F412" s="12">
        <v>0</v>
      </c>
    </row>
    <row r="413" spans="2:6" hidden="1" x14ac:dyDescent="0.2">
      <c r="B413" s="4">
        <v>2014</v>
      </c>
      <c r="C413" s="11" t="s">
        <v>368</v>
      </c>
      <c r="D413" s="11" t="s">
        <v>433</v>
      </c>
      <c r="E413" s="11" t="s">
        <v>447</v>
      </c>
      <c r="F413" s="12">
        <v>0</v>
      </c>
    </row>
    <row r="414" spans="2:6" hidden="1" x14ac:dyDescent="0.2">
      <c r="B414" s="4">
        <v>2014</v>
      </c>
      <c r="C414" s="11" t="s">
        <v>368</v>
      </c>
      <c r="D414" s="11" t="s">
        <v>433</v>
      </c>
      <c r="E414" s="11" t="s">
        <v>448</v>
      </c>
      <c r="F414" s="12">
        <v>0</v>
      </c>
    </row>
    <row r="415" spans="2:6" hidden="1" x14ac:dyDescent="0.2">
      <c r="B415" s="4">
        <v>2014</v>
      </c>
      <c r="C415" s="11" t="s">
        <v>368</v>
      </c>
      <c r="D415" s="11" t="s">
        <v>433</v>
      </c>
      <c r="E415" s="11" t="s">
        <v>449</v>
      </c>
      <c r="F415" s="12">
        <v>2</v>
      </c>
    </row>
    <row r="416" spans="2:6" hidden="1" x14ac:dyDescent="0.2">
      <c r="B416" s="4">
        <v>2014</v>
      </c>
      <c r="C416" s="11" t="s">
        <v>368</v>
      </c>
      <c r="D416" s="11" t="s">
        <v>433</v>
      </c>
      <c r="E416" s="11" t="s">
        <v>450</v>
      </c>
      <c r="F416" s="12">
        <v>0</v>
      </c>
    </row>
    <row r="417" spans="2:6" hidden="1" x14ac:dyDescent="0.2">
      <c r="B417" s="4">
        <v>2014</v>
      </c>
      <c r="C417" s="11" t="s">
        <v>368</v>
      </c>
      <c r="D417" s="11" t="s">
        <v>433</v>
      </c>
      <c r="E417" s="11" t="s">
        <v>451</v>
      </c>
      <c r="F417" s="12">
        <v>38</v>
      </c>
    </row>
    <row r="418" spans="2:6" hidden="1" x14ac:dyDescent="0.2">
      <c r="B418" s="4">
        <v>2014</v>
      </c>
      <c r="C418" s="11" t="s">
        <v>368</v>
      </c>
      <c r="D418" s="11" t="s">
        <v>452</v>
      </c>
      <c r="E418" s="11" t="s">
        <v>41</v>
      </c>
      <c r="F418" s="12">
        <v>0</v>
      </c>
    </row>
    <row r="419" spans="2:6" hidden="1" x14ac:dyDescent="0.2">
      <c r="B419" s="4">
        <v>2014</v>
      </c>
      <c r="C419" s="11" t="s">
        <v>368</v>
      </c>
      <c r="D419" s="11" t="s">
        <v>452</v>
      </c>
      <c r="E419" s="11" t="s">
        <v>453</v>
      </c>
      <c r="F419" s="12">
        <v>0</v>
      </c>
    </row>
    <row r="420" spans="2:6" hidden="1" x14ac:dyDescent="0.2">
      <c r="B420" s="4">
        <v>2014</v>
      </c>
      <c r="C420" s="11" t="s">
        <v>368</v>
      </c>
      <c r="D420" s="11" t="s">
        <v>452</v>
      </c>
      <c r="E420" s="11" t="s">
        <v>454</v>
      </c>
      <c r="F420" s="12">
        <v>0</v>
      </c>
    </row>
    <row r="421" spans="2:6" hidden="1" x14ac:dyDescent="0.2">
      <c r="B421" s="4">
        <v>2014</v>
      </c>
      <c r="C421" s="11" t="s">
        <v>368</v>
      </c>
      <c r="D421" s="11" t="s">
        <v>452</v>
      </c>
      <c r="E421" s="11" t="s">
        <v>455</v>
      </c>
      <c r="F421" s="12">
        <v>0</v>
      </c>
    </row>
    <row r="422" spans="2:6" hidden="1" x14ac:dyDescent="0.2">
      <c r="B422" s="4">
        <v>2014</v>
      </c>
      <c r="C422" s="11" t="s">
        <v>368</v>
      </c>
      <c r="D422" s="11" t="s">
        <v>452</v>
      </c>
      <c r="E422" s="11" t="s">
        <v>456</v>
      </c>
      <c r="F422" s="12">
        <v>0</v>
      </c>
    </row>
    <row r="423" spans="2:6" hidden="1" x14ac:dyDescent="0.2">
      <c r="B423" s="4">
        <v>2014</v>
      </c>
      <c r="C423" s="11" t="s">
        <v>368</v>
      </c>
      <c r="D423" s="11" t="s">
        <v>452</v>
      </c>
      <c r="E423" s="11" t="s">
        <v>457</v>
      </c>
      <c r="F423" s="12">
        <v>0</v>
      </c>
    </row>
    <row r="424" spans="2:6" hidden="1" x14ac:dyDescent="0.2">
      <c r="B424" s="4">
        <v>2014</v>
      </c>
      <c r="C424" s="11" t="s">
        <v>368</v>
      </c>
      <c r="D424" s="11" t="s">
        <v>452</v>
      </c>
      <c r="E424" s="11" t="s">
        <v>458</v>
      </c>
      <c r="F424" s="12">
        <v>0</v>
      </c>
    </row>
    <row r="425" spans="2:6" hidden="1" x14ac:dyDescent="0.2">
      <c r="B425" s="4">
        <v>2014</v>
      </c>
      <c r="C425" s="11" t="s">
        <v>368</v>
      </c>
      <c r="D425" s="11" t="s">
        <v>452</v>
      </c>
      <c r="E425" s="11" t="s">
        <v>459</v>
      </c>
      <c r="F425" s="12">
        <v>1</v>
      </c>
    </row>
    <row r="426" spans="2:6" hidden="1" x14ac:dyDescent="0.2">
      <c r="B426" s="4">
        <v>2014</v>
      </c>
      <c r="C426" s="11" t="s">
        <v>368</v>
      </c>
      <c r="D426" s="11" t="s">
        <v>460</v>
      </c>
      <c r="E426" s="11" t="s">
        <v>461</v>
      </c>
      <c r="F426" s="12">
        <v>123</v>
      </c>
    </row>
    <row r="427" spans="2:6" hidden="1" x14ac:dyDescent="0.2">
      <c r="B427" s="4">
        <v>2014</v>
      </c>
      <c r="C427" s="11" t="s">
        <v>368</v>
      </c>
      <c r="D427" s="11" t="s">
        <v>460</v>
      </c>
      <c r="E427" s="11" t="s">
        <v>462</v>
      </c>
      <c r="F427" s="12">
        <v>1</v>
      </c>
    </row>
    <row r="428" spans="2:6" hidden="1" x14ac:dyDescent="0.2">
      <c r="B428" s="4">
        <v>2014</v>
      </c>
      <c r="C428" s="11" t="s">
        <v>368</v>
      </c>
      <c r="D428" s="11" t="s">
        <v>460</v>
      </c>
      <c r="E428" s="11" t="s">
        <v>463</v>
      </c>
      <c r="F428" s="12">
        <v>1</v>
      </c>
    </row>
    <row r="429" spans="2:6" hidden="1" x14ac:dyDescent="0.2">
      <c r="B429" s="4">
        <v>2014</v>
      </c>
      <c r="C429" s="11" t="s">
        <v>368</v>
      </c>
      <c r="D429" s="11" t="s">
        <v>460</v>
      </c>
      <c r="E429" s="11" t="s">
        <v>460</v>
      </c>
      <c r="F429" s="12">
        <v>20</v>
      </c>
    </row>
    <row r="430" spans="2:6" hidden="1" x14ac:dyDescent="0.2">
      <c r="B430" s="4">
        <v>2014</v>
      </c>
      <c r="C430" s="11" t="s">
        <v>368</v>
      </c>
      <c r="D430" s="11" t="s">
        <v>460</v>
      </c>
      <c r="E430" s="11" t="s">
        <v>464</v>
      </c>
      <c r="F430" s="12">
        <v>0</v>
      </c>
    </row>
    <row r="431" spans="2:6" hidden="1" x14ac:dyDescent="0.2">
      <c r="B431" s="4">
        <v>2014</v>
      </c>
      <c r="C431" s="11" t="s">
        <v>368</v>
      </c>
      <c r="D431" s="11" t="s">
        <v>460</v>
      </c>
      <c r="E431" s="11" t="s">
        <v>465</v>
      </c>
      <c r="F431" s="12">
        <v>8</v>
      </c>
    </row>
    <row r="432" spans="2:6" hidden="1" x14ac:dyDescent="0.2">
      <c r="B432" s="4">
        <v>2014</v>
      </c>
      <c r="C432" s="11" t="s">
        <v>368</v>
      </c>
      <c r="D432" s="11" t="s">
        <v>466</v>
      </c>
      <c r="E432" s="11" t="s">
        <v>467</v>
      </c>
      <c r="F432" s="12">
        <v>0</v>
      </c>
    </row>
    <row r="433" spans="2:6" hidden="1" x14ac:dyDescent="0.2">
      <c r="B433" s="4">
        <v>2014</v>
      </c>
      <c r="C433" s="11" t="s">
        <v>368</v>
      </c>
      <c r="D433" s="11" t="s">
        <v>466</v>
      </c>
      <c r="E433" s="11" t="s">
        <v>468</v>
      </c>
      <c r="F433" s="12">
        <v>3</v>
      </c>
    </row>
    <row r="434" spans="2:6" hidden="1" x14ac:dyDescent="0.2">
      <c r="B434" s="4">
        <v>2014</v>
      </c>
      <c r="C434" s="11" t="s">
        <v>368</v>
      </c>
      <c r="D434" s="11" t="s">
        <v>466</v>
      </c>
      <c r="E434" s="11" t="s">
        <v>469</v>
      </c>
      <c r="F434" s="12">
        <v>0</v>
      </c>
    </row>
    <row r="435" spans="2:6" hidden="1" x14ac:dyDescent="0.2">
      <c r="B435" s="4">
        <v>2014</v>
      </c>
      <c r="C435" s="11" t="s">
        <v>368</v>
      </c>
      <c r="D435" s="11" t="s">
        <v>466</v>
      </c>
      <c r="E435" s="11" t="s">
        <v>470</v>
      </c>
      <c r="F435" s="12">
        <v>3</v>
      </c>
    </row>
    <row r="436" spans="2:6" hidden="1" x14ac:dyDescent="0.2">
      <c r="B436" s="4">
        <v>2014</v>
      </c>
      <c r="C436" s="11" t="s">
        <v>368</v>
      </c>
      <c r="D436" s="11" t="s">
        <v>466</v>
      </c>
      <c r="E436" s="11" t="s">
        <v>471</v>
      </c>
      <c r="F436" s="12">
        <v>0</v>
      </c>
    </row>
    <row r="437" spans="2:6" hidden="1" x14ac:dyDescent="0.2">
      <c r="B437" s="4">
        <v>2014</v>
      </c>
      <c r="C437" s="11" t="s">
        <v>368</v>
      </c>
      <c r="D437" s="11" t="s">
        <v>466</v>
      </c>
      <c r="E437" s="11" t="s">
        <v>472</v>
      </c>
      <c r="F437" s="12">
        <v>0</v>
      </c>
    </row>
    <row r="438" spans="2:6" hidden="1" x14ac:dyDescent="0.2">
      <c r="B438" s="4">
        <v>2014</v>
      </c>
      <c r="C438" s="11" t="s">
        <v>368</v>
      </c>
      <c r="D438" s="11" t="s">
        <v>466</v>
      </c>
      <c r="E438" s="11" t="s">
        <v>473</v>
      </c>
      <c r="F438" s="12">
        <v>0</v>
      </c>
    </row>
    <row r="439" spans="2:6" hidden="1" x14ac:dyDescent="0.2">
      <c r="B439" s="4">
        <v>2014</v>
      </c>
      <c r="C439" s="11" t="s">
        <v>368</v>
      </c>
      <c r="D439" s="11" t="s">
        <v>466</v>
      </c>
      <c r="E439" s="11" t="s">
        <v>474</v>
      </c>
      <c r="F439" s="12">
        <v>0</v>
      </c>
    </row>
    <row r="440" spans="2:6" hidden="1" x14ac:dyDescent="0.2">
      <c r="B440" s="4">
        <v>2014</v>
      </c>
      <c r="C440" s="11" t="s">
        <v>368</v>
      </c>
      <c r="D440" s="11" t="s">
        <v>466</v>
      </c>
      <c r="E440" s="11" t="s">
        <v>475</v>
      </c>
      <c r="F440" s="12">
        <v>0</v>
      </c>
    </row>
    <row r="441" spans="2:6" hidden="1" x14ac:dyDescent="0.2">
      <c r="B441" s="4">
        <v>2014</v>
      </c>
      <c r="C441" s="11" t="s">
        <v>368</v>
      </c>
      <c r="D441" s="11" t="s">
        <v>466</v>
      </c>
      <c r="E441" s="11" t="s">
        <v>476</v>
      </c>
      <c r="F441" s="12">
        <v>0</v>
      </c>
    </row>
    <row r="442" spans="2:6" hidden="1" x14ac:dyDescent="0.2">
      <c r="B442" s="4">
        <v>2014</v>
      </c>
      <c r="C442" s="11" t="s">
        <v>368</v>
      </c>
      <c r="D442" s="11" t="s">
        <v>466</v>
      </c>
      <c r="E442" s="11" t="s">
        <v>477</v>
      </c>
      <c r="F442" s="12">
        <v>0</v>
      </c>
    </row>
    <row r="443" spans="2:6" hidden="1" x14ac:dyDescent="0.2">
      <c r="B443" s="4">
        <v>2014</v>
      </c>
      <c r="C443" s="11" t="s">
        <v>478</v>
      </c>
      <c r="D443" s="11" t="s">
        <v>479</v>
      </c>
      <c r="E443" s="11" t="s">
        <v>478</v>
      </c>
      <c r="F443" s="12">
        <v>130</v>
      </c>
    </row>
    <row r="444" spans="2:6" hidden="1" x14ac:dyDescent="0.2">
      <c r="B444" s="4">
        <v>2014</v>
      </c>
      <c r="C444" s="11" t="s">
        <v>478</v>
      </c>
      <c r="D444" s="11" t="s">
        <v>479</v>
      </c>
      <c r="E444" s="11" t="s">
        <v>480</v>
      </c>
      <c r="F444" s="12">
        <v>8</v>
      </c>
    </row>
    <row r="445" spans="2:6" hidden="1" x14ac:dyDescent="0.2">
      <c r="B445" s="4">
        <v>2014</v>
      </c>
      <c r="C445" s="11" t="s">
        <v>478</v>
      </c>
      <c r="D445" s="11" t="s">
        <v>479</v>
      </c>
      <c r="E445" s="11" t="s">
        <v>481</v>
      </c>
      <c r="F445" s="12">
        <v>1</v>
      </c>
    </row>
    <row r="446" spans="2:6" hidden="1" x14ac:dyDescent="0.2">
      <c r="B446" s="4">
        <v>2014</v>
      </c>
      <c r="C446" s="11" t="s">
        <v>478</v>
      </c>
      <c r="D446" s="11" t="s">
        <v>479</v>
      </c>
      <c r="E446" s="11" t="s">
        <v>482</v>
      </c>
      <c r="F446" s="12">
        <v>28</v>
      </c>
    </row>
    <row r="447" spans="2:6" hidden="1" x14ac:dyDescent="0.2">
      <c r="B447" s="4">
        <v>2014</v>
      </c>
      <c r="C447" s="11" t="s">
        <v>478</v>
      </c>
      <c r="D447" s="11" t="s">
        <v>479</v>
      </c>
      <c r="E447" s="11" t="s">
        <v>300</v>
      </c>
      <c r="F447" s="12">
        <v>1</v>
      </c>
    </row>
    <row r="448" spans="2:6" hidden="1" x14ac:dyDescent="0.2">
      <c r="B448" s="4">
        <v>2014</v>
      </c>
      <c r="C448" s="11" t="s">
        <v>478</v>
      </c>
      <c r="D448" s="11" t="s">
        <v>479</v>
      </c>
      <c r="E448" s="11" t="s">
        <v>229</v>
      </c>
      <c r="F448" s="12">
        <v>3</v>
      </c>
    </row>
    <row r="449" spans="2:6" hidden="1" x14ac:dyDescent="0.2">
      <c r="B449" s="4">
        <v>2014</v>
      </c>
      <c r="C449" s="11" t="s">
        <v>478</v>
      </c>
      <c r="D449" s="11" t="s">
        <v>479</v>
      </c>
      <c r="E449" s="11" t="s">
        <v>483</v>
      </c>
      <c r="F449" s="12">
        <v>2</v>
      </c>
    </row>
    <row r="450" spans="2:6" hidden="1" x14ac:dyDescent="0.2">
      <c r="B450" s="4">
        <v>2014</v>
      </c>
      <c r="C450" s="11" t="s">
        <v>478</v>
      </c>
      <c r="D450" s="11" t="s">
        <v>479</v>
      </c>
      <c r="E450" s="11" t="s">
        <v>484</v>
      </c>
      <c r="F450" s="12">
        <v>2</v>
      </c>
    </row>
    <row r="451" spans="2:6" hidden="1" x14ac:dyDescent="0.2">
      <c r="B451" s="4">
        <v>2014</v>
      </c>
      <c r="C451" s="11" t="s">
        <v>478</v>
      </c>
      <c r="D451" s="11" t="s">
        <v>479</v>
      </c>
      <c r="E451" s="11" t="s">
        <v>485</v>
      </c>
      <c r="F451" s="12">
        <v>0</v>
      </c>
    </row>
    <row r="452" spans="2:6" hidden="1" x14ac:dyDescent="0.2">
      <c r="B452" s="4">
        <v>2014</v>
      </c>
      <c r="C452" s="11" t="s">
        <v>478</v>
      </c>
      <c r="D452" s="11" t="s">
        <v>479</v>
      </c>
      <c r="E452" s="11" t="s">
        <v>3</v>
      </c>
      <c r="F452" s="12">
        <v>8</v>
      </c>
    </row>
    <row r="453" spans="2:6" hidden="1" x14ac:dyDescent="0.2">
      <c r="B453" s="4">
        <v>2014</v>
      </c>
      <c r="C453" s="11" t="s">
        <v>478</v>
      </c>
      <c r="D453" s="11" t="s">
        <v>479</v>
      </c>
      <c r="E453" s="11" t="s">
        <v>486</v>
      </c>
      <c r="F453" s="12">
        <v>0</v>
      </c>
    </row>
    <row r="454" spans="2:6" hidden="1" x14ac:dyDescent="0.2">
      <c r="B454" s="4">
        <v>2014</v>
      </c>
      <c r="C454" s="11" t="s">
        <v>478</v>
      </c>
      <c r="D454" s="11" t="s">
        <v>479</v>
      </c>
      <c r="E454" s="11" t="s">
        <v>487</v>
      </c>
      <c r="F454" s="12">
        <v>0</v>
      </c>
    </row>
    <row r="455" spans="2:6" hidden="1" x14ac:dyDescent="0.2">
      <c r="B455" s="4">
        <v>2014</v>
      </c>
      <c r="C455" s="11" t="s">
        <v>478</v>
      </c>
      <c r="D455" s="11" t="s">
        <v>479</v>
      </c>
      <c r="E455" s="11" t="s">
        <v>488</v>
      </c>
      <c r="F455" s="12">
        <v>0</v>
      </c>
    </row>
    <row r="456" spans="2:6" hidden="1" x14ac:dyDescent="0.2">
      <c r="B456" s="4">
        <v>2014</v>
      </c>
      <c r="C456" s="11" t="s">
        <v>478</v>
      </c>
      <c r="D456" s="11" t="s">
        <v>479</v>
      </c>
      <c r="E456" s="11" t="s">
        <v>489</v>
      </c>
      <c r="F456" s="12">
        <v>5</v>
      </c>
    </row>
    <row r="457" spans="2:6" hidden="1" x14ac:dyDescent="0.2">
      <c r="B457" s="4">
        <v>2014</v>
      </c>
      <c r="C457" s="11" t="s">
        <v>478</v>
      </c>
      <c r="D457" s="11" t="s">
        <v>479</v>
      </c>
      <c r="E457" s="11" t="s">
        <v>490</v>
      </c>
      <c r="F457" s="12">
        <v>10</v>
      </c>
    </row>
    <row r="458" spans="2:6" hidden="1" x14ac:dyDescent="0.2">
      <c r="B458" s="4">
        <v>2014</v>
      </c>
      <c r="C458" s="11" t="s">
        <v>478</v>
      </c>
      <c r="D458" s="11" t="s">
        <v>479</v>
      </c>
      <c r="E458" s="11" t="s">
        <v>491</v>
      </c>
      <c r="F458" s="12">
        <v>0</v>
      </c>
    </row>
    <row r="459" spans="2:6" hidden="1" x14ac:dyDescent="0.2">
      <c r="B459" s="4">
        <v>2014</v>
      </c>
      <c r="C459" s="11" t="s">
        <v>478</v>
      </c>
      <c r="D459" s="11" t="s">
        <v>492</v>
      </c>
      <c r="E459" s="11" t="s">
        <v>492</v>
      </c>
      <c r="F459" s="12">
        <v>0</v>
      </c>
    </row>
    <row r="460" spans="2:6" hidden="1" x14ac:dyDescent="0.2">
      <c r="B460" s="4">
        <v>2014</v>
      </c>
      <c r="C460" s="11" t="s">
        <v>478</v>
      </c>
      <c r="D460" s="11" t="s">
        <v>492</v>
      </c>
      <c r="E460" s="11" t="s">
        <v>493</v>
      </c>
      <c r="F460" s="12">
        <v>5</v>
      </c>
    </row>
    <row r="461" spans="2:6" hidden="1" x14ac:dyDescent="0.2">
      <c r="B461" s="4">
        <v>2014</v>
      </c>
      <c r="C461" s="11" t="s">
        <v>478</v>
      </c>
      <c r="D461" s="11" t="s">
        <v>492</v>
      </c>
      <c r="E461" s="11" t="s">
        <v>494</v>
      </c>
      <c r="F461" s="12">
        <v>6</v>
      </c>
    </row>
    <row r="462" spans="2:6" hidden="1" x14ac:dyDescent="0.2">
      <c r="B462" s="4">
        <v>2014</v>
      </c>
      <c r="C462" s="11" t="s">
        <v>478</v>
      </c>
      <c r="D462" s="11" t="s">
        <v>492</v>
      </c>
      <c r="E462" s="11" t="s">
        <v>495</v>
      </c>
      <c r="F462" s="12">
        <v>3</v>
      </c>
    </row>
    <row r="463" spans="2:6" hidden="1" x14ac:dyDescent="0.2">
      <c r="B463" s="4">
        <v>2014</v>
      </c>
      <c r="C463" s="11" t="s">
        <v>478</v>
      </c>
      <c r="D463" s="11" t="s">
        <v>492</v>
      </c>
      <c r="E463" s="11" t="s">
        <v>496</v>
      </c>
      <c r="F463" s="12">
        <v>2</v>
      </c>
    </row>
    <row r="464" spans="2:6" hidden="1" x14ac:dyDescent="0.2">
      <c r="B464" s="4">
        <v>2014</v>
      </c>
      <c r="C464" s="11" t="s">
        <v>478</v>
      </c>
      <c r="D464" s="11" t="s">
        <v>492</v>
      </c>
      <c r="E464" s="11" t="s">
        <v>497</v>
      </c>
      <c r="F464" s="12">
        <v>0</v>
      </c>
    </row>
    <row r="465" spans="2:6" hidden="1" x14ac:dyDescent="0.2">
      <c r="B465" s="4">
        <v>2014</v>
      </c>
      <c r="C465" s="11" t="s">
        <v>478</v>
      </c>
      <c r="D465" s="11" t="s">
        <v>498</v>
      </c>
      <c r="E465" s="11" t="s">
        <v>499</v>
      </c>
      <c r="F465" s="12">
        <v>2</v>
      </c>
    </row>
    <row r="466" spans="2:6" hidden="1" x14ac:dyDescent="0.2">
      <c r="B466" s="4">
        <v>2014</v>
      </c>
      <c r="C466" s="11" t="s">
        <v>478</v>
      </c>
      <c r="D466" s="11" t="s">
        <v>498</v>
      </c>
      <c r="E466" s="11" t="s">
        <v>500</v>
      </c>
      <c r="F466" s="12">
        <v>0</v>
      </c>
    </row>
    <row r="467" spans="2:6" hidden="1" x14ac:dyDescent="0.2">
      <c r="B467" s="4">
        <v>2014</v>
      </c>
      <c r="C467" s="11" t="s">
        <v>478</v>
      </c>
      <c r="D467" s="11" t="s">
        <v>498</v>
      </c>
      <c r="E467" s="11" t="s">
        <v>501</v>
      </c>
      <c r="F467" s="12">
        <v>0</v>
      </c>
    </row>
    <row r="468" spans="2:6" hidden="1" x14ac:dyDescent="0.2">
      <c r="B468" s="4">
        <v>2014</v>
      </c>
      <c r="C468" s="11" t="s">
        <v>478</v>
      </c>
      <c r="D468" s="11" t="s">
        <v>498</v>
      </c>
      <c r="E468" s="11" t="s">
        <v>502</v>
      </c>
      <c r="F468" s="12">
        <v>0</v>
      </c>
    </row>
    <row r="469" spans="2:6" hidden="1" x14ac:dyDescent="0.2">
      <c r="B469" s="4">
        <v>2014</v>
      </c>
      <c r="C469" s="11" t="s">
        <v>478</v>
      </c>
      <c r="D469" s="11" t="s">
        <v>503</v>
      </c>
      <c r="E469" s="11" t="s">
        <v>503</v>
      </c>
      <c r="F469" s="12">
        <v>10</v>
      </c>
    </row>
    <row r="470" spans="2:6" hidden="1" x14ac:dyDescent="0.2">
      <c r="B470" s="4">
        <v>2014</v>
      </c>
      <c r="C470" s="11" t="s">
        <v>478</v>
      </c>
      <c r="D470" s="11" t="s">
        <v>503</v>
      </c>
      <c r="E470" s="11" t="s">
        <v>504</v>
      </c>
      <c r="F470" s="12">
        <v>0</v>
      </c>
    </row>
    <row r="471" spans="2:6" hidden="1" x14ac:dyDescent="0.2">
      <c r="B471" s="4">
        <v>2014</v>
      </c>
      <c r="C471" s="11" t="s">
        <v>478</v>
      </c>
      <c r="D471" s="11" t="s">
        <v>503</v>
      </c>
      <c r="E471" s="11" t="s">
        <v>505</v>
      </c>
      <c r="F471" s="12">
        <v>3</v>
      </c>
    </row>
    <row r="472" spans="2:6" hidden="1" x14ac:dyDescent="0.2">
      <c r="B472" s="4">
        <v>2014</v>
      </c>
      <c r="C472" s="11" t="s">
        <v>478</v>
      </c>
      <c r="D472" s="11" t="s">
        <v>503</v>
      </c>
      <c r="E472" s="11" t="s">
        <v>506</v>
      </c>
      <c r="F472" s="12">
        <v>0</v>
      </c>
    </row>
    <row r="473" spans="2:6" hidden="1" x14ac:dyDescent="0.2">
      <c r="B473" s="4">
        <v>2014</v>
      </c>
      <c r="C473" s="11" t="s">
        <v>478</v>
      </c>
      <c r="D473" s="11" t="s">
        <v>503</v>
      </c>
      <c r="E473" s="11" t="s">
        <v>507</v>
      </c>
      <c r="F473" s="12">
        <v>0</v>
      </c>
    </row>
    <row r="474" spans="2:6" hidden="1" x14ac:dyDescent="0.2">
      <c r="B474" s="4">
        <v>2014</v>
      </c>
      <c r="C474" s="11" t="s">
        <v>478</v>
      </c>
      <c r="D474" s="11" t="s">
        <v>503</v>
      </c>
      <c r="E474" s="11" t="s">
        <v>508</v>
      </c>
      <c r="F474" s="12">
        <v>0</v>
      </c>
    </row>
    <row r="475" spans="2:6" hidden="1" x14ac:dyDescent="0.2">
      <c r="B475" s="4">
        <v>2014</v>
      </c>
      <c r="C475" s="11" t="s">
        <v>478</v>
      </c>
      <c r="D475" s="11" t="s">
        <v>503</v>
      </c>
      <c r="E475" s="11" t="s">
        <v>509</v>
      </c>
      <c r="F475" s="12">
        <v>5</v>
      </c>
    </row>
    <row r="476" spans="2:6" hidden="1" x14ac:dyDescent="0.2">
      <c r="B476" s="4">
        <v>2014</v>
      </c>
      <c r="C476" s="11" t="s">
        <v>478</v>
      </c>
      <c r="D476" s="11" t="s">
        <v>503</v>
      </c>
      <c r="E476" s="11" t="s">
        <v>510</v>
      </c>
      <c r="F476" s="12">
        <v>0</v>
      </c>
    </row>
    <row r="477" spans="2:6" hidden="1" x14ac:dyDescent="0.2">
      <c r="B477" s="4">
        <v>2014</v>
      </c>
      <c r="C477" s="11" t="s">
        <v>478</v>
      </c>
      <c r="D477" s="11" t="s">
        <v>503</v>
      </c>
      <c r="E477" s="11" t="s">
        <v>511</v>
      </c>
      <c r="F477" s="12">
        <v>0</v>
      </c>
    </row>
    <row r="478" spans="2:6" hidden="1" x14ac:dyDescent="0.2">
      <c r="B478" s="4">
        <v>2014</v>
      </c>
      <c r="C478" s="11" t="s">
        <v>478</v>
      </c>
      <c r="D478" s="11" t="s">
        <v>512</v>
      </c>
      <c r="E478" s="11" t="s">
        <v>513</v>
      </c>
      <c r="F478" s="12">
        <v>1</v>
      </c>
    </row>
    <row r="479" spans="2:6" hidden="1" x14ac:dyDescent="0.2">
      <c r="B479" s="4">
        <v>2014</v>
      </c>
      <c r="C479" s="11" t="s">
        <v>478</v>
      </c>
      <c r="D479" s="11" t="s">
        <v>512</v>
      </c>
      <c r="E479" s="11" t="s">
        <v>514</v>
      </c>
      <c r="F479" s="12">
        <v>1</v>
      </c>
    </row>
    <row r="480" spans="2:6" hidden="1" x14ac:dyDescent="0.2">
      <c r="B480" s="4">
        <v>2014</v>
      </c>
      <c r="C480" s="11" t="s">
        <v>478</v>
      </c>
      <c r="D480" s="11" t="s">
        <v>512</v>
      </c>
      <c r="E480" s="11" t="s">
        <v>515</v>
      </c>
      <c r="F480" s="12">
        <v>15</v>
      </c>
    </row>
    <row r="481" spans="2:6" hidden="1" x14ac:dyDescent="0.2">
      <c r="B481" s="4">
        <v>2014</v>
      </c>
      <c r="C481" s="11" t="s">
        <v>478</v>
      </c>
      <c r="D481" s="11" t="s">
        <v>512</v>
      </c>
      <c r="E481" s="11" t="s">
        <v>516</v>
      </c>
      <c r="F481" s="12">
        <v>0</v>
      </c>
    </row>
    <row r="482" spans="2:6" hidden="1" x14ac:dyDescent="0.2">
      <c r="B482" s="4">
        <v>2014</v>
      </c>
      <c r="C482" s="11" t="s">
        <v>478</v>
      </c>
      <c r="D482" s="11" t="s">
        <v>512</v>
      </c>
      <c r="E482" s="11" t="s">
        <v>517</v>
      </c>
      <c r="F482" s="12">
        <v>2</v>
      </c>
    </row>
    <row r="483" spans="2:6" hidden="1" x14ac:dyDescent="0.2">
      <c r="B483" s="4">
        <v>2014</v>
      </c>
      <c r="C483" s="11" t="s">
        <v>478</v>
      </c>
      <c r="D483" s="11" t="s">
        <v>512</v>
      </c>
      <c r="E483" s="11" t="s">
        <v>518</v>
      </c>
      <c r="F483" s="12">
        <v>0</v>
      </c>
    </row>
    <row r="484" spans="2:6" hidden="1" x14ac:dyDescent="0.2">
      <c r="B484" s="4">
        <v>2014</v>
      </c>
      <c r="C484" s="11" t="s">
        <v>478</v>
      </c>
      <c r="D484" s="11" t="s">
        <v>512</v>
      </c>
      <c r="E484" s="11" t="s">
        <v>113</v>
      </c>
      <c r="F484" s="12">
        <v>2</v>
      </c>
    </row>
    <row r="485" spans="2:6" hidden="1" x14ac:dyDescent="0.2">
      <c r="B485" s="4">
        <v>2014</v>
      </c>
      <c r="C485" s="11" t="s">
        <v>478</v>
      </c>
      <c r="D485" s="11" t="s">
        <v>512</v>
      </c>
      <c r="E485" s="11" t="s">
        <v>519</v>
      </c>
      <c r="F485" s="12">
        <v>3</v>
      </c>
    </row>
    <row r="486" spans="2:6" hidden="1" x14ac:dyDescent="0.2">
      <c r="B486" s="4">
        <v>2014</v>
      </c>
      <c r="C486" s="11" t="s">
        <v>478</v>
      </c>
      <c r="D486" s="11" t="s">
        <v>512</v>
      </c>
      <c r="E486" s="11" t="s">
        <v>520</v>
      </c>
      <c r="F486" s="12">
        <v>2</v>
      </c>
    </row>
    <row r="487" spans="2:6" hidden="1" x14ac:dyDescent="0.2">
      <c r="B487" s="4">
        <v>2014</v>
      </c>
      <c r="C487" s="11" t="s">
        <v>478</v>
      </c>
      <c r="D487" s="11" t="s">
        <v>512</v>
      </c>
      <c r="E487" s="11" t="s">
        <v>521</v>
      </c>
      <c r="F487" s="12">
        <v>0</v>
      </c>
    </row>
    <row r="488" spans="2:6" hidden="1" x14ac:dyDescent="0.2">
      <c r="B488" s="4">
        <v>2014</v>
      </c>
      <c r="C488" s="11" t="s">
        <v>478</v>
      </c>
      <c r="D488" s="11" t="s">
        <v>522</v>
      </c>
      <c r="E488" s="11" t="s">
        <v>523</v>
      </c>
      <c r="F488" s="12">
        <v>11</v>
      </c>
    </row>
    <row r="489" spans="2:6" hidden="1" x14ac:dyDescent="0.2">
      <c r="B489" s="4">
        <v>2014</v>
      </c>
      <c r="C489" s="11" t="s">
        <v>478</v>
      </c>
      <c r="D489" s="11" t="s">
        <v>522</v>
      </c>
      <c r="E489" s="11" t="s">
        <v>524</v>
      </c>
      <c r="F489" s="12">
        <v>1</v>
      </c>
    </row>
    <row r="490" spans="2:6" hidden="1" x14ac:dyDescent="0.2">
      <c r="B490" s="4">
        <v>2014</v>
      </c>
      <c r="C490" s="11" t="s">
        <v>478</v>
      </c>
      <c r="D490" s="11" t="s">
        <v>522</v>
      </c>
      <c r="E490" s="11" t="s">
        <v>240</v>
      </c>
      <c r="F490" s="12">
        <v>3</v>
      </c>
    </row>
    <row r="491" spans="2:6" hidden="1" x14ac:dyDescent="0.2">
      <c r="B491" s="4">
        <v>2014</v>
      </c>
      <c r="C491" s="11" t="s">
        <v>478</v>
      </c>
      <c r="D491" s="11" t="s">
        <v>522</v>
      </c>
      <c r="E491" s="11" t="s">
        <v>525</v>
      </c>
      <c r="F491" s="12">
        <v>1</v>
      </c>
    </row>
    <row r="492" spans="2:6" hidden="1" x14ac:dyDescent="0.2">
      <c r="B492" s="4">
        <v>2014</v>
      </c>
      <c r="C492" s="11" t="s">
        <v>478</v>
      </c>
      <c r="D492" s="11" t="s">
        <v>522</v>
      </c>
      <c r="E492" s="11" t="s">
        <v>526</v>
      </c>
      <c r="F492" s="12">
        <v>2</v>
      </c>
    </row>
    <row r="493" spans="2:6" hidden="1" x14ac:dyDescent="0.2">
      <c r="B493" s="4">
        <v>2014</v>
      </c>
      <c r="C493" s="11" t="s">
        <v>478</v>
      </c>
      <c r="D493" s="11" t="s">
        <v>522</v>
      </c>
      <c r="E493" s="11" t="s">
        <v>527</v>
      </c>
      <c r="F493" s="12">
        <v>0</v>
      </c>
    </row>
    <row r="494" spans="2:6" hidden="1" x14ac:dyDescent="0.2">
      <c r="B494" s="4">
        <v>2014</v>
      </c>
      <c r="C494" s="11" t="s">
        <v>478</v>
      </c>
      <c r="D494" s="11" t="s">
        <v>522</v>
      </c>
      <c r="E494" s="11" t="s">
        <v>528</v>
      </c>
      <c r="F494" s="12">
        <v>0</v>
      </c>
    </row>
    <row r="495" spans="2:6" hidden="1" x14ac:dyDescent="0.2">
      <c r="B495" s="4">
        <v>2014</v>
      </c>
      <c r="C495" s="11" t="s">
        <v>478</v>
      </c>
      <c r="D495" s="11" t="s">
        <v>522</v>
      </c>
      <c r="E495" s="11" t="s">
        <v>529</v>
      </c>
      <c r="F495" s="12">
        <v>0</v>
      </c>
    </row>
    <row r="496" spans="2:6" hidden="1" x14ac:dyDescent="0.2">
      <c r="B496" s="4">
        <v>2014</v>
      </c>
      <c r="C496" s="11" t="s">
        <v>478</v>
      </c>
      <c r="D496" s="11" t="s">
        <v>522</v>
      </c>
      <c r="E496" s="11" t="s">
        <v>530</v>
      </c>
      <c r="F496" s="12">
        <v>2</v>
      </c>
    </row>
    <row r="497" spans="2:6" hidden="1" x14ac:dyDescent="0.2">
      <c r="B497" s="4">
        <v>2014</v>
      </c>
      <c r="C497" s="11" t="s">
        <v>478</v>
      </c>
      <c r="D497" s="11" t="s">
        <v>522</v>
      </c>
      <c r="E497" s="11" t="s">
        <v>531</v>
      </c>
      <c r="F497" s="12">
        <v>2</v>
      </c>
    </row>
    <row r="498" spans="2:6" hidden="1" x14ac:dyDescent="0.2">
      <c r="B498" s="4">
        <v>2014</v>
      </c>
      <c r="C498" s="11" t="s">
        <v>478</v>
      </c>
      <c r="D498" s="11" t="s">
        <v>522</v>
      </c>
      <c r="E498" s="11" t="s">
        <v>522</v>
      </c>
      <c r="F498" s="12">
        <v>10</v>
      </c>
    </row>
    <row r="499" spans="2:6" hidden="1" x14ac:dyDescent="0.2">
      <c r="B499" s="4">
        <v>2014</v>
      </c>
      <c r="C499" s="11" t="s">
        <v>478</v>
      </c>
      <c r="D499" s="11" t="s">
        <v>522</v>
      </c>
      <c r="E499" s="11" t="s">
        <v>532</v>
      </c>
      <c r="F499" s="12">
        <v>0</v>
      </c>
    </row>
    <row r="500" spans="2:6" hidden="1" x14ac:dyDescent="0.2">
      <c r="B500" s="4">
        <v>2014</v>
      </c>
      <c r="C500" s="11" t="s">
        <v>478</v>
      </c>
      <c r="D500" s="11" t="s">
        <v>522</v>
      </c>
      <c r="E500" s="11" t="s">
        <v>533</v>
      </c>
      <c r="F500" s="12">
        <v>0</v>
      </c>
    </row>
    <row r="501" spans="2:6" hidden="1" x14ac:dyDescent="0.2">
      <c r="B501" s="4">
        <v>2014</v>
      </c>
      <c r="C501" s="11" t="s">
        <v>478</v>
      </c>
      <c r="D501" s="11" t="s">
        <v>522</v>
      </c>
      <c r="E501" s="11" t="s">
        <v>534</v>
      </c>
      <c r="F501" s="12">
        <v>0</v>
      </c>
    </row>
    <row r="502" spans="2:6" hidden="1" x14ac:dyDescent="0.2">
      <c r="B502" s="4">
        <v>2014</v>
      </c>
      <c r="C502" s="11" t="s">
        <v>478</v>
      </c>
      <c r="D502" s="11" t="s">
        <v>522</v>
      </c>
      <c r="E502" s="11" t="s">
        <v>95</v>
      </c>
      <c r="F502" s="12">
        <v>2</v>
      </c>
    </row>
    <row r="503" spans="2:6" hidden="1" x14ac:dyDescent="0.2">
      <c r="B503" s="4">
        <v>2014</v>
      </c>
      <c r="C503" s="11" t="s">
        <v>478</v>
      </c>
      <c r="D503" s="11" t="s">
        <v>522</v>
      </c>
      <c r="E503" s="11" t="s">
        <v>278</v>
      </c>
      <c r="F503" s="12">
        <v>0</v>
      </c>
    </row>
    <row r="504" spans="2:6" hidden="1" x14ac:dyDescent="0.2">
      <c r="B504" s="4">
        <v>2014</v>
      </c>
      <c r="C504" s="11" t="s">
        <v>478</v>
      </c>
      <c r="D504" s="11" t="s">
        <v>522</v>
      </c>
      <c r="E504" s="11" t="s">
        <v>237</v>
      </c>
      <c r="F504" s="12">
        <v>0</v>
      </c>
    </row>
    <row r="505" spans="2:6" hidden="1" x14ac:dyDescent="0.2">
      <c r="B505" s="4">
        <v>2014</v>
      </c>
      <c r="C505" s="11" t="s">
        <v>478</v>
      </c>
      <c r="D505" s="11" t="s">
        <v>522</v>
      </c>
      <c r="E505" s="11" t="s">
        <v>535</v>
      </c>
      <c r="F505" s="12">
        <v>0</v>
      </c>
    </row>
    <row r="506" spans="2:6" hidden="1" x14ac:dyDescent="0.2">
      <c r="B506" s="4">
        <v>2014</v>
      </c>
      <c r="C506" s="11" t="s">
        <v>478</v>
      </c>
      <c r="D506" s="11" t="s">
        <v>522</v>
      </c>
      <c r="E506" s="11" t="s">
        <v>499</v>
      </c>
      <c r="F506" s="12">
        <v>0</v>
      </c>
    </row>
    <row r="507" spans="2:6" hidden="1" x14ac:dyDescent="0.2">
      <c r="B507" s="4">
        <v>2014</v>
      </c>
      <c r="C507" s="11" t="s">
        <v>478</v>
      </c>
      <c r="D507" s="11" t="s">
        <v>522</v>
      </c>
      <c r="E507" s="11" t="s">
        <v>536</v>
      </c>
      <c r="F507" s="12">
        <v>3</v>
      </c>
    </row>
    <row r="508" spans="2:6" hidden="1" x14ac:dyDescent="0.2">
      <c r="B508" s="4">
        <v>2014</v>
      </c>
      <c r="C508" s="11" t="s">
        <v>478</v>
      </c>
      <c r="D508" s="11" t="s">
        <v>522</v>
      </c>
      <c r="E508" s="11" t="s">
        <v>537</v>
      </c>
      <c r="F508" s="12">
        <v>0</v>
      </c>
    </row>
    <row r="509" spans="2:6" hidden="1" x14ac:dyDescent="0.2">
      <c r="B509" s="4">
        <v>2014</v>
      </c>
      <c r="C509" s="11" t="s">
        <v>478</v>
      </c>
      <c r="D509" s="11" t="s">
        <v>538</v>
      </c>
      <c r="E509" s="11" t="s">
        <v>539</v>
      </c>
      <c r="F509" s="12">
        <v>6</v>
      </c>
    </row>
    <row r="510" spans="2:6" hidden="1" x14ac:dyDescent="0.2">
      <c r="B510" s="4">
        <v>2014</v>
      </c>
      <c r="C510" s="11" t="s">
        <v>478</v>
      </c>
      <c r="D510" s="11" t="s">
        <v>538</v>
      </c>
      <c r="E510" s="11" t="s">
        <v>540</v>
      </c>
      <c r="F510" s="12">
        <v>3</v>
      </c>
    </row>
    <row r="511" spans="2:6" hidden="1" x14ac:dyDescent="0.2">
      <c r="B511" s="4">
        <v>2014</v>
      </c>
      <c r="C511" s="11" t="s">
        <v>478</v>
      </c>
      <c r="D511" s="11" t="s">
        <v>538</v>
      </c>
      <c r="E511" s="11" t="s">
        <v>541</v>
      </c>
      <c r="F511" s="12">
        <v>1</v>
      </c>
    </row>
    <row r="512" spans="2:6" hidden="1" x14ac:dyDescent="0.2">
      <c r="B512" s="4">
        <v>2014</v>
      </c>
      <c r="C512" s="11" t="s">
        <v>478</v>
      </c>
      <c r="D512" s="11" t="s">
        <v>538</v>
      </c>
      <c r="E512" s="11" t="s">
        <v>542</v>
      </c>
      <c r="F512" s="12">
        <v>0</v>
      </c>
    </row>
    <row r="513" spans="2:6" hidden="1" x14ac:dyDescent="0.2">
      <c r="B513" s="4">
        <v>2014</v>
      </c>
      <c r="C513" s="11" t="s">
        <v>478</v>
      </c>
      <c r="D513" s="11" t="s">
        <v>538</v>
      </c>
      <c r="E513" s="11" t="s">
        <v>543</v>
      </c>
      <c r="F513" s="12">
        <v>4</v>
      </c>
    </row>
    <row r="514" spans="2:6" hidden="1" x14ac:dyDescent="0.2">
      <c r="B514" s="4">
        <v>2014</v>
      </c>
      <c r="C514" s="11" t="s">
        <v>478</v>
      </c>
      <c r="D514" s="11" t="s">
        <v>538</v>
      </c>
      <c r="E514" s="11" t="s">
        <v>544</v>
      </c>
      <c r="F514" s="12">
        <v>0</v>
      </c>
    </row>
    <row r="515" spans="2:6" hidden="1" x14ac:dyDescent="0.2">
      <c r="B515" s="4">
        <v>2014</v>
      </c>
      <c r="C515" s="11" t="s">
        <v>478</v>
      </c>
      <c r="D515" s="11" t="s">
        <v>538</v>
      </c>
      <c r="E515" s="11" t="s">
        <v>545</v>
      </c>
      <c r="F515" s="12">
        <v>1</v>
      </c>
    </row>
    <row r="516" spans="2:6" hidden="1" x14ac:dyDescent="0.2">
      <c r="B516" s="4">
        <v>2014</v>
      </c>
      <c r="C516" s="11" t="s">
        <v>478</v>
      </c>
      <c r="D516" s="11" t="s">
        <v>538</v>
      </c>
      <c r="E516" s="11" t="s">
        <v>546</v>
      </c>
      <c r="F516" s="12">
        <v>0</v>
      </c>
    </row>
    <row r="517" spans="2:6" hidden="1" x14ac:dyDescent="0.2">
      <c r="B517" s="4">
        <v>2014</v>
      </c>
      <c r="C517" s="11" t="s">
        <v>478</v>
      </c>
      <c r="D517" s="11" t="s">
        <v>547</v>
      </c>
      <c r="E517" s="11" t="s">
        <v>548</v>
      </c>
      <c r="F517" s="12">
        <v>3</v>
      </c>
    </row>
    <row r="518" spans="2:6" hidden="1" x14ac:dyDescent="0.2">
      <c r="B518" s="4">
        <v>2014</v>
      </c>
      <c r="C518" s="11" t="s">
        <v>478</v>
      </c>
      <c r="D518" s="11" t="s">
        <v>547</v>
      </c>
      <c r="E518" s="11" t="s">
        <v>549</v>
      </c>
      <c r="F518" s="12">
        <v>0</v>
      </c>
    </row>
    <row r="519" spans="2:6" hidden="1" x14ac:dyDescent="0.2">
      <c r="B519" s="4">
        <v>2014</v>
      </c>
      <c r="C519" s="11" t="s">
        <v>478</v>
      </c>
      <c r="D519" s="11" t="s">
        <v>547</v>
      </c>
      <c r="E519" s="11" t="s">
        <v>550</v>
      </c>
      <c r="F519" s="12">
        <v>0</v>
      </c>
    </row>
    <row r="520" spans="2:6" hidden="1" x14ac:dyDescent="0.2">
      <c r="B520" s="4">
        <v>2014</v>
      </c>
      <c r="C520" s="11" t="s">
        <v>478</v>
      </c>
      <c r="D520" s="11" t="s">
        <v>547</v>
      </c>
      <c r="E520" s="11" t="s">
        <v>551</v>
      </c>
      <c r="F520" s="12">
        <v>0</v>
      </c>
    </row>
    <row r="521" spans="2:6" hidden="1" x14ac:dyDescent="0.2">
      <c r="B521" s="4">
        <v>2014</v>
      </c>
      <c r="C521" s="11" t="s">
        <v>478</v>
      </c>
      <c r="D521" s="11" t="s">
        <v>547</v>
      </c>
      <c r="E521" s="11" t="s">
        <v>552</v>
      </c>
      <c r="F521" s="12">
        <v>4</v>
      </c>
    </row>
    <row r="522" spans="2:6" hidden="1" x14ac:dyDescent="0.2">
      <c r="B522" s="4">
        <v>2014</v>
      </c>
      <c r="C522" s="11" t="s">
        <v>478</v>
      </c>
      <c r="D522" s="11" t="s">
        <v>547</v>
      </c>
      <c r="E522" s="11" t="s">
        <v>553</v>
      </c>
      <c r="F522" s="12">
        <v>3</v>
      </c>
    </row>
    <row r="523" spans="2:6" hidden="1" x14ac:dyDescent="0.2">
      <c r="B523" s="4">
        <v>2014</v>
      </c>
      <c r="C523" s="11" t="s">
        <v>478</v>
      </c>
      <c r="D523" s="11" t="s">
        <v>547</v>
      </c>
      <c r="E523" s="11" t="s">
        <v>554</v>
      </c>
      <c r="F523" s="12">
        <v>0</v>
      </c>
    </row>
    <row r="524" spans="2:6" hidden="1" x14ac:dyDescent="0.2">
      <c r="B524" s="4">
        <v>2014</v>
      </c>
      <c r="C524" s="11" t="s">
        <v>478</v>
      </c>
      <c r="D524" s="11" t="s">
        <v>547</v>
      </c>
      <c r="E524" s="11" t="s">
        <v>555</v>
      </c>
      <c r="F524" s="12">
        <v>10</v>
      </c>
    </row>
    <row r="525" spans="2:6" hidden="1" x14ac:dyDescent="0.2">
      <c r="B525" s="4">
        <v>2014</v>
      </c>
      <c r="C525" s="11" t="s">
        <v>478</v>
      </c>
      <c r="D525" s="11" t="s">
        <v>547</v>
      </c>
      <c r="E525" s="11" t="s">
        <v>556</v>
      </c>
      <c r="F525" s="12">
        <v>0</v>
      </c>
    </row>
    <row r="526" spans="2:6" hidden="1" x14ac:dyDescent="0.2">
      <c r="B526" s="4">
        <v>2014</v>
      </c>
      <c r="C526" s="11" t="s">
        <v>478</v>
      </c>
      <c r="D526" s="11" t="s">
        <v>547</v>
      </c>
      <c r="E526" s="11" t="s">
        <v>557</v>
      </c>
      <c r="F526" s="12">
        <v>2</v>
      </c>
    </row>
    <row r="527" spans="2:6" hidden="1" x14ac:dyDescent="0.2">
      <c r="B527" s="4">
        <v>2014</v>
      </c>
      <c r="C527" s="11" t="s">
        <v>478</v>
      </c>
      <c r="D527" s="11" t="s">
        <v>558</v>
      </c>
      <c r="E527" s="11" t="s">
        <v>559</v>
      </c>
      <c r="F527" s="12">
        <v>0</v>
      </c>
    </row>
    <row r="528" spans="2:6" hidden="1" x14ac:dyDescent="0.2">
      <c r="B528" s="4">
        <v>2014</v>
      </c>
      <c r="C528" s="11" t="s">
        <v>478</v>
      </c>
      <c r="D528" s="11" t="s">
        <v>558</v>
      </c>
      <c r="E528" s="11" t="s">
        <v>2</v>
      </c>
      <c r="F528" s="12">
        <v>0</v>
      </c>
    </row>
    <row r="529" spans="2:6" hidden="1" x14ac:dyDescent="0.2">
      <c r="B529" s="4">
        <v>2014</v>
      </c>
      <c r="C529" s="11" t="s">
        <v>478</v>
      </c>
      <c r="D529" s="11" t="s">
        <v>558</v>
      </c>
      <c r="E529" s="11" t="s">
        <v>560</v>
      </c>
      <c r="F529" s="12">
        <v>0</v>
      </c>
    </row>
    <row r="530" spans="2:6" hidden="1" x14ac:dyDescent="0.2">
      <c r="B530" s="4">
        <v>2014</v>
      </c>
      <c r="C530" s="11" t="s">
        <v>478</v>
      </c>
      <c r="D530" s="11" t="s">
        <v>558</v>
      </c>
      <c r="E530" s="11" t="s">
        <v>561</v>
      </c>
      <c r="F530" s="12">
        <v>2</v>
      </c>
    </row>
    <row r="531" spans="2:6" hidden="1" x14ac:dyDescent="0.2">
      <c r="B531" s="4">
        <v>2014</v>
      </c>
      <c r="C531" s="11" t="s">
        <v>478</v>
      </c>
      <c r="D531" s="11" t="s">
        <v>558</v>
      </c>
      <c r="E531" s="11" t="s">
        <v>562</v>
      </c>
      <c r="F531" s="12">
        <v>0</v>
      </c>
    </row>
    <row r="532" spans="2:6" hidden="1" x14ac:dyDescent="0.2">
      <c r="B532" s="4">
        <v>2014</v>
      </c>
      <c r="C532" s="11" t="s">
        <v>478</v>
      </c>
      <c r="D532" s="11" t="s">
        <v>558</v>
      </c>
      <c r="E532" s="11" t="s">
        <v>563</v>
      </c>
      <c r="F532" s="12">
        <v>0</v>
      </c>
    </row>
    <row r="533" spans="2:6" hidden="1" x14ac:dyDescent="0.2">
      <c r="B533" s="4">
        <v>2014</v>
      </c>
      <c r="C533" s="11" t="s">
        <v>478</v>
      </c>
      <c r="D533" s="11" t="s">
        <v>558</v>
      </c>
      <c r="E533" s="11" t="s">
        <v>564</v>
      </c>
      <c r="F533" s="12">
        <v>0</v>
      </c>
    </row>
    <row r="534" spans="2:6" hidden="1" x14ac:dyDescent="0.2">
      <c r="B534" s="4">
        <v>2014</v>
      </c>
      <c r="C534" s="11" t="s">
        <v>478</v>
      </c>
      <c r="D534" s="11" t="s">
        <v>558</v>
      </c>
      <c r="E534" s="11" t="s">
        <v>565</v>
      </c>
      <c r="F534" s="12">
        <v>1</v>
      </c>
    </row>
    <row r="535" spans="2:6" hidden="1" x14ac:dyDescent="0.2">
      <c r="B535" s="4">
        <v>2014</v>
      </c>
      <c r="C535" s="11" t="s">
        <v>478</v>
      </c>
      <c r="D535" s="11" t="s">
        <v>558</v>
      </c>
      <c r="E535" s="11" t="s">
        <v>566</v>
      </c>
      <c r="F535" s="12">
        <v>2</v>
      </c>
    </row>
    <row r="536" spans="2:6" hidden="1" x14ac:dyDescent="0.2">
      <c r="B536" s="4">
        <v>2014</v>
      </c>
      <c r="C536" s="11" t="s">
        <v>478</v>
      </c>
      <c r="D536" s="11" t="s">
        <v>558</v>
      </c>
      <c r="E536" s="11" t="s">
        <v>567</v>
      </c>
      <c r="F536" s="12">
        <v>0</v>
      </c>
    </row>
    <row r="537" spans="2:6" hidden="1" x14ac:dyDescent="0.2">
      <c r="B537" s="4">
        <v>2014</v>
      </c>
      <c r="C537" s="11" t="s">
        <v>478</v>
      </c>
      <c r="D537" s="11" t="s">
        <v>558</v>
      </c>
      <c r="E537" s="11" t="s">
        <v>568</v>
      </c>
      <c r="F537" s="12">
        <v>1</v>
      </c>
    </row>
    <row r="538" spans="2:6" hidden="1" x14ac:dyDescent="0.2">
      <c r="B538" s="4">
        <v>2014</v>
      </c>
      <c r="C538" s="11" t="s">
        <v>478</v>
      </c>
      <c r="D538" s="11" t="s">
        <v>569</v>
      </c>
      <c r="E538" s="11" t="s">
        <v>570</v>
      </c>
      <c r="F538" s="12">
        <v>0</v>
      </c>
    </row>
    <row r="539" spans="2:6" hidden="1" x14ac:dyDescent="0.2">
      <c r="B539" s="4">
        <v>2014</v>
      </c>
      <c r="C539" s="11" t="s">
        <v>478</v>
      </c>
      <c r="D539" s="11" t="s">
        <v>569</v>
      </c>
      <c r="E539" s="11" t="s">
        <v>571</v>
      </c>
      <c r="F539" s="12">
        <v>0</v>
      </c>
    </row>
    <row r="540" spans="2:6" hidden="1" x14ac:dyDescent="0.2">
      <c r="B540" s="4">
        <v>2014</v>
      </c>
      <c r="C540" s="11" t="s">
        <v>478</v>
      </c>
      <c r="D540" s="11" t="s">
        <v>569</v>
      </c>
      <c r="E540" s="11" t="s">
        <v>572</v>
      </c>
      <c r="F540" s="12">
        <v>0</v>
      </c>
    </row>
    <row r="541" spans="2:6" hidden="1" x14ac:dyDescent="0.2">
      <c r="B541" s="4">
        <v>2014</v>
      </c>
      <c r="C541" s="11" t="s">
        <v>478</v>
      </c>
      <c r="D541" s="11" t="s">
        <v>569</v>
      </c>
      <c r="E541" s="11" t="s">
        <v>573</v>
      </c>
      <c r="F541" s="12">
        <v>0</v>
      </c>
    </row>
    <row r="542" spans="2:6" hidden="1" x14ac:dyDescent="0.2">
      <c r="B542" s="4">
        <v>2014</v>
      </c>
      <c r="C542" s="11" t="s">
        <v>478</v>
      </c>
      <c r="D542" s="11" t="s">
        <v>569</v>
      </c>
      <c r="E542" s="11" t="s">
        <v>574</v>
      </c>
      <c r="F542" s="12">
        <v>1</v>
      </c>
    </row>
    <row r="543" spans="2:6" hidden="1" x14ac:dyDescent="0.2">
      <c r="B543" s="4">
        <v>2014</v>
      </c>
      <c r="C543" s="11" t="s">
        <v>478</v>
      </c>
      <c r="D543" s="11" t="s">
        <v>569</v>
      </c>
      <c r="E543" s="11" t="s">
        <v>575</v>
      </c>
      <c r="F543" s="12">
        <v>0</v>
      </c>
    </row>
    <row r="544" spans="2:6" hidden="1" x14ac:dyDescent="0.2">
      <c r="B544" s="4">
        <v>2014</v>
      </c>
      <c r="C544" s="11" t="s">
        <v>478</v>
      </c>
      <c r="D544" s="11" t="s">
        <v>569</v>
      </c>
      <c r="E544" s="11" t="s">
        <v>576</v>
      </c>
      <c r="F544" s="12">
        <v>0</v>
      </c>
    </row>
    <row r="545" spans="2:6" hidden="1" x14ac:dyDescent="0.2">
      <c r="B545" s="4">
        <v>2014</v>
      </c>
      <c r="C545" s="11" t="s">
        <v>478</v>
      </c>
      <c r="D545" s="11" t="s">
        <v>569</v>
      </c>
      <c r="E545" s="11" t="s">
        <v>577</v>
      </c>
      <c r="F545" s="12">
        <v>0</v>
      </c>
    </row>
    <row r="546" spans="2:6" hidden="1" x14ac:dyDescent="0.2">
      <c r="B546" s="4">
        <v>2014</v>
      </c>
      <c r="C546" s="11" t="s">
        <v>478</v>
      </c>
      <c r="D546" s="11" t="s">
        <v>569</v>
      </c>
      <c r="E546" s="11" t="s">
        <v>578</v>
      </c>
      <c r="F546" s="12">
        <v>0</v>
      </c>
    </row>
    <row r="547" spans="2:6" hidden="1" x14ac:dyDescent="0.2">
      <c r="B547" s="4">
        <v>2014</v>
      </c>
      <c r="C547" s="11" t="s">
        <v>478</v>
      </c>
      <c r="D547" s="11" t="s">
        <v>569</v>
      </c>
      <c r="E547" s="11" t="s">
        <v>579</v>
      </c>
      <c r="F547" s="12">
        <v>0</v>
      </c>
    </row>
    <row r="548" spans="2:6" hidden="1" x14ac:dyDescent="0.2">
      <c r="B548" s="4">
        <v>2014</v>
      </c>
      <c r="C548" s="11" t="s">
        <v>478</v>
      </c>
      <c r="D548" s="11" t="s">
        <v>569</v>
      </c>
      <c r="E548" s="11" t="s">
        <v>580</v>
      </c>
      <c r="F548" s="12">
        <v>0</v>
      </c>
    </row>
    <row r="549" spans="2:6" hidden="1" x14ac:dyDescent="0.2">
      <c r="B549" s="4">
        <v>2014</v>
      </c>
      <c r="C549" s="11" t="s">
        <v>478</v>
      </c>
      <c r="D549" s="11" t="s">
        <v>569</v>
      </c>
      <c r="E549" s="11" t="s">
        <v>581</v>
      </c>
      <c r="F549" s="12">
        <v>0</v>
      </c>
    </row>
    <row r="550" spans="2:6" hidden="1" x14ac:dyDescent="0.2">
      <c r="B550" s="4">
        <v>2014</v>
      </c>
      <c r="C550" s="11" t="s">
        <v>478</v>
      </c>
      <c r="D550" s="11" t="s">
        <v>582</v>
      </c>
      <c r="E550" s="11" t="s">
        <v>582</v>
      </c>
      <c r="F550" s="12">
        <v>1</v>
      </c>
    </row>
    <row r="551" spans="2:6" hidden="1" x14ac:dyDescent="0.2">
      <c r="B551" s="4">
        <v>2014</v>
      </c>
      <c r="C551" s="11" t="s">
        <v>478</v>
      </c>
      <c r="D551" s="11" t="s">
        <v>582</v>
      </c>
      <c r="E551" s="11" t="s">
        <v>583</v>
      </c>
      <c r="F551" s="12">
        <v>0</v>
      </c>
    </row>
    <row r="552" spans="2:6" hidden="1" x14ac:dyDescent="0.2">
      <c r="B552" s="4">
        <v>2014</v>
      </c>
      <c r="C552" s="11" t="s">
        <v>478</v>
      </c>
      <c r="D552" s="11" t="s">
        <v>582</v>
      </c>
      <c r="E552" s="11" t="s">
        <v>584</v>
      </c>
      <c r="F552" s="12">
        <v>3</v>
      </c>
    </row>
    <row r="553" spans="2:6" hidden="1" x14ac:dyDescent="0.2">
      <c r="B553" s="4">
        <v>2014</v>
      </c>
      <c r="C553" s="11" t="s">
        <v>478</v>
      </c>
      <c r="D553" s="11" t="s">
        <v>582</v>
      </c>
      <c r="E553" s="11" t="s">
        <v>585</v>
      </c>
      <c r="F553" s="12">
        <v>0</v>
      </c>
    </row>
    <row r="554" spans="2:6" hidden="1" x14ac:dyDescent="0.2">
      <c r="B554" s="4">
        <v>2014</v>
      </c>
      <c r="C554" s="11" t="s">
        <v>478</v>
      </c>
      <c r="D554" s="11" t="s">
        <v>582</v>
      </c>
      <c r="E554" s="11" t="s">
        <v>586</v>
      </c>
      <c r="F554" s="12">
        <v>1</v>
      </c>
    </row>
    <row r="555" spans="2:6" hidden="1" x14ac:dyDescent="0.2">
      <c r="B555" s="4">
        <v>2014</v>
      </c>
      <c r="C555" s="11" t="s">
        <v>478</v>
      </c>
      <c r="D555" s="11" t="s">
        <v>582</v>
      </c>
      <c r="E555" s="11" t="s">
        <v>129</v>
      </c>
      <c r="F555" s="12">
        <v>0</v>
      </c>
    </row>
    <row r="556" spans="2:6" hidden="1" x14ac:dyDescent="0.2">
      <c r="B556" s="4">
        <v>2014</v>
      </c>
      <c r="C556" s="11" t="s">
        <v>478</v>
      </c>
      <c r="D556" s="11" t="s">
        <v>582</v>
      </c>
      <c r="E556" s="11" t="s">
        <v>587</v>
      </c>
      <c r="F556" s="12">
        <v>0</v>
      </c>
    </row>
    <row r="557" spans="2:6" hidden="1" x14ac:dyDescent="0.2">
      <c r="B557" s="4">
        <v>2014</v>
      </c>
      <c r="C557" s="11" t="s">
        <v>478</v>
      </c>
      <c r="D557" s="11" t="s">
        <v>582</v>
      </c>
      <c r="E557" s="11" t="s">
        <v>588</v>
      </c>
      <c r="F557" s="12">
        <v>3</v>
      </c>
    </row>
    <row r="558" spans="2:6" hidden="1" x14ac:dyDescent="0.2">
      <c r="B558" s="4">
        <v>2014</v>
      </c>
      <c r="C558" s="11" t="s">
        <v>589</v>
      </c>
      <c r="D558" s="11" t="s">
        <v>589</v>
      </c>
      <c r="E558" s="11" t="s">
        <v>589</v>
      </c>
      <c r="F558" s="12">
        <v>112</v>
      </c>
    </row>
    <row r="559" spans="2:6" hidden="1" x14ac:dyDescent="0.2">
      <c r="B559" s="4">
        <v>2014</v>
      </c>
      <c r="C559" s="11" t="s">
        <v>589</v>
      </c>
      <c r="D559" s="11" t="s">
        <v>589</v>
      </c>
      <c r="E559" s="11" t="s">
        <v>37</v>
      </c>
      <c r="F559" s="12">
        <v>1</v>
      </c>
    </row>
    <row r="560" spans="2:6" hidden="1" x14ac:dyDescent="0.2">
      <c r="B560" s="4">
        <v>2014</v>
      </c>
      <c r="C560" s="11" t="s">
        <v>589</v>
      </c>
      <c r="D560" s="11" t="s">
        <v>589</v>
      </c>
      <c r="E560" s="11" t="s">
        <v>590</v>
      </c>
      <c r="F560" s="12">
        <v>0</v>
      </c>
    </row>
    <row r="561" spans="2:6" hidden="1" x14ac:dyDescent="0.2">
      <c r="B561" s="4">
        <v>2014</v>
      </c>
      <c r="C561" s="11" t="s">
        <v>589</v>
      </c>
      <c r="D561" s="11" t="s">
        <v>589</v>
      </c>
      <c r="E561" s="11" t="s">
        <v>591</v>
      </c>
      <c r="F561" s="12">
        <v>0</v>
      </c>
    </row>
    <row r="562" spans="2:6" hidden="1" x14ac:dyDescent="0.2">
      <c r="B562" s="4">
        <v>2014</v>
      </c>
      <c r="C562" s="11" t="s">
        <v>589</v>
      </c>
      <c r="D562" s="11" t="s">
        <v>589</v>
      </c>
      <c r="E562" s="11" t="s">
        <v>592</v>
      </c>
      <c r="F562" s="12">
        <v>0</v>
      </c>
    </row>
    <row r="563" spans="2:6" hidden="1" x14ac:dyDescent="0.2">
      <c r="B563" s="4">
        <v>2014</v>
      </c>
      <c r="C563" s="11" t="s">
        <v>589</v>
      </c>
      <c r="D563" s="11" t="s">
        <v>589</v>
      </c>
      <c r="E563" s="11" t="s">
        <v>593</v>
      </c>
      <c r="F563" s="12">
        <v>2</v>
      </c>
    </row>
    <row r="564" spans="2:6" hidden="1" x14ac:dyDescent="0.2">
      <c r="B564" s="4">
        <v>2014</v>
      </c>
      <c r="C564" s="11" t="s">
        <v>589</v>
      </c>
      <c r="D564" s="11" t="s">
        <v>589</v>
      </c>
      <c r="E564" s="11" t="s">
        <v>594</v>
      </c>
      <c r="F564" s="12">
        <v>1</v>
      </c>
    </row>
    <row r="565" spans="2:6" hidden="1" x14ac:dyDescent="0.2">
      <c r="B565" s="4">
        <v>2014</v>
      </c>
      <c r="C565" s="11" t="s">
        <v>589</v>
      </c>
      <c r="D565" s="11" t="s">
        <v>589</v>
      </c>
      <c r="E565" s="11" t="s">
        <v>595</v>
      </c>
      <c r="F565" s="12">
        <v>3</v>
      </c>
    </row>
    <row r="566" spans="2:6" hidden="1" x14ac:dyDescent="0.2">
      <c r="B566" s="4">
        <v>2014</v>
      </c>
      <c r="C566" s="11" t="s">
        <v>589</v>
      </c>
      <c r="D566" s="11" t="s">
        <v>589</v>
      </c>
      <c r="E566" s="11" t="s">
        <v>47</v>
      </c>
      <c r="F566" s="12">
        <v>0</v>
      </c>
    </row>
    <row r="567" spans="2:6" hidden="1" x14ac:dyDescent="0.2">
      <c r="B567" s="4">
        <v>2014</v>
      </c>
      <c r="C567" s="11" t="s">
        <v>589</v>
      </c>
      <c r="D567" s="11" t="s">
        <v>589</v>
      </c>
      <c r="E567" s="11" t="s">
        <v>596</v>
      </c>
      <c r="F567" s="12">
        <v>0</v>
      </c>
    </row>
    <row r="568" spans="2:6" hidden="1" x14ac:dyDescent="0.2">
      <c r="B568" s="4">
        <v>2014</v>
      </c>
      <c r="C568" s="11" t="s">
        <v>589</v>
      </c>
      <c r="D568" s="11" t="s">
        <v>589</v>
      </c>
      <c r="E568" s="11" t="s">
        <v>597</v>
      </c>
      <c r="F568" s="12">
        <v>2</v>
      </c>
    </row>
    <row r="569" spans="2:6" hidden="1" x14ac:dyDescent="0.2">
      <c r="B569" s="4">
        <v>2014</v>
      </c>
      <c r="C569" s="11" t="s">
        <v>589</v>
      </c>
      <c r="D569" s="11" t="s">
        <v>589</v>
      </c>
      <c r="E569" s="11" t="s">
        <v>278</v>
      </c>
      <c r="F569" s="12">
        <v>0</v>
      </c>
    </row>
    <row r="570" spans="2:6" hidden="1" x14ac:dyDescent="0.2">
      <c r="B570" s="4">
        <v>2014</v>
      </c>
      <c r="C570" s="11" t="s">
        <v>589</v>
      </c>
      <c r="D570" s="11" t="s">
        <v>598</v>
      </c>
      <c r="E570" s="11" t="s">
        <v>598</v>
      </c>
      <c r="F570" s="12">
        <v>5</v>
      </c>
    </row>
    <row r="571" spans="2:6" hidden="1" x14ac:dyDescent="0.2">
      <c r="B571" s="4">
        <v>2014</v>
      </c>
      <c r="C571" s="11" t="s">
        <v>589</v>
      </c>
      <c r="D571" s="11" t="s">
        <v>598</v>
      </c>
      <c r="E571" s="11" t="s">
        <v>599</v>
      </c>
      <c r="F571" s="12">
        <v>0</v>
      </c>
    </row>
    <row r="572" spans="2:6" hidden="1" x14ac:dyDescent="0.2">
      <c r="B572" s="4">
        <v>2014</v>
      </c>
      <c r="C572" s="11" t="s">
        <v>589</v>
      </c>
      <c r="D572" s="11" t="s">
        <v>598</v>
      </c>
      <c r="E572" s="11" t="s">
        <v>600</v>
      </c>
      <c r="F572" s="12">
        <v>1</v>
      </c>
    </row>
    <row r="573" spans="2:6" hidden="1" x14ac:dyDescent="0.2">
      <c r="B573" s="4">
        <v>2014</v>
      </c>
      <c r="C573" s="11" t="s">
        <v>589</v>
      </c>
      <c r="D573" s="11" t="s">
        <v>598</v>
      </c>
      <c r="E573" s="11" t="s">
        <v>601</v>
      </c>
      <c r="F573" s="12">
        <v>0</v>
      </c>
    </row>
    <row r="574" spans="2:6" hidden="1" x14ac:dyDescent="0.2">
      <c r="B574" s="4">
        <v>2014</v>
      </c>
      <c r="C574" s="11" t="s">
        <v>589</v>
      </c>
      <c r="D574" s="11" t="s">
        <v>602</v>
      </c>
      <c r="E574" s="11" t="s">
        <v>602</v>
      </c>
      <c r="F574" s="12">
        <v>7</v>
      </c>
    </row>
    <row r="575" spans="2:6" hidden="1" x14ac:dyDescent="0.2">
      <c r="B575" s="4">
        <v>2014</v>
      </c>
      <c r="C575" s="11" t="s">
        <v>589</v>
      </c>
      <c r="D575" s="11" t="s">
        <v>602</v>
      </c>
      <c r="E575" s="11" t="s">
        <v>603</v>
      </c>
      <c r="F575" s="12">
        <v>0</v>
      </c>
    </row>
    <row r="576" spans="2:6" hidden="1" x14ac:dyDescent="0.2">
      <c r="B576" s="4">
        <v>2014</v>
      </c>
      <c r="C576" s="11" t="s">
        <v>589</v>
      </c>
      <c r="D576" s="11" t="s">
        <v>602</v>
      </c>
      <c r="E576" s="11" t="s">
        <v>604</v>
      </c>
      <c r="F576" s="12">
        <v>0</v>
      </c>
    </row>
    <row r="577" spans="2:6" hidden="1" x14ac:dyDescent="0.2">
      <c r="B577" s="4">
        <v>2014</v>
      </c>
      <c r="C577" s="11" t="s">
        <v>589</v>
      </c>
      <c r="D577" s="11" t="s">
        <v>602</v>
      </c>
      <c r="E577" s="11" t="s">
        <v>605</v>
      </c>
      <c r="F577" s="12">
        <v>0</v>
      </c>
    </row>
    <row r="578" spans="2:6" hidden="1" x14ac:dyDescent="0.2">
      <c r="B578" s="4">
        <v>2014</v>
      </c>
      <c r="C578" s="11" t="s">
        <v>589</v>
      </c>
      <c r="D578" s="11" t="s">
        <v>602</v>
      </c>
      <c r="E578" s="11" t="s">
        <v>606</v>
      </c>
      <c r="F578" s="12">
        <v>0</v>
      </c>
    </row>
    <row r="579" spans="2:6" hidden="1" x14ac:dyDescent="0.2">
      <c r="B579" s="4">
        <v>2014</v>
      </c>
      <c r="C579" s="11" t="s">
        <v>589</v>
      </c>
      <c r="D579" s="11" t="s">
        <v>602</v>
      </c>
      <c r="E579" s="11" t="s">
        <v>607</v>
      </c>
      <c r="F579" s="12">
        <v>0</v>
      </c>
    </row>
    <row r="580" spans="2:6" hidden="1" x14ac:dyDescent="0.2">
      <c r="B580" s="4">
        <v>2014</v>
      </c>
      <c r="C580" s="11" t="s">
        <v>589</v>
      </c>
      <c r="D580" s="11" t="s">
        <v>602</v>
      </c>
      <c r="E580" s="11" t="s">
        <v>608</v>
      </c>
      <c r="F580" s="12">
        <v>0</v>
      </c>
    </row>
    <row r="581" spans="2:6" hidden="1" x14ac:dyDescent="0.2">
      <c r="B581" s="4">
        <v>2014</v>
      </c>
      <c r="C581" s="11" t="s">
        <v>589</v>
      </c>
      <c r="D581" s="11" t="s">
        <v>602</v>
      </c>
      <c r="E581" s="11" t="s">
        <v>609</v>
      </c>
      <c r="F581" s="12">
        <v>3</v>
      </c>
    </row>
    <row r="582" spans="2:6" hidden="1" x14ac:dyDescent="0.2">
      <c r="B582" s="4">
        <v>2014</v>
      </c>
      <c r="C582" s="11" t="s">
        <v>589</v>
      </c>
      <c r="D582" s="11" t="s">
        <v>602</v>
      </c>
      <c r="E582" s="11" t="s">
        <v>610</v>
      </c>
      <c r="F582" s="12">
        <v>0</v>
      </c>
    </row>
    <row r="583" spans="2:6" hidden="1" x14ac:dyDescent="0.2">
      <c r="B583" s="4">
        <v>2014</v>
      </c>
      <c r="C583" s="11" t="s">
        <v>589</v>
      </c>
      <c r="D583" s="11" t="s">
        <v>602</v>
      </c>
      <c r="E583" s="11" t="s">
        <v>558</v>
      </c>
      <c r="F583" s="12">
        <v>0</v>
      </c>
    </row>
    <row r="584" spans="2:6" hidden="1" x14ac:dyDescent="0.2">
      <c r="B584" s="4">
        <v>2014</v>
      </c>
      <c r="C584" s="11" t="s">
        <v>589</v>
      </c>
      <c r="D584" s="11" t="s">
        <v>602</v>
      </c>
      <c r="E584" s="11" t="s">
        <v>611</v>
      </c>
      <c r="F584" s="12">
        <v>0</v>
      </c>
    </row>
    <row r="585" spans="2:6" hidden="1" x14ac:dyDescent="0.2">
      <c r="B585" s="4">
        <v>2014</v>
      </c>
      <c r="C585" s="11" t="s">
        <v>589</v>
      </c>
      <c r="D585" s="11" t="s">
        <v>602</v>
      </c>
      <c r="E585" s="11" t="s">
        <v>612</v>
      </c>
      <c r="F585" s="12">
        <v>0</v>
      </c>
    </row>
    <row r="586" spans="2:6" hidden="1" x14ac:dyDescent="0.2">
      <c r="B586" s="4">
        <v>2014</v>
      </c>
      <c r="C586" s="11" t="s">
        <v>589</v>
      </c>
      <c r="D586" s="11" t="s">
        <v>613</v>
      </c>
      <c r="E586" s="11" t="s">
        <v>613</v>
      </c>
      <c r="F586" s="12">
        <v>9</v>
      </c>
    </row>
    <row r="587" spans="2:6" hidden="1" x14ac:dyDescent="0.2">
      <c r="B587" s="4">
        <v>2014</v>
      </c>
      <c r="C587" s="11" t="s">
        <v>589</v>
      </c>
      <c r="D587" s="11" t="s">
        <v>613</v>
      </c>
      <c r="E587" s="11" t="s">
        <v>614</v>
      </c>
      <c r="F587" s="12">
        <v>0</v>
      </c>
    </row>
    <row r="588" spans="2:6" hidden="1" x14ac:dyDescent="0.2">
      <c r="B588" s="4">
        <v>2014</v>
      </c>
      <c r="C588" s="11" t="s">
        <v>589</v>
      </c>
      <c r="D588" s="11" t="s">
        <v>613</v>
      </c>
      <c r="E588" s="11" t="s">
        <v>615</v>
      </c>
      <c r="F588" s="12">
        <v>0</v>
      </c>
    </row>
    <row r="589" spans="2:6" hidden="1" x14ac:dyDescent="0.2">
      <c r="B589" s="4">
        <v>2014</v>
      </c>
      <c r="C589" s="11" t="s">
        <v>589</v>
      </c>
      <c r="D589" s="11" t="s">
        <v>613</v>
      </c>
      <c r="E589" s="11" t="s">
        <v>616</v>
      </c>
      <c r="F589" s="12">
        <v>5</v>
      </c>
    </row>
    <row r="590" spans="2:6" hidden="1" x14ac:dyDescent="0.2">
      <c r="B590" s="4">
        <v>2014</v>
      </c>
      <c r="C590" s="11" t="s">
        <v>589</v>
      </c>
      <c r="D590" s="11" t="s">
        <v>613</v>
      </c>
      <c r="E590" s="11" t="s">
        <v>617</v>
      </c>
      <c r="F590" s="12">
        <v>0</v>
      </c>
    </row>
    <row r="591" spans="2:6" hidden="1" x14ac:dyDescent="0.2">
      <c r="B591" s="4">
        <v>2014</v>
      </c>
      <c r="C591" s="11" t="s">
        <v>589</v>
      </c>
      <c r="D591" s="11" t="s">
        <v>613</v>
      </c>
      <c r="E591" s="11" t="s">
        <v>618</v>
      </c>
      <c r="F591" s="12">
        <v>0</v>
      </c>
    </row>
    <row r="592" spans="2:6" hidden="1" x14ac:dyDescent="0.2">
      <c r="B592" s="4">
        <v>2014</v>
      </c>
      <c r="C592" s="11" t="s">
        <v>589</v>
      </c>
      <c r="D592" s="11" t="s">
        <v>613</v>
      </c>
      <c r="E592" s="11" t="s">
        <v>126</v>
      </c>
      <c r="F592" s="12">
        <v>6</v>
      </c>
    </row>
    <row r="593" spans="2:6" hidden="1" x14ac:dyDescent="0.2">
      <c r="B593" s="4">
        <v>2014</v>
      </c>
      <c r="C593" s="11" t="s">
        <v>589</v>
      </c>
      <c r="D593" s="11" t="s">
        <v>613</v>
      </c>
      <c r="E593" s="11" t="s">
        <v>619</v>
      </c>
      <c r="F593" s="12">
        <v>0</v>
      </c>
    </row>
    <row r="594" spans="2:6" hidden="1" x14ac:dyDescent="0.2">
      <c r="B594" s="4">
        <v>2014</v>
      </c>
      <c r="C594" s="11" t="s">
        <v>589</v>
      </c>
      <c r="D594" s="11" t="s">
        <v>613</v>
      </c>
      <c r="E594" s="11" t="s">
        <v>620</v>
      </c>
      <c r="F594" s="12">
        <v>0</v>
      </c>
    </row>
    <row r="595" spans="2:6" hidden="1" x14ac:dyDescent="0.2">
      <c r="B595" s="4">
        <v>2014</v>
      </c>
      <c r="C595" s="11" t="s">
        <v>589</v>
      </c>
      <c r="D595" s="11" t="s">
        <v>613</v>
      </c>
      <c r="E595" s="11" t="s">
        <v>621</v>
      </c>
      <c r="F595" s="12">
        <v>1</v>
      </c>
    </row>
    <row r="596" spans="2:6" hidden="1" x14ac:dyDescent="0.2">
      <c r="B596" s="4">
        <v>2014</v>
      </c>
      <c r="C596" s="11" t="s">
        <v>589</v>
      </c>
      <c r="D596" s="11" t="s">
        <v>613</v>
      </c>
      <c r="E596" s="11" t="s">
        <v>225</v>
      </c>
      <c r="F596" s="12">
        <v>0</v>
      </c>
    </row>
    <row r="597" spans="2:6" hidden="1" x14ac:dyDescent="0.2">
      <c r="B597" s="4">
        <v>2014</v>
      </c>
      <c r="C597" s="11" t="s">
        <v>589</v>
      </c>
      <c r="D597" s="11" t="s">
        <v>613</v>
      </c>
      <c r="E597" s="11" t="s">
        <v>622</v>
      </c>
      <c r="F597" s="12">
        <v>0</v>
      </c>
    </row>
    <row r="598" spans="2:6" hidden="1" x14ac:dyDescent="0.2">
      <c r="B598" s="4">
        <v>2014</v>
      </c>
      <c r="C598" s="11" t="s">
        <v>589</v>
      </c>
      <c r="D598" s="11" t="s">
        <v>613</v>
      </c>
      <c r="E598" s="11" t="s">
        <v>623</v>
      </c>
      <c r="F598" s="12">
        <v>0</v>
      </c>
    </row>
    <row r="599" spans="2:6" hidden="1" x14ac:dyDescent="0.2">
      <c r="B599" s="4">
        <v>2014</v>
      </c>
      <c r="C599" s="11" t="s">
        <v>589</v>
      </c>
      <c r="D599" s="11" t="s">
        <v>613</v>
      </c>
      <c r="E599" s="11" t="s">
        <v>624</v>
      </c>
      <c r="F599" s="12">
        <v>3</v>
      </c>
    </row>
    <row r="600" spans="2:6" hidden="1" x14ac:dyDescent="0.2">
      <c r="B600" s="4">
        <v>2014</v>
      </c>
      <c r="C600" s="11" t="s">
        <v>589</v>
      </c>
      <c r="D600" s="11" t="s">
        <v>613</v>
      </c>
      <c r="E600" s="11" t="s">
        <v>625</v>
      </c>
      <c r="F600" s="12">
        <v>2</v>
      </c>
    </row>
    <row r="601" spans="2:6" hidden="1" x14ac:dyDescent="0.2">
      <c r="B601" s="4">
        <v>2014</v>
      </c>
      <c r="C601" s="11" t="s">
        <v>589</v>
      </c>
      <c r="D601" s="11" t="s">
        <v>613</v>
      </c>
      <c r="E601" s="11" t="s">
        <v>626</v>
      </c>
      <c r="F601" s="12">
        <v>0</v>
      </c>
    </row>
    <row r="602" spans="2:6" hidden="1" x14ac:dyDescent="0.2">
      <c r="B602" s="4">
        <v>2014</v>
      </c>
      <c r="C602" s="11" t="s">
        <v>589</v>
      </c>
      <c r="D602" s="11" t="s">
        <v>613</v>
      </c>
      <c r="E602" s="11" t="s">
        <v>627</v>
      </c>
      <c r="F602" s="12">
        <v>2</v>
      </c>
    </row>
    <row r="603" spans="2:6" hidden="1" x14ac:dyDescent="0.2">
      <c r="B603" s="4">
        <v>2014</v>
      </c>
      <c r="C603" s="11" t="s">
        <v>589</v>
      </c>
      <c r="D603" s="11" t="s">
        <v>613</v>
      </c>
      <c r="E603" s="11" t="s">
        <v>628</v>
      </c>
      <c r="F603" s="12">
        <v>0</v>
      </c>
    </row>
    <row r="604" spans="2:6" hidden="1" x14ac:dyDescent="0.2">
      <c r="B604" s="4">
        <v>2014</v>
      </c>
      <c r="C604" s="11" t="s">
        <v>589</v>
      </c>
      <c r="D604" s="11" t="s">
        <v>613</v>
      </c>
      <c r="E604" s="11" t="s">
        <v>629</v>
      </c>
      <c r="F604" s="12">
        <v>0</v>
      </c>
    </row>
    <row r="605" spans="2:6" hidden="1" x14ac:dyDescent="0.2">
      <c r="B605" s="4">
        <v>2014</v>
      </c>
      <c r="C605" s="11" t="s">
        <v>589</v>
      </c>
      <c r="D605" s="11" t="s">
        <v>630</v>
      </c>
      <c r="E605" s="11" t="s">
        <v>630</v>
      </c>
      <c r="F605" s="12">
        <v>0</v>
      </c>
    </row>
    <row r="606" spans="2:6" hidden="1" x14ac:dyDescent="0.2">
      <c r="B606" s="4">
        <v>2014</v>
      </c>
      <c r="C606" s="11" t="s">
        <v>589</v>
      </c>
      <c r="D606" s="11" t="s">
        <v>630</v>
      </c>
      <c r="E606" s="11" t="s">
        <v>631</v>
      </c>
      <c r="F606" s="12">
        <v>1</v>
      </c>
    </row>
    <row r="607" spans="2:6" hidden="1" x14ac:dyDescent="0.2">
      <c r="B607" s="4">
        <v>2014</v>
      </c>
      <c r="C607" s="11" t="s">
        <v>589</v>
      </c>
      <c r="D607" s="11" t="s">
        <v>630</v>
      </c>
      <c r="E607" s="11" t="s">
        <v>632</v>
      </c>
      <c r="F607" s="12">
        <v>0</v>
      </c>
    </row>
    <row r="608" spans="2:6" hidden="1" x14ac:dyDescent="0.2">
      <c r="B608" s="4">
        <v>2014</v>
      </c>
      <c r="C608" s="11" t="s">
        <v>589</v>
      </c>
      <c r="D608" s="11" t="s">
        <v>630</v>
      </c>
      <c r="E608" s="11" t="s">
        <v>633</v>
      </c>
      <c r="F608" s="12">
        <v>0</v>
      </c>
    </row>
    <row r="609" spans="2:6" hidden="1" x14ac:dyDescent="0.2">
      <c r="B609" s="4">
        <v>2014</v>
      </c>
      <c r="C609" s="11" t="s">
        <v>589</v>
      </c>
      <c r="D609" s="11" t="s">
        <v>630</v>
      </c>
      <c r="E609" s="11" t="s">
        <v>634</v>
      </c>
      <c r="F609" s="12">
        <v>0</v>
      </c>
    </row>
    <row r="610" spans="2:6" hidden="1" x14ac:dyDescent="0.2">
      <c r="B610" s="4">
        <v>2014</v>
      </c>
      <c r="C610" s="11" t="s">
        <v>589</v>
      </c>
      <c r="D610" s="11" t="s">
        <v>630</v>
      </c>
      <c r="E610" s="11" t="s">
        <v>635</v>
      </c>
      <c r="F610" s="12">
        <v>0</v>
      </c>
    </row>
    <row r="611" spans="2:6" hidden="1" x14ac:dyDescent="0.2">
      <c r="B611" s="4">
        <v>2014</v>
      </c>
      <c r="C611" s="11" t="s">
        <v>589</v>
      </c>
      <c r="D611" s="11" t="s">
        <v>630</v>
      </c>
      <c r="E611" s="11" t="s">
        <v>636</v>
      </c>
      <c r="F611" s="12">
        <v>0</v>
      </c>
    </row>
    <row r="612" spans="2:6" hidden="1" x14ac:dyDescent="0.2">
      <c r="B612" s="4">
        <v>2014</v>
      </c>
      <c r="C612" s="11" t="s">
        <v>589</v>
      </c>
      <c r="D612" s="11" t="s">
        <v>630</v>
      </c>
      <c r="E612" s="11" t="s">
        <v>637</v>
      </c>
      <c r="F612" s="12">
        <v>2</v>
      </c>
    </row>
    <row r="613" spans="2:6" hidden="1" x14ac:dyDescent="0.2">
      <c r="B613" s="4">
        <v>2014</v>
      </c>
      <c r="C613" s="11" t="s">
        <v>589</v>
      </c>
      <c r="D613" s="11" t="s">
        <v>638</v>
      </c>
      <c r="E613" s="11" t="s">
        <v>638</v>
      </c>
      <c r="F613" s="12">
        <v>8</v>
      </c>
    </row>
    <row r="614" spans="2:6" hidden="1" x14ac:dyDescent="0.2">
      <c r="B614" s="4">
        <v>2014</v>
      </c>
      <c r="C614" s="11" t="s">
        <v>589</v>
      </c>
      <c r="D614" s="11" t="s">
        <v>638</v>
      </c>
      <c r="E614" s="11" t="s">
        <v>639</v>
      </c>
      <c r="F614" s="12">
        <v>0</v>
      </c>
    </row>
    <row r="615" spans="2:6" hidden="1" x14ac:dyDescent="0.2">
      <c r="B615" s="4">
        <v>2014</v>
      </c>
      <c r="C615" s="11" t="s">
        <v>589</v>
      </c>
      <c r="D615" s="11" t="s">
        <v>638</v>
      </c>
      <c r="E615" s="11" t="s">
        <v>640</v>
      </c>
      <c r="F615" s="12">
        <v>0</v>
      </c>
    </row>
    <row r="616" spans="2:6" hidden="1" x14ac:dyDescent="0.2">
      <c r="B616" s="4">
        <v>2014</v>
      </c>
      <c r="C616" s="11" t="s">
        <v>589</v>
      </c>
      <c r="D616" s="11" t="s">
        <v>638</v>
      </c>
      <c r="E616" s="11" t="s">
        <v>641</v>
      </c>
      <c r="F616" s="12">
        <v>0</v>
      </c>
    </row>
    <row r="617" spans="2:6" hidden="1" x14ac:dyDescent="0.2">
      <c r="B617" s="4">
        <v>2014</v>
      </c>
      <c r="C617" s="11" t="s">
        <v>589</v>
      </c>
      <c r="D617" s="11" t="s">
        <v>638</v>
      </c>
      <c r="E617" s="11" t="s">
        <v>642</v>
      </c>
      <c r="F617" s="12">
        <v>0</v>
      </c>
    </row>
    <row r="618" spans="2:6" hidden="1" x14ac:dyDescent="0.2">
      <c r="B618" s="4">
        <v>2014</v>
      </c>
      <c r="C618" s="11" t="s">
        <v>589</v>
      </c>
      <c r="D618" s="11" t="s">
        <v>638</v>
      </c>
      <c r="E618" s="11" t="s">
        <v>643</v>
      </c>
      <c r="F618" s="12">
        <v>1</v>
      </c>
    </row>
    <row r="619" spans="2:6" hidden="1" x14ac:dyDescent="0.2">
      <c r="B619" s="4">
        <v>2014</v>
      </c>
      <c r="C619" s="11" t="s">
        <v>589</v>
      </c>
      <c r="D619" s="11" t="s">
        <v>638</v>
      </c>
      <c r="E619" s="11" t="s">
        <v>644</v>
      </c>
      <c r="F619" s="12">
        <v>0</v>
      </c>
    </row>
    <row r="620" spans="2:6" hidden="1" x14ac:dyDescent="0.2">
      <c r="B620" s="4">
        <v>2014</v>
      </c>
      <c r="C620" s="11" t="s">
        <v>589</v>
      </c>
      <c r="D620" s="11" t="s">
        <v>638</v>
      </c>
      <c r="E620" s="11" t="s">
        <v>645</v>
      </c>
      <c r="F620" s="12">
        <v>0</v>
      </c>
    </row>
    <row r="621" spans="2:6" hidden="1" x14ac:dyDescent="0.2">
      <c r="B621" s="4">
        <v>2014</v>
      </c>
      <c r="C621" s="11" t="s">
        <v>589</v>
      </c>
      <c r="D621" s="11" t="s">
        <v>638</v>
      </c>
      <c r="E621" s="11" t="s">
        <v>646</v>
      </c>
      <c r="F621" s="12">
        <v>0</v>
      </c>
    </row>
    <row r="622" spans="2:6" hidden="1" x14ac:dyDescent="0.2">
      <c r="B622" s="4">
        <v>2014</v>
      </c>
      <c r="C622" s="11" t="s">
        <v>589</v>
      </c>
      <c r="D622" s="11" t="s">
        <v>638</v>
      </c>
      <c r="E622" s="11" t="s">
        <v>647</v>
      </c>
      <c r="F622" s="12">
        <v>0</v>
      </c>
    </row>
    <row r="623" spans="2:6" hidden="1" x14ac:dyDescent="0.2">
      <c r="B623" s="4">
        <v>2014</v>
      </c>
      <c r="C623" s="11" t="s">
        <v>589</v>
      </c>
      <c r="D623" s="11" t="s">
        <v>638</v>
      </c>
      <c r="E623" s="11" t="s">
        <v>217</v>
      </c>
      <c r="F623" s="12">
        <v>0</v>
      </c>
    </row>
    <row r="624" spans="2:6" hidden="1" x14ac:dyDescent="0.2">
      <c r="B624" s="4">
        <v>2014</v>
      </c>
      <c r="C624" s="11" t="s">
        <v>589</v>
      </c>
      <c r="D624" s="11" t="s">
        <v>638</v>
      </c>
      <c r="E624" s="11" t="s">
        <v>648</v>
      </c>
      <c r="F624" s="12">
        <v>0</v>
      </c>
    </row>
    <row r="625" spans="2:6" hidden="1" x14ac:dyDescent="0.2">
      <c r="B625" s="4">
        <v>2014</v>
      </c>
      <c r="C625" s="11" t="s">
        <v>589</v>
      </c>
      <c r="D625" s="11" t="s">
        <v>638</v>
      </c>
      <c r="E625" s="11" t="s">
        <v>100</v>
      </c>
      <c r="F625" s="12">
        <v>0</v>
      </c>
    </row>
    <row r="626" spans="2:6" hidden="1" x14ac:dyDescent="0.2">
      <c r="B626" s="4">
        <v>2014</v>
      </c>
      <c r="C626" s="11" t="s">
        <v>589</v>
      </c>
      <c r="D626" s="11" t="s">
        <v>638</v>
      </c>
      <c r="E626" s="11" t="s">
        <v>649</v>
      </c>
      <c r="F626" s="12">
        <v>3</v>
      </c>
    </row>
    <row r="627" spans="2:6" hidden="1" x14ac:dyDescent="0.2">
      <c r="B627" s="4">
        <v>2014</v>
      </c>
      <c r="C627" s="11" t="s">
        <v>589</v>
      </c>
      <c r="D627" s="11" t="s">
        <v>638</v>
      </c>
      <c r="E627" s="11" t="s">
        <v>650</v>
      </c>
      <c r="F627" s="12">
        <v>0</v>
      </c>
    </row>
    <row r="628" spans="2:6" hidden="1" x14ac:dyDescent="0.2">
      <c r="B628" s="4">
        <v>2014</v>
      </c>
      <c r="C628" s="11" t="s">
        <v>589</v>
      </c>
      <c r="D628" s="11" t="s">
        <v>651</v>
      </c>
      <c r="E628" s="11" t="s">
        <v>652</v>
      </c>
      <c r="F628" s="12">
        <v>3</v>
      </c>
    </row>
    <row r="629" spans="2:6" hidden="1" x14ac:dyDescent="0.2">
      <c r="B629" s="4">
        <v>2014</v>
      </c>
      <c r="C629" s="11" t="s">
        <v>589</v>
      </c>
      <c r="D629" s="11" t="s">
        <v>651</v>
      </c>
      <c r="E629" s="11" t="s">
        <v>653</v>
      </c>
      <c r="F629" s="12">
        <v>0</v>
      </c>
    </row>
    <row r="630" spans="2:6" hidden="1" x14ac:dyDescent="0.2">
      <c r="B630" s="4">
        <v>2014</v>
      </c>
      <c r="C630" s="11" t="s">
        <v>589</v>
      </c>
      <c r="D630" s="11" t="s">
        <v>651</v>
      </c>
      <c r="E630" s="11" t="s">
        <v>651</v>
      </c>
      <c r="F630" s="12">
        <v>2</v>
      </c>
    </row>
    <row r="631" spans="2:6" hidden="1" x14ac:dyDescent="0.2">
      <c r="B631" s="4">
        <v>2014</v>
      </c>
      <c r="C631" s="11" t="s">
        <v>589</v>
      </c>
      <c r="D631" s="11" t="s">
        <v>654</v>
      </c>
      <c r="E631" s="11" t="s">
        <v>654</v>
      </c>
      <c r="F631" s="12">
        <v>33</v>
      </c>
    </row>
    <row r="632" spans="2:6" hidden="1" x14ac:dyDescent="0.2">
      <c r="B632" s="4">
        <v>2014</v>
      </c>
      <c r="C632" s="11" t="s">
        <v>589</v>
      </c>
      <c r="D632" s="11" t="s">
        <v>654</v>
      </c>
      <c r="E632" s="11" t="s">
        <v>655</v>
      </c>
      <c r="F632" s="12">
        <v>1</v>
      </c>
    </row>
    <row r="633" spans="2:6" hidden="1" x14ac:dyDescent="0.2">
      <c r="B633" s="4">
        <v>2014</v>
      </c>
      <c r="C633" s="11" t="s">
        <v>589</v>
      </c>
      <c r="D633" s="11" t="s">
        <v>654</v>
      </c>
      <c r="E633" s="11" t="s">
        <v>656</v>
      </c>
      <c r="F633" s="12">
        <v>0</v>
      </c>
    </row>
    <row r="634" spans="2:6" hidden="1" x14ac:dyDescent="0.2">
      <c r="B634" s="4">
        <v>2014</v>
      </c>
      <c r="C634" s="11" t="s">
        <v>589</v>
      </c>
      <c r="D634" s="11" t="s">
        <v>654</v>
      </c>
      <c r="E634" s="11" t="s">
        <v>657</v>
      </c>
      <c r="F634" s="12">
        <v>1</v>
      </c>
    </row>
    <row r="635" spans="2:6" hidden="1" x14ac:dyDescent="0.2">
      <c r="B635" s="4">
        <v>2014</v>
      </c>
      <c r="C635" s="11" t="s">
        <v>589</v>
      </c>
      <c r="D635" s="11" t="s">
        <v>654</v>
      </c>
      <c r="E635" s="11" t="s">
        <v>658</v>
      </c>
      <c r="F635" s="12">
        <v>2</v>
      </c>
    </row>
    <row r="636" spans="2:6" hidden="1" x14ac:dyDescent="0.2">
      <c r="B636" s="4">
        <v>2014</v>
      </c>
      <c r="C636" s="11" t="s">
        <v>589</v>
      </c>
      <c r="D636" s="11" t="s">
        <v>654</v>
      </c>
      <c r="E636" s="11" t="s">
        <v>659</v>
      </c>
      <c r="F636" s="12">
        <v>0</v>
      </c>
    </row>
    <row r="637" spans="2:6" hidden="1" x14ac:dyDescent="0.2">
      <c r="B637" s="4">
        <v>2014</v>
      </c>
      <c r="C637" s="11" t="s">
        <v>589</v>
      </c>
      <c r="D637" s="11" t="s">
        <v>654</v>
      </c>
      <c r="E637" s="11" t="s">
        <v>660</v>
      </c>
      <c r="F637" s="12">
        <v>2</v>
      </c>
    </row>
    <row r="638" spans="2:6" hidden="1" x14ac:dyDescent="0.2">
      <c r="B638" s="4">
        <v>2014</v>
      </c>
      <c r="C638" s="11" t="s">
        <v>589</v>
      </c>
      <c r="D638" s="11" t="s">
        <v>654</v>
      </c>
      <c r="E638" s="11" t="s">
        <v>661</v>
      </c>
      <c r="F638" s="12">
        <v>3</v>
      </c>
    </row>
    <row r="639" spans="2:6" hidden="1" x14ac:dyDescent="0.2">
      <c r="B639" s="4">
        <v>2014</v>
      </c>
      <c r="C639" s="11" t="s">
        <v>589</v>
      </c>
      <c r="D639" s="11" t="s">
        <v>654</v>
      </c>
      <c r="E639" s="11" t="s">
        <v>662</v>
      </c>
      <c r="F639" s="12">
        <v>0</v>
      </c>
    </row>
    <row r="640" spans="2:6" hidden="1" x14ac:dyDescent="0.2">
      <c r="B640" s="4">
        <v>2014</v>
      </c>
      <c r="C640" s="11" t="s">
        <v>589</v>
      </c>
      <c r="D640" s="11" t="s">
        <v>654</v>
      </c>
      <c r="E640" s="11" t="s">
        <v>663</v>
      </c>
      <c r="F640" s="12">
        <v>0</v>
      </c>
    </row>
    <row r="641" spans="2:6" hidden="1" x14ac:dyDescent="0.2">
      <c r="B641" s="4">
        <v>2014</v>
      </c>
      <c r="C641" s="11" t="s">
        <v>589</v>
      </c>
      <c r="D641" s="11" t="s">
        <v>654</v>
      </c>
      <c r="E641" s="11" t="s">
        <v>664</v>
      </c>
      <c r="F641" s="12">
        <v>0</v>
      </c>
    </row>
    <row r="642" spans="2:6" hidden="1" x14ac:dyDescent="0.2">
      <c r="B642" s="4">
        <v>2014</v>
      </c>
      <c r="C642" s="11" t="s">
        <v>589</v>
      </c>
      <c r="D642" s="11" t="s">
        <v>654</v>
      </c>
      <c r="E642" s="11" t="s">
        <v>113</v>
      </c>
      <c r="F642" s="12">
        <v>0</v>
      </c>
    </row>
    <row r="643" spans="2:6" hidden="1" x14ac:dyDescent="0.2">
      <c r="B643" s="4">
        <v>2014</v>
      </c>
      <c r="C643" s="11" t="s">
        <v>589</v>
      </c>
      <c r="D643" s="11" t="s">
        <v>665</v>
      </c>
      <c r="E643" s="11" t="s">
        <v>665</v>
      </c>
      <c r="F643" s="12">
        <v>8</v>
      </c>
    </row>
    <row r="644" spans="2:6" hidden="1" x14ac:dyDescent="0.2">
      <c r="B644" s="4">
        <v>2014</v>
      </c>
      <c r="C644" s="11" t="s">
        <v>589</v>
      </c>
      <c r="D644" s="11" t="s">
        <v>665</v>
      </c>
      <c r="E644" s="11" t="s">
        <v>666</v>
      </c>
      <c r="F644" s="12">
        <v>0</v>
      </c>
    </row>
    <row r="645" spans="2:6" hidden="1" x14ac:dyDescent="0.2">
      <c r="B645" s="4">
        <v>2014</v>
      </c>
      <c r="C645" s="11" t="s">
        <v>589</v>
      </c>
      <c r="D645" s="11" t="s">
        <v>665</v>
      </c>
      <c r="E645" s="11" t="s">
        <v>667</v>
      </c>
      <c r="F645" s="12">
        <v>12</v>
      </c>
    </row>
    <row r="646" spans="2:6" hidden="1" x14ac:dyDescent="0.2">
      <c r="B646" s="4">
        <v>2014</v>
      </c>
      <c r="C646" s="11" t="s">
        <v>589</v>
      </c>
      <c r="D646" s="11" t="s">
        <v>665</v>
      </c>
      <c r="E646" s="11" t="s">
        <v>668</v>
      </c>
      <c r="F646" s="12">
        <v>1</v>
      </c>
    </row>
    <row r="647" spans="2:6" hidden="1" x14ac:dyDescent="0.2">
      <c r="B647" s="4">
        <v>2014</v>
      </c>
      <c r="C647" s="11" t="s">
        <v>589</v>
      </c>
      <c r="D647" s="11" t="s">
        <v>665</v>
      </c>
      <c r="E647" s="11" t="s">
        <v>669</v>
      </c>
      <c r="F647" s="12">
        <v>0</v>
      </c>
    </row>
    <row r="648" spans="2:6" hidden="1" x14ac:dyDescent="0.2">
      <c r="B648" s="4">
        <v>2014</v>
      </c>
      <c r="C648" s="11" t="s">
        <v>589</v>
      </c>
      <c r="D648" s="11" t="s">
        <v>665</v>
      </c>
      <c r="E648" s="11" t="s">
        <v>670</v>
      </c>
      <c r="F648" s="12">
        <v>2</v>
      </c>
    </row>
    <row r="649" spans="2:6" hidden="1" x14ac:dyDescent="0.2">
      <c r="B649" s="4">
        <v>2014</v>
      </c>
      <c r="C649" s="11" t="s">
        <v>589</v>
      </c>
      <c r="D649" s="11" t="s">
        <v>665</v>
      </c>
      <c r="E649" s="11" t="s">
        <v>671</v>
      </c>
      <c r="F649" s="12">
        <v>0</v>
      </c>
    </row>
    <row r="650" spans="2:6" hidden="1" x14ac:dyDescent="0.2">
      <c r="B650" s="4">
        <v>2014</v>
      </c>
      <c r="C650" s="11" t="s">
        <v>589</v>
      </c>
      <c r="D650" s="11" t="s">
        <v>203</v>
      </c>
      <c r="E650" s="11" t="s">
        <v>672</v>
      </c>
      <c r="F650" s="12">
        <v>4</v>
      </c>
    </row>
    <row r="651" spans="2:6" hidden="1" x14ac:dyDescent="0.2">
      <c r="B651" s="4">
        <v>2014</v>
      </c>
      <c r="C651" s="11" t="s">
        <v>589</v>
      </c>
      <c r="D651" s="11" t="s">
        <v>203</v>
      </c>
      <c r="E651" s="11" t="s">
        <v>673</v>
      </c>
      <c r="F651" s="12">
        <v>0</v>
      </c>
    </row>
    <row r="652" spans="2:6" hidden="1" x14ac:dyDescent="0.2">
      <c r="B652" s="4">
        <v>2014</v>
      </c>
      <c r="C652" s="11" t="s">
        <v>589</v>
      </c>
      <c r="D652" s="11" t="s">
        <v>203</v>
      </c>
      <c r="E652" s="11" t="s">
        <v>674</v>
      </c>
      <c r="F652" s="12">
        <v>0</v>
      </c>
    </row>
    <row r="653" spans="2:6" hidden="1" x14ac:dyDescent="0.2">
      <c r="B653" s="4">
        <v>2014</v>
      </c>
      <c r="C653" s="11" t="s">
        <v>589</v>
      </c>
      <c r="D653" s="11" t="s">
        <v>203</v>
      </c>
      <c r="E653" s="11" t="s">
        <v>675</v>
      </c>
      <c r="F653" s="12">
        <v>0</v>
      </c>
    </row>
    <row r="654" spans="2:6" hidden="1" x14ac:dyDescent="0.2">
      <c r="B654" s="4">
        <v>2014</v>
      </c>
      <c r="C654" s="11" t="s">
        <v>589</v>
      </c>
      <c r="D654" s="11" t="s">
        <v>203</v>
      </c>
      <c r="E654" s="11" t="s">
        <v>676</v>
      </c>
      <c r="F654" s="12">
        <v>0</v>
      </c>
    </row>
    <row r="655" spans="2:6" hidden="1" x14ac:dyDescent="0.2">
      <c r="B655" s="4">
        <v>2014</v>
      </c>
      <c r="C655" s="11" t="s">
        <v>589</v>
      </c>
      <c r="D655" s="11" t="s">
        <v>203</v>
      </c>
      <c r="E655" s="11" t="s">
        <v>677</v>
      </c>
      <c r="F655" s="12">
        <v>0</v>
      </c>
    </row>
    <row r="656" spans="2:6" hidden="1" x14ac:dyDescent="0.2">
      <c r="B656" s="4">
        <v>2014</v>
      </c>
      <c r="C656" s="11" t="s">
        <v>589</v>
      </c>
      <c r="D656" s="11" t="s">
        <v>203</v>
      </c>
      <c r="E656" s="11" t="s">
        <v>678</v>
      </c>
      <c r="F656" s="12">
        <v>0</v>
      </c>
    </row>
    <row r="657" spans="2:6" hidden="1" x14ac:dyDescent="0.2">
      <c r="B657" s="4">
        <v>2014</v>
      </c>
      <c r="C657" s="11" t="s">
        <v>589</v>
      </c>
      <c r="D657" s="11" t="s">
        <v>513</v>
      </c>
      <c r="E657" s="11" t="s">
        <v>513</v>
      </c>
      <c r="F657" s="12">
        <v>1</v>
      </c>
    </row>
    <row r="658" spans="2:6" hidden="1" x14ac:dyDescent="0.2">
      <c r="B658" s="4">
        <v>2014</v>
      </c>
      <c r="C658" s="11" t="s">
        <v>589</v>
      </c>
      <c r="D658" s="11" t="s">
        <v>513</v>
      </c>
      <c r="E658" s="11" t="s">
        <v>679</v>
      </c>
      <c r="F658" s="12">
        <v>0</v>
      </c>
    </row>
    <row r="659" spans="2:6" hidden="1" x14ac:dyDescent="0.2">
      <c r="B659" s="4">
        <v>2014</v>
      </c>
      <c r="C659" s="11" t="s">
        <v>589</v>
      </c>
      <c r="D659" s="11" t="s">
        <v>513</v>
      </c>
      <c r="E659" s="11" t="s">
        <v>680</v>
      </c>
      <c r="F659" s="12">
        <v>0</v>
      </c>
    </row>
    <row r="660" spans="2:6" hidden="1" x14ac:dyDescent="0.2">
      <c r="B660" s="4">
        <v>2014</v>
      </c>
      <c r="C660" s="11" t="s">
        <v>589</v>
      </c>
      <c r="D660" s="11" t="s">
        <v>513</v>
      </c>
      <c r="E660" s="11" t="s">
        <v>681</v>
      </c>
      <c r="F660" s="12">
        <v>0</v>
      </c>
    </row>
    <row r="661" spans="2:6" hidden="1" x14ac:dyDescent="0.2">
      <c r="B661" s="4">
        <v>2014</v>
      </c>
      <c r="C661" s="11" t="s">
        <v>589</v>
      </c>
      <c r="D661" s="11" t="s">
        <v>513</v>
      </c>
      <c r="E661" s="11" t="s">
        <v>682</v>
      </c>
      <c r="F661" s="12">
        <v>0</v>
      </c>
    </row>
    <row r="662" spans="2:6" hidden="1" x14ac:dyDescent="0.2">
      <c r="B662" s="4">
        <v>2014</v>
      </c>
      <c r="C662" s="11" t="s">
        <v>589</v>
      </c>
      <c r="D662" s="11" t="s">
        <v>513</v>
      </c>
      <c r="E662" s="11" t="s">
        <v>683</v>
      </c>
      <c r="F662" s="12">
        <v>0</v>
      </c>
    </row>
    <row r="663" spans="2:6" hidden="1" x14ac:dyDescent="0.2">
      <c r="B663" s="4">
        <v>2014</v>
      </c>
      <c r="C663" s="11" t="s">
        <v>589</v>
      </c>
      <c r="D663" s="11" t="s">
        <v>513</v>
      </c>
      <c r="E663" s="11" t="s">
        <v>684</v>
      </c>
      <c r="F663" s="12">
        <v>0</v>
      </c>
    </row>
    <row r="664" spans="2:6" hidden="1" x14ac:dyDescent="0.2">
      <c r="B664" s="4">
        <v>2014</v>
      </c>
      <c r="C664" s="11" t="s">
        <v>589</v>
      </c>
      <c r="D664" s="11" t="s">
        <v>513</v>
      </c>
      <c r="E664" s="11" t="s">
        <v>685</v>
      </c>
      <c r="F664" s="12">
        <v>0</v>
      </c>
    </row>
    <row r="665" spans="2:6" hidden="1" x14ac:dyDescent="0.2">
      <c r="B665" s="4">
        <v>2014</v>
      </c>
      <c r="C665" s="11" t="s">
        <v>589</v>
      </c>
      <c r="D665" s="11" t="s">
        <v>513</v>
      </c>
      <c r="E665" s="11" t="s">
        <v>686</v>
      </c>
      <c r="F665" s="12">
        <v>0</v>
      </c>
    </row>
    <row r="666" spans="2:6" hidden="1" x14ac:dyDescent="0.2">
      <c r="B666" s="4">
        <v>2014</v>
      </c>
      <c r="C666" s="11" t="s">
        <v>589</v>
      </c>
      <c r="D666" s="11" t="s">
        <v>513</v>
      </c>
      <c r="E666" s="11" t="s">
        <v>687</v>
      </c>
      <c r="F666" s="12">
        <v>0</v>
      </c>
    </row>
    <row r="667" spans="2:6" hidden="1" x14ac:dyDescent="0.2">
      <c r="B667" s="4">
        <v>2014</v>
      </c>
      <c r="C667" s="11" t="s">
        <v>589</v>
      </c>
      <c r="D667" s="11" t="s">
        <v>513</v>
      </c>
      <c r="E667" s="11" t="s">
        <v>688</v>
      </c>
      <c r="F667" s="12">
        <v>0</v>
      </c>
    </row>
    <row r="668" spans="2:6" hidden="1" x14ac:dyDescent="0.2">
      <c r="B668" s="4">
        <v>2014</v>
      </c>
      <c r="C668" s="11" t="s">
        <v>589</v>
      </c>
      <c r="D668" s="11" t="s">
        <v>513</v>
      </c>
      <c r="E668" s="11" t="s">
        <v>689</v>
      </c>
      <c r="F668" s="12">
        <v>0</v>
      </c>
    </row>
    <row r="669" spans="2:6" hidden="1" x14ac:dyDescent="0.2">
      <c r="B669" s="4">
        <v>2014</v>
      </c>
      <c r="C669" s="11" t="s">
        <v>589</v>
      </c>
      <c r="D669" s="11" t="s">
        <v>513</v>
      </c>
      <c r="E669" s="11" t="s">
        <v>690</v>
      </c>
      <c r="F669" s="12">
        <v>0</v>
      </c>
    </row>
    <row r="670" spans="2:6" hidden="1" x14ac:dyDescent="0.2">
      <c r="B670" s="4">
        <v>2014</v>
      </c>
      <c r="C670" s="11" t="s">
        <v>589</v>
      </c>
      <c r="D670" s="11" t="s">
        <v>691</v>
      </c>
      <c r="E670" s="11" t="s">
        <v>691</v>
      </c>
      <c r="F670" s="12">
        <v>1</v>
      </c>
    </row>
    <row r="671" spans="2:6" hidden="1" x14ac:dyDescent="0.2">
      <c r="B671" s="4">
        <v>2014</v>
      </c>
      <c r="C671" s="11" t="s">
        <v>589</v>
      </c>
      <c r="D671" s="11" t="s">
        <v>691</v>
      </c>
      <c r="E671" s="11" t="s">
        <v>692</v>
      </c>
      <c r="F671" s="12">
        <v>0</v>
      </c>
    </row>
    <row r="672" spans="2:6" hidden="1" x14ac:dyDescent="0.2">
      <c r="B672" s="4">
        <v>2014</v>
      </c>
      <c r="C672" s="11" t="s">
        <v>589</v>
      </c>
      <c r="D672" s="11" t="s">
        <v>691</v>
      </c>
      <c r="E672" s="11" t="s">
        <v>177</v>
      </c>
      <c r="F672" s="12">
        <v>0</v>
      </c>
    </row>
    <row r="673" spans="2:6" hidden="1" x14ac:dyDescent="0.2">
      <c r="B673" s="4">
        <v>2014</v>
      </c>
      <c r="C673" s="11" t="s">
        <v>589</v>
      </c>
      <c r="D673" s="11" t="s">
        <v>691</v>
      </c>
      <c r="E673" s="11" t="s">
        <v>693</v>
      </c>
      <c r="F673" s="12">
        <v>0</v>
      </c>
    </row>
    <row r="674" spans="2:6" hidden="1" x14ac:dyDescent="0.2">
      <c r="B674" s="4">
        <v>2014</v>
      </c>
      <c r="C674" s="11" t="s">
        <v>589</v>
      </c>
      <c r="D674" s="11" t="s">
        <v>217</v>
      </c>
      <c r="E674" s="11" t="s">
        <v>217</v>
      </c>
      <c r="F674" s="12">
        <v>6</v>
      </c>
    </row>
    <row r="675" spans="2:6" hidden="1" x14ac:dyDescent="0.2">
      <c r="B675" s="4">
        <v>2014</v>
      </c>
      <c r="C675" s="11" t="s">
        <v>589</v>
      </c>
      <c r="D675" s="11" t="s">
        <v>217</v>
      </c>
      <c r="E675" s="11" t="s">
        <v>694</v>
      </c>
      <c r="F675" s="12">
        <v>0</v>
      </c>
    </row>
    <row r="676" spans="2:6" hidden="1" x14ac:dyDescent="0.2">
      <c r="B676" s="4">
        <v>2014</v>
      </c>
      <c r="C676" s="11" t="s">
        <v>589</v>
      </c>
      <c r="D676" s="11" t="s">
        <v>217</v>
      </c>
      <c r="E676" s="11" t="s">
        <v>695</v>
      </c>
      <c r="F676" s="12">
        <v>1</v>
      </c>
    </row>
    <row r="677" spans="2:6" hidden="1" x14ac:dyDescent="0.2">
      <c r="B677" s="4">
        <v>2014</v>
      </c>
      <c r="C677" s="11" t="s">
        <v>589</v>
      </c>
      <c r="D677" s="11" t="s">
        <v>217</v>
      </c>
      <c r="E677" s="11" t="s">
        <v>696</v>
      </c>
      <c r="F677" s="12">
        <v>0</v>
      </c>
    </row>
    <row r="678" spans="2:6" hidden="1" x14ac:dyDescent="0.2">
      <c r="B678" s="4">
        <v>2014</v>
      </c>
      <c r="C678" s="11" t="s">
        <v>589</v>
      </c>
      <c r="D678" s="11" t="s">
        <v>217</v>
      </c>
      <c r="E678" s="11" t="s">
        <v>697</v>
      </c>
      <c r="F678" s="12">
        <v>0</v>
      </c>
    </row>
    <row r="679" spans="2:6" hidden="1" x14ac:dyDescent="0.2">
      <c r="B679" s="4">
        <v>2014</v>
      </c>
      <c r="C679" s="11" t="s">
        <v>589</v>
      </c>
      <c r="D679" s="11" t="s">
        <v>217</v>
      </c>
      <c r="E679" s="11" t="s">
        <v>698</v>
      </c>
      <c r="F679" s="12">
        <v>0</v>
      </c>
    </row>
    <row r="680" spans="2:6" hidden="1" x14ac:dyDescent="0.2">
      <c r="B680" s="4">
        <v>2014</v>
      </c>
      <c r="C680" s="11" t="s">
        <v>589</v>
      </c>
      <c r="D680" s="11" t="s">
        <v>217</v>
      </c>
      <c r="E680" s="11" t="s">
        <v>699</v>
      </c>
      <c r="F680" s="12">
        <v>0</v>
      </c>
    </row>
    <row r="681" spans="2:6" hidden="1" x14ac:dyDescent="0.2">
      <c r="B681" s="4">
        <v>2014</v>
      </c>
      <c r="C681" s="11" t="s">
        <v>589</v>
      </c>
      <c r="D681" s="11" t="s">
        <v>217</v>
      </c>
      <c r="E681" s="11" t="s">
        <v>700</v>
      </c>
      <c r="F681" s="12">
        <v>0</v>
      </c>
    </row>
    <row r="682" spans="2:6" hidden="1" x14ac:dyDescent="0.2">
      <c r="B682" s="4">
        <v>2014</v>
      </c>
      <c r="C682" s="11" t="s">
        <v>589</v>
      </c>
      <c r="D682" s="11" t="s">
        <v>217</v>
      </c>
      <c r="E682" s="11" t="s">
        <v>701</v>
      </c>
      <c r="F682" s="12">
        <v>0</v>
      </c>
    </row>
    <row r="683" spans="2:6" hidden="1" x14ac:dyDescent="0.2">
      <c r="B683" s="4">
        <v>2014</v>
      </c>
      <c r="C683" s="11" t="s">
        <v>589</v>
      </c>
      <c r="D683" s="11" t="s">
        <v>217</v>
      </c>
      <c r="E683" s="11" t="s">
        <v>702</v>
      </c>
      <c r="F683" s="12">
        <v>0</v>
      </c>
    </row>
    <row r="684" spans="2:6" hidden="1" x14ac:dyDescent="0.2">
      <c r="B684" s="4">
        <v>2014</v>
      </c>
      <c r="C684" s="11" t="s">
        <v>589</v>
      </c>
      <c r="D684" s="11" t="s">
        <v>217</v>
      </c>
      <c r="E684" s="11" t="s">
        <v>703</v>
      </c>
      <c r="F684" s="12">
        <v>0</v>
      </c>
    </row>
    <row r="685" spans="2:6" hidden="1" x14ac:dyDescent="0.2">
      <c r="B685" s="4">
        <v>2014</v>
      </c>
      <c r="C685" s="11" t="s">
        <v>704</v>
      </c>
      <c r="D685" s="11" t="s">
        <v>704</v>
      </c>
      <c r="E685" s="11" t="s">
        <v>704</v>
      </c>
      <c r="F685" s="12">
        <v>288</v>
      </c>
    </row>
    <row r="686" spans="2:6" hidden="1" x14ac:dyDescent="0.2">
      <c r="B686" s="4">
        <v>2014</v>
      </c>
      <c r="C686" s="11" t="s">
        <v>704</v>
      </c>
      <c r="D686" s="11" t="s">
        <v>704</v>
      </c>
      <c r="E686" s="11" t="s">
        <v>655</v>
      </c>
      <c r="F686" s="12">
        <v>55</v>
      </c>
    </row>
    <row r="687" spans="2:6" hidden="1" x14ac:dyDescent="0.2">
      <c r="B687" s="4">
        <v>2014</v>
      </c>
      <c r="C687" s="11" t="s">
        <v>704</v>
      </c>
      <c r="D687" s="11" t="s">
        <v>704</v>
      </c>
      <c r="E687" s="11" t="s">
        <v>705</v>
      </c>
      <c r="F687" s="12">
        <v>38</v>
      </c>
    </row>
    <row r="688" spans="2:6" hidden="1" x14ac:dyDescent="0.2">
      <c r="B688" s="4">
        <v>2014</v>
      </c>
      <c r="C688" s="11" t="s">
        <v>704</v>
      </c>
      <c r="D688" s="11" t="s">
        <v>704</v>
      </c>
      <c r="E688" s="11" t="s">
        <v>706</v>
      </c>
      <c r="F688" s="12">
        <v>17</v>
      </c>
    </row>
    <row r="689" spans="2:6" hidden="1" x14ac:dyDescent="0.2">
      <c r="B689" s="4">
        <v>2014</v>
      </c>
      <c r="C689" s="11" t="s">
        <v>704</v>
      </c>
      <c r="D689" s="11" t="s">
        <v>704</v>
      </c>
      <c r="E689" s="11" t="s">
        <v>707</v>
      </c>
      <c r="F689" s="12">
        <v>5</v>
      </c>
    </row>
    <row r="690" spans="2:6" hidden="1" x14ac:dyDescent="0.2">
      <c r="B690" s="4">
        <v>2014</v>
      </c>
      <c r="C690" s="11" t="s">
        <v>704</v>
      </c>
      <c r="D690" s="11" t="s">
        <v>704</v>
      </c>
      <c r="E690" s="11" t="s">
        <v>708</v>
      </c>
      <c r="F690" s="12">
        <v>95</v>
      </c>
    </row>
    <row r="691" spans="2:6" hidden="1" x14ac:dyDescent="0.2">
      <c r="B691" s="4">
        <v>2014</v>
      </c>
      <c r="C691" s="11" t="s">
        <v>709</v>
      </c>
      <c r="D691" s="11" t="s">
        <v>709</v>
      </c>
      <c r="E691" s="11" t="s">
        <v>709</v>
      </c>
      <c r="F691" s="12">
        <v>165</v>
      </c>
    </row>
    <row r="692" spans="2:6" hidden="1" x14ac:dyDescent="0.2">
      <c r="B692" s="4">
        <v>2014</v>
      </c>
      <c r="C692" s="11" t="s">
        <v>709</v>
      </c>
      <c r="D692" s="11" t="s">
        <v>709</v>
      </c>
      <c r="E692" s="11" t="s">
        <v>710</v>
      </c>
      <c r="F692" s="12">
        <v>0</v>
      </c>
    </row>
    <row r="693" spans="2:6" hidden="1" x14ac:dyDescent="0.2">
      <c r="B693" s="4">
        <v>2014</v>
      </c>
      <c r="C693" s="11" t="s">
        <v>709</v>
      </c>
      <c r="D693" s="11" t="s">
        <v>709</v>
      </c>
      <c r="E693" s="11" t="s">
        <v>711</v>
      </c>
      <c r="F693" s="12">
        <v>3</v>
      </c>
    </row>
    <row r="694" spans="2:6" hidden="1" x14ac:dyDescent="0.2">
      <c r="B694" s="4">
        <v>2014</v>
      </c>
      <c r="C694" s="11" t="s">
        <v>709</v>
      </c>
      <c r="D694" s="11" t="s">
        <v>709</v>
      </c>
      <c r="E694" s="11" t="s">
        <v>97</v>
      </c>
      <c r="F694" s="12">
        <v>16</v>
      </c>
    </row>
    <row r="695" spans="2:6" hidden="1" x14ac:dyDescent="0.2">
      <c r="B695" s="4">
        <v>2014</v>
      </c>
      <c r="C695" s="11" t="s">
        <v>709</v>
      </c>
      <c r="D695" s="11" t="s">
        <v>709</v>
      </c>
      <c r="E695" s="11" t="s">
        <v>712</v>
      </c>
      <c r="F695" s="12">
        <v>64</v>
      </c>
    </row>
    <row r="696" spans="2:6" hidden="1" x14ac:dyDescent="0.2">
      <c r="B696" s="4">
        <v>2014</v>
      </c>
      <c r="C696" s="11" t="s">
        <v>709</v>
      </c>
      <c r="D696" s="11" t="s">
        <v>709</v>
      </c>
      <c r="E696" s="11" t="s">
        <v>713</v>
      </c>
      <c r="F696" s="12">
        <v>62</v>
      </c>
    </row>
    <row r="697" spans="2:6" hidden="1" x14ac:dyDescent="0.2">
      <c r="B697" s="4">
        <v>2014</v>
      </c>
      <c r="C697" s="11" t="s">
        <v>709</v>
      </c>
      <c r="D697" s="11" t="s">
        <v>709</v>
      </c>
      <c r="E697" s="11" t="s">
        <v>714</v>
      </c>
      <c r="F697" s="12">
        <v>5</v>
      </c>
    </row>
    <row r="698" spans="2:6" hidden="1" x14ac:dyDescent="0.2">
      <c r="B698" s="4">
        <v>2014</v>
      </c>
      <c r="C698" s="11" t="s">
        <v>709</v>
      </c>
      <c r="D698" s="11" t="s">
        <v>709</v>
      </c>
      <c r="E698" s="11" t="s">
        <v>715</v>
      </c>
      <c r="F698" s="12">
        <v>79</v>
      </c>
    </row>
    <row r="699" spans="2:6" hidden="1" x14ac:dyDescent="0.2">
      <c r="B699" s="4">
        <v>2014</v>
      </c>
      <c r="C699" s="11" t="s">
        <v>709</v>
      </c>
      <c r="D699" s="11" t="s">
        <v>716</v>
      </c>
      <c r="E699" s="11" t="s">
        <v>716</v>
      </c>
      <c r="F699" s="12">
        <v>0</v>
      </c>
    </row>
    <row r="700" spans="2:6" hidden="1" x14ac:dyDescent="0.2">
      <c r="B700" s="4">
        <v>2014</v>
      </c>
      <c r="C700" s="11" t="s">
        <v>709</v>
      </c>
      <c r="D700" s="11" t="s">
        <v>716</v>
      </c>
      <c r="E700" s="11" t="s">
        <v>717</v>
      </c>
      <c r="F700" s="12">
        <v>1</v>
      </c>
    </row>
    <row r="701" spans="2:6" hidden="1" x14ac:dyDescent="0.2">
      <c r="B701" s="4">
        <v>2014</v>
      </c>
      <c r="C701" s="11" t="s">
        <v>709</v>
      </c>
      <c r="D701" s="11" t="s">
        <v>716</v>
      </c>
      <c r="E701" s="11" t="s">
        <v>718</v>
      </c>
      <c r="F701" s="12">
        <v>0</v>
      </c>
    </row>
    <row r="702" spans="2:6" hidden="1" x14ac:dyDescent="0.2">
      <c r="B702" s="4">
        <v>2014</v>
      </c>
      <c r="C702" s="11" t="s">
        <v>709</v>
      </c>
      <c r="D702" s="11" t="s">
        <v>716</v>
      </c>
      <c r="E702" s="11" t="s">
        <v>719</v>
      </c>
      <c r="F702" s="12">
        <v>0</v>
      </c>
    </row>
    <row r="703" spans="2:6" hidden="1" x14ac:dyDescent="0.2">
      <c r="B703" s="4">
        <v>2014</v>
      </c>
      <c r="C703" s="11" t="s">
        <v>709</v>
      </c>
      <c r="D703" s="11" t="s">
        <v>716</v>
      </c>
      <c r="E703" s="11" t="s">
        <v>720</v>
      </c>
      <c r="F703" s="12">
        <v>2</v>
      </c>
    </row>
    <row r="704" spans="2:6" hidden="1" x14ac:dyDescent="0.2">
      <c r="B704" s="4">
        <v>2014</v>
      </c>
      <c r="C704" s="11" t="s">
        <v>709</v>
      </c>
      <c r="D704" s="11" t="s">
        <v>716</v>
      </c>
      <c r="E704" s="11" t="s">
        <v>721</v>
      </c>
      <c r="F704" s="12">
        <v>0</v>
      </c>
    </row>
    <row r="705" spans="2:6" hidden="1" x14ac:dyDescent="0.2">
      <c r="B705" s="4">
        <v>2014</v>
      </c>
      <c r="C705" s="11" t="s">
        <v>709</v>
      </c>
      <c r="D705" s="11" t="s">
        <v>716</v>
      </c>
      <c r="E705" s="11" t="s">
        <v>722</v>
      </c>
      <c r="F705" s="12">
        <v>0</v>
      </c>
    </row>
    <row r="706" spans="2:6" hidden="1" x14ac:dyDescent="0.2">
      <c r="B706" s="4">
        <v>2014</v>
      </c>
      <c r="C706" s="11" t="s">
        <v>709</v>
      </c>
      <c r="D706" s="11" t="s">
        <v>168</v>
      </c>
      <c r="E706" s="11" t="s">
        <v>168</v>
      </c>
      <c r="F706" s="12">
        <v>7</v>
      </c>
    </row>
    <row r="707" spans="2:6" hidden="1" x14ac:dyDescent="0.2">
      <c r="B707" s="4">
        <v>2014</v>
      </c>
      <c r="C707" s="11" t="s">
        <v>709</v>
      </c>
      <c r="D707" s="11" t="s">
        <v>168</v>
      </c>
      <c r="E707" s="11" t="s">
        <v>723</v>
      </c>
      <c r="F707" s="12">
        <v>0</v>
      </c>
    </row>
    <row r="708" spans="2:6" hidden="1" x14ac:dyDescent="0.2">
      <c r="B708" s="4">
        <v>2014</v>
      </c>
      <c r="C708" s="11" t="s">
        <v>709</v>
      </c>
      <c r="D708" s="11" t="s">
        <v>168</v>
      </c>
      <c r="E708" s="11" t="s">
        <v>724</v>
      </c>
      <c r="F708" s="12">
        <v>3</v>
      </c>
    </row>
    <row r="709" spans="2:6" hidden="1" x14ac:dyDescent="0.2">
      <c r="B709" s="4">
        <v>2014</v>
      </c>
      <c r="C709" s="11" t="s">
        <v>709</v>
      </c>
      <c r="D709" s="11" t="s">
        <v>168</v>
      </c>
      <c r="E709" s="11" t="s">
        <v>725</v>
      </c>
      <c r="F709" s="12">
        <v>0</v>
      </c>
    </row>
    <row r="710" spans="2:6" hidden="1" x14ac:dyDescent="0.2">
      <c r="B710" s="4">
        <v>2014</v>
      </c>
      <c r="C710" s="11" t="s">
        <v>709</v>
      </c>
      <c r="D710" s="11" t="s">
        <v>168</v>
      </c>
      <c r="E710" s="11" t="s">
        <v>726</v>
      </c>
      <c r="F710" s="12">
        <v>2</v>
      </c>
    </row>
    <row r="711" spans="2:6" hidden="1" x14ac:dyDescent="0.2">
      <c r="B711" s="4">
        <v>2014</v>
      </c>
      <c r="C711" s="11" t="s">
        <v>709</v>
      </c>
      <c r="D711" s="11" t="s">
        <v>168</v>
      </c>
      <c r="E711" s="11" t="s">
        <v>727</v>
      </c>
      <c r="F711" s="12">
        <v>0</v>
      </c>
    </row>
    <row r="712" spans="2:6" hidden="1" x14ac:dyDescent="0.2">
      <c r="B712" s="4">
        <v>2014</v>
      </c>
      <c r="C712" s="11" t="s">
        <v>709</v>
      </c>
      <c r="D712" s="11" t="s">
        <v>168</v>
      </c>
      <c r="E712" s="11" t="s">
        <v>728</v>
      </c>
      <c r="F712" s="12">
        <v>4</v>
      </c>
    </row>
    <row r="713" spans="2:6" hidden="1" x14ac:dyDescent="0.2">
      <c r="B713" s="4">
        <v>2014</v>
      </c>
      <c r="C713" s="11" t="s">
        <v>709</v>
      </c>
      <c r="D713" s="11" t="s">
        <v>168</v>
      </c>
      <c r="E713" s="11" t="s">
        <v>729</v>
      </c>
      <c r="F713" s="12">
        <v>1</v>
      </c>
    </row>
    <row r="714" spans="2:6" hidden="1" x14ac:dyDescent="0.2">
      <c r="B714" s="4">
        <v>2014</v>
      </c>
      <c r="C714" s="11" t="s">
        <v>709</v>
      </c>
      <c r="D714" s="11" t="s">
        <v>168</v>
      </c>
      <c r="E714" s="11" t="s">
        <v>730</v>
      </c>
      <c r="F714" s="12">
        <v>1</v>
      </c>
    </row>
    <row r="715" spans="2:6" hidden="1" x14ac:dyDescent="0.2">
      <c r="B715" s="4">
        <v>2014</v>
      </c>
      <c r="C715" s="11" t="s">
        <v>709</v>
      </c>
      <c r="D715" s="11" t="s">
        <v>731</v>
      </c>
      <c r="E715" s="11" t="s">
        <v>731</v>
      </c>
      <c r="F715" s="12">
        <v>4</v>
      </c>
    </row>
    <row r="716" spans="2:6" hidden="1" x14ac:dyDescent="0.2">
      <c r="B716" s="4">
        <v>2014</v>
      </c>
      <c r="C716" s="11" t="s">
        <v>709</v>
      </c>
      <c r="D716" s="11" t="s">
        <v>731</v>
      </c>
      <c r="E716" s="11" t="s">
        <v>732</v>
      </c>
      <c r="F716" s="12">
        <v>3</v>
      </c>
    </row>
    <row r="717" spans="2:6" hidden="1" x14ac:dyDescent="0.2">
      <c r="B717" s="4">
        <v>2014</v>
      </c>
      <c r="C717" s="11" t="s">
        <v>709</v>
      </c>
      <c r="D717" s="11" t="s">
        <v>731</v>
      </c>
      <c r="E717" s="11" t="s">
        <v>733</v>
      </c>
      <c r="F717" s="12">
        <v>3</v>
      </c>
    </row>
    <row r="718" spans="2:6" hidden="1" x14ac:dyDescent="0.2">
      <c r="B718" s="4">
        <v>2014</v>
      </c>
      <c r="C718" s="11" t="s">
        <v>709</v>
      </c>
      <c r="D718" s="11" t="s">
        <v>731</v>
      </c>
      <c r="E718" s="11" t="s">
        <v>734</v>
      </c>
      <c r="F718" s="12">
        <v>0</v>
      </c>
    </row>
    <row r="719" spans="2:6" hidden="1" x14ac:dyDescent="0.2">
      <c r="B719" s="4">
        <v>2014</v>
      </c>
      <c r="C719" s="11" t="s">
        <v>709</v>
      </c>
      <c r="D719" s="11" t="s">
        <v>731</v>
      </c>
      <c r="E719" s="11" t="s">
        <v>735</v>
      </c>
      <c r="F719" s="12">
        <v>4</v>
      </c>
    </row>
    <row r="720" spans="2:6" hidden="1" x14ac:dyDescent="0.2">
      <c r="B720" s="4">
        <v>2014</v>
      </c>
      <c r="C720" s="11" t="s">
        <v>709</v>
      </c>
      <c r="D720" s="11" t="s">
        <v>731</v>
      </c>
      <c r="E720" s="11" t="s">
        <v>736</v>
      </c>
      <c r="F720" s="12">
        <v>0</v>
      </c>
    </row>
    <row r="721" spans="2:6" hidden="1" x14ac:dyDescent="0.2">
      <c r="B721" s="4">
        <v>2014</v>
      </c>
      <c r="C721" s="11" t="s">
        <v>709</v>
      </c>
      <c r="D721" s="11" t="s">
        <v>731</v>
      </c>
      <c r="E721" s="11" t="s">
        <v>737</v>
      </c>
      <c r="F721" s="12">
        <v>1</v>
      </c>
    </row>
    <row r="722" spans="2:6" hidden="1" x14ac:dyDescent="0.2">
      <c r="B722" s="4">
        <v>2014</v>
      </c>
      <c r="C722" s="11" t="s">
        <v>709</v>
      </c>
      <c r="D722" s="11" t="s">
        <v>731</v>
      </c>
      <c r="E722" s="11" t="s">
        <v>738</v>
      </c>
      <c r="F722" s="12">
        <v>2</v>
      </c>
    </row>
    <row r="723" spans="2:6" hidden="1" x14ac:dyDescent="0.2">
      <c r="B723" s="4">
        <v>2014</v>
      </c>
      <c r="C723" s="11" t="s">
        <v>709</v>
      </c>
      <c r="D723" s="11" t="s">
        <v>739</v>
      </c>
      <c r="E723" s="11" t="s">
        <v>740</v>
      </c>
      <c r="F723" s="12">
        <v>0</v>
      </c>
    </row>
    <row r="724" spans="2:6" hidden="1" x14ac:dyDescent="0.2">
      <c r="B724" s="4">
        <v>2014</v>
      </c>
      <c r="C724" s="11" t="s">
        <v>709</v>
      </c>
      <c r="D724" s="11" t="s">
        <v>739</v>
      </c>
      <c r="E724" s="11" t="s">
        <v>741</v>
      </c>
      <c r="F724" s="12">
        <v>2</v>
      </c>
    </row>
    <row r="725" spans="2:6" hidden="1" x14ac:dyDescent="0.2">
      <c r="B725" s="4">
        <v>2014</v>
      </c>
      <c r="C725" s="11" t="s">
        <v>709</v>
      </c>
      <c r="D725" s="11" t="s">
        <v>739</v>
      </c>
      <c r="E725" s="11" t="s">
        <v>742</v>
      </c>
      <c r="F725" s="12">
        <v>2</v>
      </c>
    </row>
    <row r="726" spans="2:6" hidden="1" x14ac:dyDescent="0.2">
      <c r="B726" s="4">
        <v>2014</v>
      </c>
      <c r="C726" s="11" t="s">
        <v>709</v>
      </c>
      <c r="D726" s="11" t="s">
        <v>739</v>
      </c>
      <c r="E726" s="11" t="s">
        <v>743</v>
      </c>
      <c r="F726" s="12">
        <v>3</v>
      </c>
    </row>
    <row r="727" spans="2:6" hidden="1" x14ac:dyDescent="0.2">
      <c r="B727" s="4">
        <v>2014</v>
      </c>
      <c r="C727" s="11" t="s">
        <v>709</v>
      </c>
      <c r="D727" s="11" t="s">
        <v>739</v>
      </c>
      <c r="E727" s="11" t="s">
        <v>744</v>
      </c>
      <c r="F727" s="12">
        <v>10</v>
      </c>
    </row>
    <row r="728" spans="2:6" hidden="1" x14ac:dyDescent="0.2">
      <c r="B728" s="4">
        <v>2014</v>
      </c>
      <c r="C728" s="11" t="s">
        <v>709</v>
      </c>
      <c r="D728" s="11" t="s">
        <v>739</v>
      </c>
      <c r="E728" s="11" t="s">
        <v>471</v>
      </c>
      <c r="F728" s="12">
        <v>1</v>
      </c>
    </row>
    <row r="729" spans="2:6" hidden="1" x14ac:dyDescent="0.2">
      <c r="B729" s="4">
        <v>2014</v>
      </c>
      <c r="C729" s="11" t="s">
        <v>709</v>
      </c>
      <c r="D729" s="11" t="s">
        <v>739</v>
      </c>
      <c r="E729" s="11" t="s">
        <v>745</v>
      </c>
      <c r="F729" s="12">
        <v>2</v>
      </c>
    </row>
    <row r="730" spans="2:6" hidden="1" x14ac:dyDescent="0.2">
      <c r="B730" s="4">
        <v>2014</v>
      </c>
      <c r="C730" s="11" t="s">
        <v>709</v>
      </c>
      <c r="D730" s="11" t="s">
        <v>739</v>
      </c>
      <c r="E730" s="11" t="s">
        <v>746</v>
      </c>
      <c r="F730" s="12">
        <v>2</v>
      </c>
    </row>
    <row r="731" spans="2:6" hidden="1" x14ac:dyDescent="0.2">
      <c r="B731" s="4">
        <v>2014</v>
      </c>
      <c r="C731" s="11" t="s">
        <v>709</v>
      </c>
      <c r="D731" s="11" t="s">
        <v>747</v>
      </c>
      <c r="E731" s="11" t="s">
        <v>748</v>
      </c>
      <c r="F731" s="12">
        <v>28</v>
      </c>
    </row>
    <row r="732" spans="2:6" hidden="1" x14ac:dyDescent="0.2">
      <c r="B732" s="4">
        <v>2014</v>
      </c>
      <c r="C732" s="11" t="s">
        <v>709</v>
      </c>
      <c r="D732" s="11" t="s">
        <v>747</v>
      </c>
      <c r="E732" s="11" t="s">
        <v>749</v>
      </c>
      <c r="F732" s="12">
        <v>3</v>
      </c>
    </row>
    <row r="733" spans="2:6" hidden="1" x14ac:dyDescent="0.2">
      <c r="B733" s="4">
        <v>2014</v>
      </c>
      <c r="C733" s="11" t="s">
        <v>709</v>
      </c>
      <c r="D733" s="11" t="s">
        <v>747</v>
      </c>
      <c r="E733" s="11" t="s">
        <v>750</v>
      </c>
      <c r="F733" s="12">
        <v>3</v>
      </c>
    </row>
    <row r="734" spans="2:6" hidden="1" x14ac:dyDescent="0.2">
      <c r="B734" s="4">
        <v>2014</v>
      </c>
      <c r="C734" s="11" t="s">
        <v>709</v>
      </c>
      <c r="D734" s="11" t="s">
        <v>747</v>
      </c>
      <c r="E734" s="11" t="s">
        <v>751</v>
      </c>
      <c r="F734" s="12">
        <v>0</v>
      </c>
    </row>
    <row r="735" spans="2:6" hidden="1" x14ac:dyDescent="0.2">
      <c r="B735" s="4">
        <v>2014</v>
      </c>
      <c r="C735" s="11" t="s">
        <v>709</v>
      </c>
      <c r="D735" s="11" t="s">
        <v>747</v>
      </c>
      <c r="E735" s="11" t="s">
        <v>752</v>
      </c>
      <c r="F735" s="12">
        <v>0</v>
      </c>
    </row>
    <row r="736" spans="2:6" hidden="1" x14ac:dyDescent="0.2">
      <c r="B736" s="4">
        <v>2014</v>
      </c>
      <c r="C736" s="11" t="s">
        <v>709</v>
      </c>
      <c r="D736" s="11" t="s">
        <v>747</v>
      </c>
      <c r="E736" s="11" t="s">
        <v>691</v>
      </c>
      <c r="F736" s="12">
        <v>0</v>
      </c>
    </row>
    <row r="737" spans="2:6" hidden="1" x14ac:dyDescent="0.2">
      <c r="B737" s="4">
        <v>2014</v>
      </c>
      <c r="C737" s="11" t="s">
        <v>709</v>
      </c>
      <c r="D737" s="11" t="s">
        <v>747</v>
      </c>
      <c r="E737" s="11" t="s">
        <v>237</v>
      </c>
      <c r="F737" s="12">
        <v>2</v>
      </c>
    </row>
    <row r="738" spans="2:6" hidden="1" x14ac:dyDescent="0.2">
      <c r="B738" s="4">
        <v>2014</v>
      </c>
      <c r="C738" s="11" t="s">
        <v>709</v>
      </c>
      <c r="D738" s="11" t="s">
        <v>747</v>
      </c>
      <c r="E738" s="11" t="s">
        <v>753</v>
      </c>
      <c r="F738" s="12">
        <v>3</v>
      </c>
    </row>
    <row r="739" spans="2:6" hidden="1" x14ac:dyDescent="0.2">
      <c r="B739" s="4">
        <v>2014</v>
      </c>
      <c r="C739" s="11" t="s">
        <v>709</v>
      </c>
      <c r="D739" s="11" t="s">
        <v>754</v>
      </c>
      <c r="E739" s="11" t="s">
        <v>100</v>
      </c>
      <c r="F739" s="12">
        <v>2</v>
      </c>
    </row>
    <row r="740" spans="2:6" hidden="1" x14ac:dyDescent="0.2">
      <c r="B740" s="4">
        <v>2014</v>
      </c>
      <c r="C740" s="11" t="s">
        <v>709</v>
      </c>
      <c r="D740" s="11" t="s">
        <v>754</v>
      </c>
      <c r="E740" s="11" t="s">
        <v>755</v>
      </c>
      <c r="F740" s="12">
        <v>3</v>
      </c>
    </row>
    <row r="741" spans="2:6" hidden="1" x14ac:dyDescent="0.2">
      <c r="B741" s="4">
        <v>2014</v>
      </c>
      <c r="C741" s="11" t="s">
        <v>709</v>
      </c>
      <c r="D741" s="11" t="s">
        <v>754</v>
      </c>
      <c r="E741" s="11" t="s">
        <v>756</v>
      </c>
      <c r="F741" s="12">
        <v>2</v>
      </c>
    </row>
    <row r="742" spans="2:6" hidden="1" x14ac:dyDescent="0.2">
      <c r="B742" s="4">
        <v>2014</v>
      </c>
      <c r="C742" s="11" t="s">
        <v>709</v>
      </c>
      <c r="D742" s="11" t="s">
        <v>754</v>
      </c>
      <c r="E742" s="11" t="s">
        <v>757</v>
      </c>
      <c r="F742" s="12">
        <v>8</v>
      </c>
    </row>
    <row r="743" spans="2:6" hidden="1" x14ac:dyDescent="0.2">
      <c r="B743" s="4">
        <v>2014</v>
      </c>
      <c r="C743" s="11" t="s">
        <v>709</v>
      </c>
      <c r="D743" s="11" t="s">
        <v>754</v>
      </c>
      <c r="E743" s="11" t="s">
        <v>758</v>
      </c>
      <c r="F743" s="12">
        <v>0</v>
      </c>
    </row>
    <row r="744" spans="2:6" hidden="1" x14ac:dyDescent="0.2">
      <c r="B744" s="4">
        <v>2014</v>
      </c>
      <c r="C744" s="11" t="s">
        <v>709</v>
      </c>
      <c r="D744" s="11" t="s">
        <v>754</v>
      </c>
      <c r="E744" s="11" t="s">
        <v>759</v>
      </c>
      <c r="F744" s="12">
        <v>0</v>
      </c>
    </row>
    <row r="745" spans="2:6" hidden="1" x14ac:dyDescent="0.2">
      <c r="B745" s="4">
        <v>2014</v>
      </c>
      <c r="C745" s="11" t="s">
        <v>709</v>
      </c>
      <c r="D745" s="11" t="s">
        <v>754</v>
      </c>
      <c r="E745" s="11" t="s">
        <v>760</v>
      </c>
      <c r="F745" s="12">
        <v>0</v>
      </c>
    </row>
    <row r="746" spans="2:6" hidden="1" x14ac:dyDescent="0.2">
      <c r="B746" s="4">
        <v>2014</v>
      </c>
      <c r="C746" s="11" t="s">
        <v>709</v>
      </c>
      <c r="D746" s="11" t="s">
        <v>754</v>
      </c>
      <c r="E746" s="11" t="s">
        <v>761</v>
      </c>
      <c r="F746" s="12">
        <v>15</v>
      </c>
    </row>
    <row r="747" spans="2:6" hidden="1" x14ac:dyDescent="0.2">
      <c r="B747" s="4">
        <v>2014</v>
      </c>
      <c r="C747" s="11" t="s">
        <v>709</v>
      </c>
      <c r="D747" s="11" t="s">
        <v>762</v>
      </c>
      <c r="E747" s="11" t="s">
        <v>762</v>
      </c>
      <c r="F747" s="12">
        <v>27</v>
      </c>
    </row>
    <row r="748" spans="2:6" hidden="1" x14ac:dyDescent="0.2">
      <c r="B748" s="4">
        <v>2014</v>
      </c>
      <c r="C748" s="11" t="s">
        <v>709</v>
      </c>
      <c r="D748" s="11" t="s">
        <v>762</v>
      </c>
      <c r="E748" s="11" t="s">
        <v>763</v>
      </c>
      <c r="F748" s="12">
        <v>1</v>
      </c>
    </row>
    <row r="749" spans="2:6" hidden="1" x14ac:dyDescent="0.2">
      <c r="B749" s="4">
        <v>2014</v>
      </c>
      <c r="C749" s="11" t="s">
        <v>709</v>
      </c>
      <c r="D749" s="11" t="s">
        <v>762</v>
      </c>
      <c r="E749" s="11" t="s">
        <v>438</v>
      </c>
      <c r="F749" s="12">
        <v>0</v>
      </c>
    </row>
    <row r="750" spans="2:6" hidden="1" x14ac:dyDescent="0.2">
      <c r="B750" s="4">
        <v>2014</v>
      </c>
      <c r="C750" s="11" t="s">
        <v>709</v>
      </c>
      <c r="D750" s="11" t="s">
        <v>762</v>
      </c>
      <c r="E750" s="11" t="s">
        <v>764</v>
      </c>
      <c r="F750" s="12">
        <v>0</v>
      </c>
    </row>
    <row r="751" spans="2:6" hidden="1" x14ac:dyDescent="0.2">
      <c r="B751" s="4">
        <v>2014</v>
      </c>
      <c r="C751" s="11" t="s">
        <v>709</v>
      </c>
      <c r="D751" s="11" t="s">
        <v>762</v>
      </c>
      <c r="E751" s="11" t="s">
        <v>765</v>
      </c>
      <c r="F751" s="12">
        <v>0</v>
      </c>
    </row>
    <row r="752" spans="2:6" hidden="1" x14ac:dyDescent="0.2">
      <c r="B752" s="4">
        <v>2014</v>
      </c>
      <c r="C752" s="11" t="s">
        <v>709</v>
      </c>
      <c r="D752" s="11" t="s">
        <v>762</v>
      </c>
      <c r="E752" s="11" t="s">
        <v>766</v>
      </c>
      <c r="F752" s="12">
        <v>0</v>
      </c>
    </row>
    <row r="753" spans="2:6" hidden="1" x14ac:dyDescent="0.2">
      <c r="B753" s="4">
        <v>2014</v>
      </c>
      <c r="C753" s="11" t="s">
        <v>709</v>
      </c>
      <c r="D753" s="11" t="s">
        <v>762</v>
      </c>
      <c r="E753" s="11" t="s">
        <v>767</v>
      </c>
      <c r="F753" s="12">
        <v>0</v>
      </c>
    </row>
    <row r="754" spans="2:6" hidden="1" x14ac:dyDescent="0.2">
      <c r="B754" s="4">
        <v>2014</v>
      </c>
      <c r="C754" s="11" t="s">
        <v>709</v>
      </c>
      <c r="D754" s="11" t="s">
        <v>762</v>
      </c>
      <c r="E754" s="11" t="s">
        <v>768</v>
      </c>
      <c r="F754" s="12">
        <v>2</v>
      </c>
    </row>
    <row r="755" spans="2:6" hidden="1" x14ac:dyDescent="0.2">
      <c r="B755" s="4">
        <v>2014</v>
      </c>
      <c r="C755" s="11" t="s">
        <v>709</v>
      </c>
      <c r="D755" s="11" t="s">
        <v>769</v>
      </c>
      <c r="E755" s="11" t="s">
        <v>770</v>
      </c>
      <c r="F755" s="12">
        <v>20</v>
      </c>
    </row>
    <row r="756" spans="2:6" hidden="1" x14ac:dyDescent="0.2">
      <c r="B756" s="4">
        <v>2014</v>
      </c>
      <c r="C756" s="11" t="s">
        <v>709</v>
      </c>
      <c r="D756" s="11" t="s">
        <v>769</v>
      </c>
      <c r="E756" s="11" t="s">
        <v>771</v>
      </c>
      <c r="F756" s="12">
        <v>0</v>
      </c>
    </row>
    <row r="757" spans="2:6" hidden="1" x14ac:dyDescent="0.2">
      <c r="B757" s="4">
        <v>2014</v>
      </c>
      <c r="C757" s="11" t="s">
        <v>709</v>
      </c>
      <c r="D757" s="11" t="s">
        <v>769</v>
      </c>
      <c r="E757" s="11" t="s">
        <v>772</v>
      </c>
      <c r="F757" s="12">
        <v>3</v>
      </c>
    </row>
    <row r="758" spans="2:6" hidden="1" x14ac:dyDescent="0.2">
      <c r="B758" s="4">
        <v>2014</v>
      </c>
      <c r="C758" s="11" t="s">
        <v>709</v>
      </c>
      <c r="D758" s="11" t="s">
        <v>769</v>
      </c>
      <c r="E758" s="11" t="s">
        <v>773</v>
      </c>
      <c r="F758" s="12">
        <v>0</v>
      </c>
    </row>
    <row r="759" spans="2:6" hidden="1" x14ac:dyDescent="0.2">
      <c r="B759" s="4">
        <v>2014</v>
      </c>
      <c r="C759" s="11" t="s">
        <v>709</v>
      </c>
      <c r="D759" s="11" t="s">
        <v>769</v>
      </c>
      <c r="E759" s="11" t="s">
        <v>350</v>
      </c>
      <c r="F759" s="12">
        <v>1</v>
      </c>
    </row>
    <row r="760" spans="2:6" hidden="1" x14ac:dyDescent="0.2">
      <c r="B760" s="4">
        <v>2014</v>
      </c>
      <c r="C760" s="11" t="s">
        <v>709</v>
      </c>
      <c r="D760" s="11" t="s">
        <v>769</v>
      </c>
      <c r="E760" s="11" t="s">
        <v>774</v>
      </c>
      <c r="F760" s="12">
        <v>0</v>
      </c>
    </row>
    <row r="761" spans="2:6" hidden="1" x14ac:dyDescent="0.2">
      <c r="B761" s="4">
        <v>2014</v>
      </c>
      <c r="C761" s="11" t="s">
        <v>709</v>
      </c>
      <c r="D761" s="11" t="s">
        <v>769</v>
      </c>
      <c r="E761" s="11" t="s">
        <v>775</v>
      </c>
      <c r="F761" s="12">
        <v>16</v>
      </c>
    </row>
    <row r="762" spans="2:6" hidden="1" x14ac:dyDescent="0.2">
      <c r="B762" s="4">
        <v>2014</v>
      </c>
      <c r="C762" s="11" t="s">
        <v>709</v>
      </c>
      <c r="D762" s="11" t="s">
        <v>769</v>
      </c>
      <c r="E762" s="11" t="s">
        <v>776</v>
      </c>
      <c r="F762" s="12">
        <v>8</v>
      </c>
    </row>
    <row r="763" spans="2:6" hidden="1" x14ac:dyDescent="0.2">
      <c r="B763" s="4">
        <v>2014</v>
      </c>
      <c r="C763" s="11" t="s">
        <v>709</v>
      </c>
      <c r="D763" s="11" t="s">
        <v>769</v>
      </c>
      <c r="E763" s="11" t="s">
        <v>365</v>
      </c>
      <c r="F763" s="12">
        <v>1</v>
      </c>
    </row>
    <row r="764" spans="2:6" hidden="1" x14ac:dyDescent="0.2">
      <c r="B764" s="4">
        <v>2014</v>
      </c>
      <c r="C764" s="11" t="s">
        <v>709</v>
      </c>
      <c r="D764" s="11" t="s">
        <v>769</v>
      </c>
      <c r="E764" s="11" t="s">
        <v>777</v>
      </c>
      <c r="F764" s="12">
        <v>5</v>
      </c>
    </row>
    <row r="765" spans="2:6" hidden="1" x14ac:dyDescent="0.2">
      <c r="B765" s="4">
        <v>2014</v>
      </c>
      <c r="C765" s="11" t="s">
        <v>709</v>
      </c>
      <c r="D765" s="11" t="s">
        <v>778</v>
      </c>
      <c r="E765" s="11" t="s">
        <v>778</v>
      </c>
      <c r="F765" s="12">
        <v>0</v>
      </c>
    </row>
    <row r="766" spans="2:6" hidden="1" x14ac:dyDescent="0.2">
      <c r="B766" s="4">
        <v>2014</v>
      </c>
      <c r="C766" s="11" t="s">
        <v>709</v>
      </c>
      <c r="D766" s="11" t="s">
        <v>778</v>
      </c>
      <c r="E766" s="11" t="s">
        <v>779</v>
      </c>
      <c r="F766" s="12">
        <v>0</v>
      </c>
    </row>
    <row r="767" spans="2:6" hidden="1" x14ac:dyDescent="0.2">
      <c r="B767" s="4">
        <v>2014</v>
      </c>
      <c r="C767" s="11" t="s">
        <v>709</v>
      </c>
      <c r="D767" s="11" t="s">
        <v>778</v>
      </c>
      <c r="E767" s="11" t="s">
        <v>780</v>
      </c>
      <c r="F767" s="12">
        <v>0</v>
      </c>
    </row>
    <row r="768" spans="2:6" hidden="1" x14ac:dyDescent="0.2">
      <c r="B768" s="4">
        <v>2014</v>
      </c>
      <c r="C768" s="11" t="s">
        <v>709</v>
      </c>
      <c r="D768" s="11" t="s">
        <v>778</v>
      </c>
      <c r="E768" s="11" t="s">
        <v>781</v>
      </c>
      <c r="F768" s="12">
        <v>0</v>
      </c>
    </row>
    <row r="769" spans="2:6" hidden="1" x14ac:dyDescent="0.2">
      <c r="B769" s="4">
        <v>2014</v>
      </c>
      <c r="C769" s="11" t="s">
        <v>709</v>
      </c>
      <c r="D769" s="11" t="s">
        <v>778</v>
      </c>
      <c r="E769" s="11" t="s">
        <v>782</v>
      </c>
      <c r="F769" s="12">
        <v>0</v>
      </c>
    </row>
    <row r="770" spans="2:6" hidden="1" x14ac:dyDescent="0.2">
      <c r="B770" s="4">
        <v>2014</v>
      </c>
      <c r="C770" s="11" t="s">
        <v>709</v>
      </c>
      <c r="D770" s="11" t="s">
        <v>778</v>
      </c>
      <c r="E770" s="11" t="s">
        <v>783</v>
      </c>
      <c r="F770" s="12">
        <v>0</v>
      </c>
    </row>
    <row r="771" spans="2:6" hidden="1" x14ac:dyDescent="0.2">
      <c r="B771" s="4">
        <v>2014</v>
      </c>
      <c r="C771" s="11" t="s">
        <v>709</v>
      </c>
      <c r="D771" s="11" t="s">
        <v>778</v>
      </c>
      <c r="E771" s="11" t="s">
        <v>784</v>
      </c>
      <c r="F771" s="12">
        <v>0</v>
      </c>
    </row>
    <row r="772" spans="2:6" hidden="1" x14ac:dyDescent="0.2">
      <c r="B772" s="4">
        <v>2014</v>
      </c>
      <c r="C772" s="11" t="s">
        <v>709</v>
      </c>
      <c r="D772" s="11" t="s">
        <v>778</v>
      </c>
      <c r="E772" s="11" t="s">
        <v>785</v>
      </c>
      <c r="F772" s="12">
        <v>0</v>
      </c>
    </row>
    <row r="773" spans="2:6" hidden="1" x14ac:dyDescent="0.2">
      <c r="B773" s="4">
        <v>2014</v>
      </c>
      <c r="C773" s="11" t="s">
        <v>709</v>
      </c>
      <c r="D773" s="11" t="s">
        <v>778</v>
      </c>
      <c r="E773" s="11" t="s">
        <v>786</v>
      </c>
      <c r="F773" s="12">
        <v>4</v>
      </c>
    </row>
    <row r="774" spans="2:6" hidden="1" x14ac:dyDescent="0.2">
      <c r="B774" s="4">
        <v>2014</v>
      </c>
      <c r="C774" s="11" t="s">
        <v>709</v>
      </c>
      <c r="D774" s="11" t="s">
        <v>787</v>
      </c>
      <c r="E774" s="11" t="s">
        <v>787</v>
      </c>
      <c r="F774" s="12">
        <v>10</v>
      </c>
    </row>
    <row r="775" spans="2:6" hidden="1" x14ac:dyDescent="0.2">
      <c r="B775" s="4">
        <v>2014</v>
      </c>
      <c r="C775" s="11" t="s">
        <v>709</v>
      </c>
      <c r="D775" s="11" t="s">
        <v>787</v>
      </c>
      <c r="E775" s="11" t="s">
        <v>788</v>
      </c>
      <c r="F775" s="12">
        <v>0</v>
      </c>
    </row>
    <row r="776" spans="2:6" hidden="1" x14ac:dyDescent="0.2">
      <c r="B776" s="4">
        <v>2014</v>
      </c>
      <c r="C776" s="11" t="s">
        <v>709</v>
      </c>
      <c r="D776" s="11" t="s">
        <v>787</v>
      </c>
      <c r="E776" s="11" t="s">
        <v>789</v>
      </c>
      <c r="F776" s="12">
        <v>0</v>
      </c>
    </row>
    <row r="777" spans="2:6" hidden="1" x14ac:dyDescent="0.2">
      <c r="B777" s="4">
        <v>2014</v>
      </c>
      <c r="C777" s="11" t="s">
        <v>709</v>
      </c>
      <c r="D777" s="11" t="s">
        <v>787</v>
      </c>
      <c r="E777" s="11" t="s">
        <v>790</v>
      </c>
      <c r="F777" s="12">
        <v>0</v>
      </c>
    </row>
    <row r="778" spans="2:6" hidden="1" x14ac:dyDescent="0.2">
      <c r="B778" s="4">
        <v>2014</v>
      </c>
      <c r="C778" s="11" t="s">
        <v>709</v>
      </c>
      <c r="D778" s="11" t="s">
        <v>787</v>
      </c>
      <c r="E778" s="11" t="s">
        <v>791</v>
      </c>
      <c r="F778" s="12">
        <v>0</v>
      </c>
    </row>
    <row r="779" spans="2:6" hidden="1" x14ac:dyDescent="0.2">
      <c r="B779" s="4">
        <v>2014</v>
      </c>
      <c r="C779" s="11" t="s">
        <v>709</v>
      </c>
      <c r="D779" s="11" t="s">
        <v>787</v>
      </c>
      <c r="E779" s="11" t="s">
        <v>792</v>
      </c>
      <c r="F779" s="12">
        <v>1</v>
      </c>
    </row>
    <row r="780" spans="2:6" hidden="1" x14ac:dyDescent="0.2">
      <c r="B780" s="4">
        <v>2014</v>
      </c>
      <c r="C780" s="11" t="s">
        <v>709</v>
      </c>
      <c r="D780" s="11" t="s">
        <v>793</v>
      </c>
      <c r="E780" s="11" t="s">
        <v>794</v>
      </c>
      <c r="F780" s="12">
        <v>0</v>
      </c>
    </row>
    <row r="781" spans="2:6" hidden="1" x14ac:dyDescent="0.2">
      <c r="B781" s="4">
        <v>2014</v>
      </c>
      <c r="C781" s="11" t="s">
        <v>709</v>
      </c>
      <c r="D781" s="11" t="s">
        <v>793</v>
      </c>
      <c r="E781" s="11" t="s">
        <v>795</v>
      </c>
      <c r="F781" s="12">
        <v>0</v>
      </c>
    </row>
    <row r="782" spans="2:6" hidden="1" x14ac:dyDescent="0.2">
      <c r="B782" s="4">
        <v>2014</v>
      </c>
      <c r="C782" s="11" t="s">
        <v>709</v>
      </c>
      <c r="D782" s="11" t="s">
        <v>793</v>
      </c>
      <c r="E782" s="11" t="s">
        <v>796</v>
      </c>
      <c r="F782" s="12">
        <v>0</v>
      </c>
    </row>
    <row r="783" spans="2:6" hidden="1" x14ac:dyDescent="0.2">
      <c r="B783" s="4">
        <v>2014</v>
      </c>
      <c r="C783" s="11" t="s">
        <v>709</v>
      </c>
      <c r="D783" s="11" t="s">
        <v>793</v>
      </c>
      <c r="E783" s="11" t="s">
        <v>797</v>
      </c>
      <c r="F783" s="12">
        <v>0</v>
      </c>
    </row>
    <row r="784" spans="2:6" hidden="1" x14ac:dyDescent="0.2">
      <c r="B784" s="4">
        <v>2014</v>
      </c>
      <c r="C784" s="11" t="s">
        <v>709</v>
      </c>
      <c r="D784" s="11" t="s">
        <v>793</v>
      </c>
      <c r="E784" s="11" t="s">
        <v>798</v>
      </c>
      <c r="F784" s="12">
        <v>4</v>
      </c>
    </row>
    <row r="785" spans="2:6" hidden="1" x14ac:dyDescent="0.2">
      <c r="B785" s="4">
        <v>2014</v>
      </c>
      <c r="C785" s="11" t="s">
        <v>709</v>
      </c>
      <c r="D785" s="11" t="s">
        <v>793</v>
      </c>
      <c r="E785" s="11" t="s">
        <v>799</v>
      </c>
      <c r="F785" s="12">
        <v>8</v>
      </c>
    </row>
    <row r="786" spans="2:6" hidden="1" x14ac:dyDescent="0.2">
      <c r="B786" s="4">
        <v>2014</v>
      </c>
      <c r="C786" s="11" t="s">
        <v>709</v>
      </c>
      <c r="D786" s="11" t="s">
        <v>793</v>
      </c>
      <c r="E786" s="11" t="s">
        <v>800</v>
      </c>
      <c r="F786" s="12">
        <v>1</v>
      </c>
    </row>
    <row r="787" spans="2:6" hidden="1" x14ac:dyDescent="0.2">
      <c r="B787" s="4">
        <v>2014</v>
      </c>
      <c r="C787" s="11" t="s">
        <v>709</v>
      </c>
      <c r="D787" s="11" t="s">
        <v>793</v>
      </c>
      <c r="E787" s="11" t="s">
        <v>331</v>
      </c>
      <c r="F787" s="12">
        <v>10</v>
      </c>
    </row>
    <row r="788" spans="2:6" hidden="1" x14ac:dyDescent="0.2">
      <c r="B788" s="4">
        <v>2014</v>
      </c>
      <c r="C788" s="11" t="s">
        <v>709</v>
      </c>
      <c r="D788" s="11" t="s">
        <v>793</v>
      </c>
      <c r="E788" s="11" t="s">
        <v>801</v>
      </c>
      <c r="F788" s="12">
        <v>2</v>
      </c>
    </row>
    <row r="789" spans="2:6" hidden="1" x14ac:dyDescent="0.2">
      <c r="B789" s="4">
        <v>2014</v>
      </c>
      <c r="C789" s="11" t="s">
        <v>709</v>
      </c>
      <c r="D789" s="11" t="s">
        <v>793</v>
      </c>
      <c r="E789" s="11" t="s">
        <v>802</v>
      </c>
      <c r="F789" s="12">
        <v>6</v>
      </c>
    </row>
    <row r="790" spans="2:6" hidden="1" x14ac:dyDescent="0.2">
      <c r="B790" s="4">
        <v>2014</v>
      </c>
      <c r="C790" s="11" t="s">
        <v>709</v>
      </c>
      <c r="D790" s="11" t="s">
        <v>793</v>
      </c>
      <c r="E790" s="11" t="s">
        <v>320</v>
      </c>
      <c r="F790" s="12">
        <v>26</v>
      </c>
    </row>
    <row r="791" spans="2:6" hidden="1" x14ac:dyDescent="0.2">
      <c r="B791" s="4">
        <v>2014</v>
      </c>
      <c r="C791" s="11" t="s">
        <v>709</v>
      </c>
      <c r="D791" s="11" t="s">
        <v>793</v>
      </c>
      <c r="E791" s="11" t="s">
        <v>803</v>
      </c>
      <c r="F791" s="12">
        <v>0</v>
      </c>
    </row>
    <row r="792" spans="2:6" hidden="1" x14ac:dyDescent="0.2">
      <c r="B792" s="4">
        <v>2014</v>
      </c>
      <c r="C792" s="11" t="s">
        <v>709</v>
      </c>
      <c r="D792" s="11" t="s">
        <v>804</v>
      </c>
      <c r="E792" s="11" t="s">
        <v>804</v>
      </c>
      <c r="F792" s="12">
        <v>10</v>
      </c>
    </row>
    <row r="793" spans="2:6" hidden="1" x14ac:dyDescent="0.2">
      <c r="B793" s="4">
        <v>2014</v>
      </c>
      <c r="C793" s="11" t="s">
        <v>709</v>
      </c>
      <c r="D793" s="11" t="s">
        <v>804</v>
      </c>
      <c r="E793" s="11" t="s">
        <v>805</v>
      </c>
      <c r="F793" s="12">
        <v>2</v>
      </c>
    </row>
    <row r="794" spans="2:6" hidden="1" x14ac:dyDescent="0.2">
      <c r="B794" s="4">
        <v>2014</v>
      </c>
      <c r="C794" s="11" t="s">
        <v>709</v>
      </c>
      <c r="D794" s="11" t="s">
        <v>804</v>
      </c>
      <c r="E794" s="11" t="s">
        <v>275</v>
      </c>
      <c r="F794" s="12">
        <v>0</v>
      </c>
    </row>
    <row r="795" spans="2:6" hidden="1" x14ac:dyDescent="0.2">
      <c r="B795" s="4">
        <v>2014</v>
      </c>
      <c r="C795" s="11" t="s">
        <v>709</v>
      </c>
      <c r="D795" s="11" t="s">
        <v>804</v>
      </c>
      <c r="E795" s="11" t="s">
        <v>806</v>
      </c>
      <c r="F795" s="12">
        <v>10</v>
      </c>
    </row>
    <row r="796" spans="2:6" hidden="1" x14ac:dyDescent="0.2">
      <c r="B796" s="4">
        <v>2014</v>
      </c>
      <c r="C796" s="11" t="s">
        <v>709</v>
      </c>
      <c r="D796" s="11" t="s">
        <v>804</v>
      </c>
      <c r="E796" s="11" t="s">
        <v>807</v>
      </c>
      <c r="F796" s="12">
        <v>1</v>
      </c>
    </row>
    <row r="797" spans="2:6" hidden="1" x14ac:dyDescent="0.2">
      <c r="B797" s="4">
        <v>2014</v>
      </c>
      <c r="C797" s="11" t="s">
        <v>709</v>
      </c>
      <c r="D797" s="11" t="s">
        <v>804</v>
      </c>
      <c r="E797" s="11" t="s">
        <v>808</v>
      </c>
      <c r="F797" s="12">
        <v>4</v>
      </c>
    </row>
    <row r="798" spans="2:6" hidden="1" x14ac:dyDescent="0.2">
      <c r="B798" s="4">
        <v>2014</v>
      </c>
      <c r="C798" s="11" t="s">
        <v>709</v>
      </c>
      <c r="D798" s="11" t="s">
        <v>804</v>
      </c>
      <c r="E798" s="11" t="s">
        <v>809</v>
      </c>
      <c r="F798" s="12">
        <v>2</v>
      </c>
    </row>
    <row r="799" spans="2:6" hidden="1" x14ac:dyDescent="0.2">
      <c r="B799" s="4">
        <v>2014</v>
      </c>
      <c r="C799" s="11" t="s">
        <v>810</v>
      </c>
      <c r="D799" s="11" t="s">
        <v>810</v>
      </c>
      <c r="E799" s="11" t="s">
        <v>810</v>
      </c>
      <c r="F799" s="12">
        <v>66</v>
      </c>
    </row>
    <row r="800" spans="2:6" hidden="1" x14ac:dyDescent="0.2">
      <c r="B800" s="4">
        <v>2014</v>
      </c>
      <c r="C800" s="11" t="s">
        <v>810</v>
      </c>
      <c r="D800" s="11" t="s">
        <v>810</v>
      </c>
      <c r="E800" s="11" t="s">
        <v>811</v>
      </c>
      <c r="F800" s="12">
        <v>0</v>
      </c>
    </row>
    <row r="801" spans="2:6" hidden="1" x14ac:dyDescent="0.2">
      <c r="B801" s="4">
        <v>2014</v>
      </c>
      <c r="C801" s="11" t="s">
        <v>810</v>
      </c>
      <c r="D801" s="11" t="s">
        <v>810</v>
      </c>
      <c r="E801" s="11" t="s">
        <v>812</v>
      </c>
      <c r="F801" s="12">
        <v>0</v>
      </c>
    </row>
    <row r="802" spans="2:6" hidden="1" x14ac:dyDescent="0.2">
      <c r="B802" s="4">
        <v>2014</v>
      </c>
      <c r="C802" s="11" t="s">
        <v>810</v>
      </c>
      <c r="D802" s="11" t="s">
        <v>810</v>
      </c>
      <c r="E802" s="11" t="s">
        <v>813</v>
      </c>
      <c r="F802" s="12">
        <v>0</v>
      </c>
    </row>
    <row r="803" spans="2:6" hidden="1" x14ac:dyDescent="0.2">
      <c r="B803" s="4">
        <v>2014</v>
      </c>
      <c r="C803" s="11" t="s">
        <v>810</v>
      </c>
      <c r="D803" s="11" t="s">
        <v>810</v>
      </c>
      <c r="E803" s="11" t="s">
        <v>814</v>
      </c>
      <c r="F803" s="12">
        <v>1</v>
      </c>
    </row>
    <row r="804" spans="2:6" hidden="1" x14ac:dyDescent="0.2">
      <c r="B804" s="4">
        <v>2014</v>
      </c>
      <c r="C804" s="11" t="s">
        <v>810</v>
      </c>
      <c r="D804" s="11" t="s">
        <v>810</v>
      </c>
      <c r="E804" s="11" t="s">
        <v>815</v>
      </c>
      <c r="F804" s="12">
        <v>0</v>
      </c>
    </row>
    <row r="805" spans="2:6" hidden="1" x14ac:dyDescent="0.2">
      <c r="B805" s="4">
        <v>2014</v>
      </c>
      <c r="C805" s="11" t="s">
        <v>810</v>
      </c>
      <c r="D805" s="11" t="s">
        <v>810</v>
      </c>
      <c r="E805" s="11" t="s">
        <v>816</v>
      </c>
      <c r="F805" s="12">
        <v>0</v>
      </c>
    </row>
    <row r="806" spans="2:6" hidden="1" x14ac:dyDescent="0.2">
      <c r="B806" s="4">
        <v>2014</v>
      </c>
      <c r="C806" s="11" t="s">
        <v>810</v>
      </c>
      <c r="D806" s="11" t="s">
        <v>810</v>
      </c>
      <c r="E806" s="11" t="s">
        <v>817</v>
      </c>
      <c r="F806" s="12">
        <v>2</v>
      </c>
    </row>
    <row r="807" spans="2:6" hidden="1" x14ac:dyDescent="0.2">
      <c r="B807" s="4">
        <v>2014</v>
      </c>
      <c r="C807" s="11" t="s">
        <v>810</v>
      </c>
      <c r="D807" s="11" t="s">
        <v>810</v>
      </c>
      <c r="E807" s="11" t="s">
        <v>818</v>
      </c>
      <c r="F807" s="12">
        <v>0</v>
      </c>
    </row>
    <row r="808" spans="2:6" hidden="1" x14ac:dyDescent="0.2">
      <c r="B808" s="4">
        <v>2014</v>
      </c>
      <c r="C808" s="11" t="s">
        <v>810</v>
      </c>
      <c r="D808" s="11" t="s">
        <v>810</v>
      </c>
      <c r="E808" s="11" t="s">
        <v>819</v>
      </c>
      <c r="F808" s="12">
        <v>1</v>
      </c>
    </row>
    <row r="809" spans="2:6" hidden="1" x14ac:dyDescent="0.2">
      <c r="B809" s="4">
        <v>2014</v>
      </c>
      <c r="C809" s="11" t="s">
        <v>810</v>
      </c>
      <c r="D809" s="11" t="s">
        <v>810</v>
      </c>
      <c r="E809" s="11" t="s">
        <v>400</v>
      </c>
      <c r="F809" s="12">
        <v>0</v>
      </c>
    </row>
    <row r="810" spans="2:6" hidden="1" x14ac:dyDescent="0.2">
      <c r="B810" s="4">
        <v>2014</v>
      </c>
      <c r="C810" s="11" t="s">
        <v>810</v>
      </c>
      <c r="D810" s="11" t="s">
        <v>810</v>
      </c>
      <c r="E810" s="11" t="s">
        <v>820</v>
      </c>
      <c r="F810" s="12">
        <v>0</v>
      </c>
    </row>
    <row r="811" spans="2:6" hidden="1" x14ac:dyDescent="0.2">
      <c r="B811" s="4">
        <v>2014</v>
      </c>
      <c r="C811" s="11" t="s">
        <v>810</v>
      </c>
      <c r="D811" s="11" t="s">
        <v>810</v>
      </c>
      <c r="E811" s="11" t="s">
        <v>821</v>
      </c>
      <c r="F811" s="12">
        <v>0</v>
      </c>
    </row>
    <row r="812" spans="2:6" hidden="1" x14ac:dyDescent="0.2">
      <c r="B812" s="4">
        <v>2014</v>
      </c>
      <c r="C812" s="11" t="s">
        <v>810</v>
      </c>
      <c r="D812" s="11" t="s">
        <v>810</v>
      </c>
      <c r="E812" s="11" t="s">
        <v>822</v>
      </c>
      <c r="F812" s="12">
        <v>0</v>
      </c>
    </row>
    <row r="813" spans="2:6" hidden="1" x14ac:dyDescent="0.2">
      <c r="B813" s="4">
        <v>2014</v>
      </c>
      <c r="C813" s="11" t="s">
        <v>810</v>
      </c>
      <c r="D813" s="11" t="s">
        <v>810</v>
      </c>
      <c r="E813" s="11" t="s">
        <v>823</v>
      </c>
      <c r="F813" s="12">
        <v>0</v>
      </c>
    </row>
    <row r="814" spans="2:6" hidden="1" x14ac:dyDescent="0.2">
      <c r="B814" s="4">
        <v>2014</v>
      </c>
      <c r="C814" s="11" t="s">
        <v>810</v>
      </c>
      <c r="D814" s="11" t="s">
        <v>810</v>
      </c>
      <c r="E814" s="11" t="s">
        <v>824</v>
      </c>
      <c r="F814" s="12">
        <v>0</v>
      </c>
    </row>
    <row r="815" spans="2:6" hidden="1" x14ac:dyDescent="0.2">
      <c r="B815" s="4">
        <v>2014</v>
      </c>
      <c r="C815" s="11" t="s">
        <v>810</v>
      </c>
      <c r="D815" s="11" t="s">
        <v>810</v>
      </c>
      <c r="E815" s="11" t="s">
        <v>825</v>
      </c>
      <c r="F815" s="12">
        <v>15</v>
      </c>
    </row>
    <row r="816" spans="2:6" hidden="1" x14ac:dyDescent="0.2">
      <c r="B816" s="4">
        <v>2014</v>
      </c>
      <c r="C816" s="11" t="s">
        <v>810</v>
      </c>
      <c r="D816" s="11" t="s">
        <v>810</v>
      </c>
      <c r="E816" s="11" t="s">
        <v>826</v>
      </c>
      <c r="F816" s="12">
        <v>7</v>
      </c>
    </row>
    <row r="817" spans="2:6" hidden="1" x14ac:dyDescent="0.2">
      <c r="B817" s="4">
        <v>2014</v>
      </c>
      <c r="C817" s="11" t="s">
        <v>810</v>
      </c>
      <c r="D817" s="11" t="s">
        <v>810</v>
      </c>
      <c r="E817" s="11" t="s">
        <v>827</v>
      </c>
      <c r="F817" s="12">
        <v>1</v>
      </c>
    </row>
    <row r="818" spans="2:6" hidden="1" x14ac:dyDescent="0.2">
      <c r="B818" s="4">
        <v>2014</v>
      </c>
      <c r="C818" s="11" t="s">
        <v>810</v>
      </c>
      <c r="D818" s="11" t="s">
        <v>271</v>
      </c>
      <c r="E818" s="11" t="s">
        <v>271</v>
      </c>
      <c r="F818" s="12">
        <v>5</v>
      </c>
    </row>
    <row r="819" spans="2:6" hidden="1" x14ac:dyDescent="0.2">
      <c r="B819" s="4">
        <v>2014</v>
      </c>
      <c r="C819" s="11" t="s">
        <v>810</v>
      </c>
      <c r="D819" s="11" t="s">
        <v>271</v>
      </c>
      <c r="E819" s="11" t="s">
        <v>694</v>
      </c>
      <c r="F819" s="12">
        <v>0</v>
      </c>
    </row>
    <row r="820" spans="2:6" hidden="1" x14ac:dyDescent="0.2">
      <c r="B820" s="4">
        <v>2014</v>
      </c>
      <c r="C820" s="11" t="s">
        <v>810</v>
      </c>
      <c r="D820" s="11" t="s">
        <v>271</v>
      </c>
      <c r="E820" s="11" t="s">
        <v>168</v>
      </c>
      <c r="F820" s="12">
        <v>0</v>
      </c>
    </row>
    <row r="821" spans="2:6" hidden="1" x14ac:dyDescent="0.2">
      <c r="B821" s="4">
        <v>2014</v>
      </c>
      <c r="C821" s="11" t="s">
        <v>810</v>
      </c>
      <c r="D821" s="11" t="s">
        <v>271</v>
      </c>
      <c r="E821" s="11" t="s">
        <v>828</v>
      </c>
      <c r="F821" s="12">
        <v>0</v>
      </c>
    </row>
    <row r="822" spans="2:6" hidden="1" x14ac:dyDescent="0.2">
      <c r="B822" s="4">
        <v>2014</v>
      </c>
      <c r="C822" s="11" t="s">
        <v>810</v>
      </c>
      <c r="D822" s="11" t="s">
        <v>271</v>
      </c>
      <c r="E822" s="11" t="s">
        <v>829</v>
      </c>
      <c r="F822" s="12">
        <v>0</v>
      </c>
    </row>
    <row r="823" spans="2:6" hidden="1" x14ac:dyDescent="0.2">
      <c r="B823" s="4">
        <v>2014</v>
      </c>
      <c r="C823" s="11" t="s">
        <v>810</v>
      </c>
      <c r="D823" s="11" t="s">
        <v>271</v>
      </c>
      <c r="E823" s="11" t="s">
        <v>830</v>
      </c>
      <c r="F823" s="12">
        <v>8</v>
      </c>
    </row>
    <row r="824" spans="2:6" hidden="1" x14ac:dyDescent="0.2">
      <c r="B824" s="4">
        <v>2014</v>
      </c>
      <c r="C824" s="11" t="s">
        <v>810</v>
      </c>
      <c r="D824" s="11" t="s">
        <v>271</v>
      </c>
      <c r="E824" s="11" t="s">
        <v>308</v>
      </c>
      <c r="F824" s="12">
        <v>0</v>
      </c>
    </row>
    <row r="825" spans="2:6" hidden="1" x14ac:dyDescent="0.2">
      <c r="B825" s="4">
        <v>2014</v>
      </c>
      <c r="C825" s="11" t="s">
        <v>810</v>
      </c>
      <c r="D825" s="11" t="s">
        <v>271</v>
      </c>
      <c r="E825" s="11" t="s">
        <v>831</v>
      </c>
      <c r="F825" s="12">
        <v>0</v>
      </c>
    </row>
    <row r="826" spans="2:6" hidden="1" x14ac:dyDescent="0.2">
      <c r="B826" s="4">
        <v>2014</v>
      </c>
      <c r="C826" s="11" t="s">
        <v>810</v>
      </c>
      <c r="D826" s="11" t="s">
        <v>832</v>
      </c>
      <c r="E826" s="11" t="s">
        <v>833</v>
      </c>
      <c r="F826" s="12">
        <v>40</v>
      </c>
    </row>
    <row r="827" spans="2:6" hidden="1" x14ac:dyDescent="0.2">
      <c r="B827" s="4">
        <v>2014</v>
      </c>
      <c r="C827" s="11" t="s">
        <v>810</v>
      </c>
      <c r="D827" s="11" t="s">
        <v>832</v>
      </c>
      <c r="E827" s="11" t="s">
        <v>834</v>
      </c>
      <c r="F827" s="12">
        <v>0</v>
      </c>
    </row>
    <row r="828" spans="2:6" hidden="1" x14ac:dyDescent="0.2">
      <c r="B828" s="4">
        <v>2014</v>
      </c>
      <c r="C828" s="11" t="s">
        <v>810</v>
      </c>
      <c r="D828" s="11" t="s">
        <v>832</v>
      </c>
      <c r="E828" s="11" t="s">
        <v>835</v>
      </c>
      <c r="F828" s="12">
        <v>0</v>
      </c>
    </row>
    <row r="829" spans="2:6" hidden="1" x14ac:dyDescent="0.2">
      <c r="B829" s="4">
        <v>2014</v>
      </c>
      <c r="C829" s="11" t="s">
        <v>810</v>
      </c>
      <c r="D829" s="11" t="s">
        <v>832</v>
      </c>
      <c r="E829" s="11" t="s">
        <v>836</v>
      </c>
      <c r="F829" s="12">
        <v>0</v>
      </c>
    </row>
    <row r="830" spans="2:6" hidden="1" x14ac:dyDescent="0.2">
      <c r="B830" s="4">
        <v>2014</v>
      </c>
      <c r="C830" s="11" t="s">
        <v>810</v>
      </c>
      <c r="D830" s="11" t="s">
        <v>832</v>
      </c>
      <c r="E830" s="11" t="s">
        <v>837</v>
      </c>
      <c r="F830" s="12">
        <v>0</v>
      </c>
    </row>
    <row r="831" spans="2:6" hidden="1" x14ac:dyDescent="0.2">
      <c r="B831" s="4">
        <v>2014</v>
      </c>
      <c r="C831" s="11" t="s">
        <v>810</v>
      </c>
      <c r="D831" s="11" t="s">
        <v>832</v>
      </c>
      <c r="E831" s="11" t="s">
        <v>838</v>
      </c>
      <c r="F831" s="12">
        <v>0</v>
      </c>
    </row>
    <row r="832" spans="2:6" hidden="1" x14ac:dyDescent="0.2">
      <c r="B832" s="4">
        <v>2014</v>
      </c>
      <c r="C832" s="11" t="s">
        <v>810</v>
      </c>
      <c r="D832" s="11" t="s">
        <v>832</v>
      </c>
      <c r="E832" s="11" t="s">
        <v>839</v>
      </c>
      <c r="F832" s="12">
        <v>0</v>
      </c>
    </row>
    <row r="833" spans="2:6" hidden="1" x14ac:dyDescent="0.2">
      <c r="B833" s="4">
        <v>2014</v>
      </c>
      <c r="C833" s="11" t="s">
        <v>810</v>
      </c>
      <c r="D833" s="11" t="s">
        <v>832</v>
      </c>
      <c r="E833" s="11" t="s">
        <v>840</v>
      </c>
      <c r="F833" s="12">
        <v>0</v>
      </c>
    </row>
    <row r="834" spans="2:6" hidden="1" x14ac:dyDescent="0.2">
      <c r="B834" s="4">
        <v>2014</v>
      </c>
      <c r="C834" s="11" t="s">
        <v>810</v>
      </c>
      <c r="D834" s="11" t="s">
        <v>832</v>
      </c>
      <c r="E834" s="11" t="s">
        <v>841</v>
      </c>
      <c r="F834" s="12">
        <v>0</v>
      </c>
    </row>
    <row r="835" spans="2:6" hidden="1" x14ac:dyDescent="0.2">
      <c r="B835" s="4">
        <v>2014</v>
      </c>
      <c r="C835" s="11" t="s">
        <v>810</v>
      </c>
      <c r="D835" s="11" t="s">
        <v>832</v>
      </c>
      <c r="E835" s="11" t="s">
        <v>842</v>
      </c>
      <c r="F835" s="12">
        <v>0</v>
      </c>
    </row>
    <row r="836" spans="2:6" hidden="1" x14ac:dyDescent="0.2">
      <c r="B836" s="4">
        <v>2014</v>
      </c>
      <c r="C836" s="11" t="s">
        <v>810</v>
      </c>
      <c r="D836" s="11" t="s">
        <v>832</v>
      </c>
      <c r="E836" s="11" t="s">
        <v>843</v>
      </c>
      <c r="F836" s="12">
        <v>4</v>
      </c>
    </row>
    <row r="837" spans="2:6" hidden="1" x14ac:dyDescent="0.2">
      <c r="B837" s="4">
        <v>2014</v>
      </c>
      <c r="C837" s="11" t="s">
        <v>810</v>
      </c>
      <c r="D837" s="11" t="s">
        <v>832</v>
      </c>
      <c r="E837" s="11" t="s">
        <v>844</v>
      </c>
      <c r="F837" s="12">
        <v>0</v>
      </c>
    </row>
    <row r="838" spans="2:6" hidden="1" x14ac:dyDescent="0.2">
      <c r="B838" s="4">
        <v>2014</v>
      </c>
      <c r="C838" s="11" t="s">
        <v>810</v>
      </c>
      <c r="D838" s="11" t="s">
        <v>845</v>
      </c>
      <c r="E838" s="11" t="s">
        <v>845</v>
      </c>
      <c r="F838" s="12">
        <v>2</v>
      </c>
    </row>
    <row r="839" spans="2:6" hidden="1" x14ac:dyDescent="0.2">
      <c r="B839" s="4">
        <v>2014</v>
      </c>
      <c r="C839" s="11" t="s">
        <v>810</v>
      </c>
      <c r="D839" s="11" t="s">
        <v>845</v>
      </c>
      <c r="E839" s="11" t="s">
        <v>846</v>
      </c>
      <c r="F839" s="12">
        <v>1</v>
      </c>
    </row>
    <row r="840" spans="2:6" hidden="1" x14ac:dyDescent="0.2">
      <c r="B840" s="4">
        <v>2014</v>
      </c>
      <c r="C840" s="11" t="s">
        <v>810</v>
      </c>
      <c r="D840" s="11" t="s">
        <v>845</v>
      </c>
      <c r="E840" s="11" t="s">
        <v>847</v>
      </c>
      <c r="F840" s="12">
        <v>5</v>
      </c>
    </row>
    <row r="841" spans="2:6" hidden="1" x14ac:dyDescent="0.2">
      <c r="B841" s="4">
        <v>2014</v>
      </c>
      <c r="C841" s="11" t="s">
        <v>810</v>
      </c>
      <c r="D841" s="11" t="s">
        <v>845</v>
      </c>
      <c r="E841" s="11" t="s">
        <v>848</v>
      </c>
      <c r="F841" s="12">
        <v>0</v>
      </c>
    </row>
    <row r="842" spans="2:6" hidden="1" x14ac:dyDescent="0.2">
      <c r="B842" s="4">
        <v>2014</v>
      </c>
      <c r="C842" s="11" t="s">
        <v>810</v>
      </c>
      <c r="D842" s="11" t="s">
        <v>845</v>
      </c>
      <c r="E842" s="11" t="s">
        <v>849</v>
      </c>
      <c r="F842" s="12">
        <v>0</v>
      </c>
    </row>
    <row r="843" spans="2:6" hidden="1" x14ac:dyDescent="0.2">
      <c r="B843" s="4">
        <v>2014</v>
      </c>
      <c r="C843" s="11" t="s">
        <v>810</v>
      </c>
      <c r="D843" s="11" t="s">
        <v>845</v>
      </c>
      <c r="E843" s="11" t="s">
        <v>850</v>
      </c>
      <c r="F843" s="12">
        <v>0</v>
      </c>
    </row>
    <row r="844" spans="2:6" hidden="1" x14ac:dyDescent="0.2">
      <c r="B844" s="4">
        <v>2014</v>
      </c>
      <c r="C844" s="11" t="s">
        <v>810</v>
      </c>
      <c r="D844" s="11" t="s">
        <v>845</v>
      </c>
      <c r="E844" s="11" t="s">
        <v>851</v>
      </c>
      <c r="F844" s="12">
        <v>1</v>
      </c>
    </row>
    <row r="845" spans="2:6" hidden="1" x14ac:dyDescent="0.2">
      <c r="B845" s="4">
        <v>2014</v>
      </c>
      <c r="C845" s="11" t="s">
        <v>810</v>
      </c>
      <c r="D845" s="11" t="s">
        <v>845</v>
      </c>
      <c r="E845" s="11" t="s">
        <v>852</v>
      </c>
      <c r="F845" s="12">
        <v>0</v>
      </c>
    </row>
    <row r="846" spans="2:6" hidden="1" x14ac:dyDescent="0.2">
      <c r="B846" s="4">
        <v>2014</v>
      </c>
      <c r="C846" s="11" t="s">
        <v>810</v>
      </c>
      <c r="D846" s="11" t="s">
        <v>845</v>
      </c>
      <c r="E846" s="11" t="s">
        <v>853</v>
      </c>
      <c r="F846" s="12">
        <v>0</v>
      </c>
    </row>
    <row r="847" spans="2:6" hidden="1" x14ac:dyDescent="0.2">
      <c r="B847" s="4">
        <v>2014</v>
      </c>
      <c r="C847" s="11" t="s">
        <v>810</v>
      </c>
      <c r="D847" s="11" t="s">
        <v>845</v>
      </c>
      <c r="E847" s="11" t="s">
        <v>278</v>
      </c>
      <c r="F847" s="12">
        <v>0</v>
      </c>
    </row>
    <row r="848" spans="2:6" hidden="1" x14ac:dyDescent="0.2">
      <c r="B848" s="4">
        <v>2014</v>
      </c>
      <c r="C848" s="11" t="s">
        <v>810</v>
      </c>
      <c r="D848" s="11" t="s">
        <v>845</v>
      </c>
      <c r="E848" s="11" t="s">
        <v>770</v>
      </c>
      <c r="F848" s="12">
        <v>0</v>
      </c>
    </row>
    <row r="849" spans="2:6" hidden="1" x14ac:dyDescent="0.2">
      <c r="B849" s="4">
        <v>2014</v>
      </c>
      <c r="C849" s="11" t="s">
        <v>810</v>
      </c>
      <c r="D849" s="11" t="s">
        <v>845</v>
      </c>
      <c r="E849" s="11" t="s">
        <v>854</v>
      </c>
      <c r="F849" s="12">
        <v>15</v>
      </c>
    </row>
    <row r="850" spans="2:6" hidden="1" x14ac:dyDescent="0.2">
      <c r="B850" s="4">
        <v>2014</v>
      </c>
      <c r="C850" s="11" t="s">
        <v>810</v>
      </c>
      <c r="D850" s="11" t="s">
        <v>845</v>
      </c>
      <c r="E850" s="11" t="s">
        <v>855</v>
      </c>
      <c r="F850" s="12">
        <v>2</v>
      </c>
    </row>
    <row r="851" spans="2:6" hidden="1" x14ac:dyDescent="0.2">
      <c r="B851" s="4">
        <v>2014</v>
      </c>
      <c r="C851" s="11" t="s">
        <v>810</v>
      </c>
      <c r="D851" s="11" t="s">
        <v>856</v>
      </c>
      <c r="E851" s="11" t="s">
        <v>856</v>
      </c>
      <c r="F851" s="12">
        <v>4</v>
      </c>
    </row>
    <row r="852" spans="2:6" hidden="1" x14ac:dyDescent="0.2">
      <c r="B852" s="4">
        <v>2014</v>
      </c>
      <c r="C852" s="11" t="s">
        <v>810</v>
      </c>
      <c r="D852" s="11" t="s">
        <v>856</v>
      </c>
      <c r="E852" s="11" t="s">
        <v>514</v>
      </c>
      <c r="F852" s="12">
        <v>0</v>
      </c>
    </row>
    <row r="853" spans="2:6" hidden="1" x14ac:dyDescent="0.2">
      <c r="B853" s="4">
        <v>2014</v>
      </c>
      <c r="C853" s="11" t="s">
        <v>810</v>
      </c>
      <c r="D853" s="11" t="s">
        <v>856</v>
      </c>
      <c r="E853" s="11" t="s">
        <v>857</v>
      </c>
      <c r="F853" s="12">
        <v>0</v>
      </c>
    </row>
    <row r="854" spans="2:6" hidden="1" x14ac:dyDescent="0.2">
      <c r="B854" s="4">
        <v>2014</v>
      </c>
      <c r="C854" s="11" t="s">
        <v>810</v>
      </c>
      <c r="D854" s="11" t="s">
        <v>856</v>
      </c>
      <c r="E854" s="11" t="s">
        <v>858</v>
      </c>
      <c r="F854" s="12">
        <v>0</v>
      </c>
    </row>
    <row r="855" spans="2:6" hidden="1" x14ac:dyDescent="0.2">
      <c r="B855" s="4">
        <v>2014</v>
      </c>
      <c r="C855" s="11" t="s">
        <v>810</v>
      </c>
      <c r="D855" s="11" t="s">
        <v>856</v>
      </c>
      <c r="E855" s="11" t="s">
        <v>139</v>
      </c>
      <c r="F855" s="12">
        <v>0</v>
      </c>
    </row>
    <row r="856" spans="2:6" hidden="1" x14ac:dyDescent="0.2">
      <c r="B856" s="4">
        <v>2014</v>
      </c>
      <c r="C856" s="11" t="s">
        <v>810</v>
      </c>
      <c r="D856" s="11" t="s">
        <v>856</v>
      </c>
      <c r="E856" s="11" t="s">
        <v>859</v>
      </c>
      <c r="F856" s="12">
        <v>0</v>
      </c>
    </row>
    <row r="857" spans="2:6" hidden="1" x14ac:dyDescent="0.2">
      <c r="B857" s="4">
        <v>2014</v>
      </c>
      <c r="C857" s="11" t="s">
        <v>810</v>
      </c>
      <c r="D857" s="11" t="s">
        <v>856</v>
      </c>
      <c r="E857" s="11" t="s">
        <v>860</v>
      </c>
      <c r="F857" s="12">
        <v>0</v>
      </c>
    </row>
    <row r="858" spans="2:6" hidden="1" x14ac:dyDescent="0.2">
      <c r="B858" s="4">
        <v>2014</v>
      </c>
      <c r="C858" s="11" t="s">
        <v>810</v>
      </c>
      <c r="D858" s="11" t="s">
        <v>856</v>
      </c>
      <c r="E858" s="11" t="s">
        <v>861</v>
      </c>
      <c r="F858" s="12">
        <v>2</v>
      </c>
    </row>
    <row r="859" spans="2:6" hidden="1" x14ac:dyDescent="0.2">
      <c r="B859" s="4">
        <v>2014</v>
      </c>
      <c r="C859" s="11" t="s">
        <v>810</v>
      </c>
      <c r="D859" s="11" t="s">
        <v>856</v>
      </c>
      <c r="E859" s="11" t="s">
        <v>862</v>
      </c>
      <c r="F859" s="12">
        <v>0</v>
      </c>
    </row>
    <row r="860" spans="2:6" hidden="1" x14ac:dyDescent="0.2">
      <c r="B860" s="4">
        <v>2014</v>
      </c>
      <c r="C860" s="11" t="s">
        <v>810</v>
      </c>
      <c r="D860" s="11" t="s">
        <v>856</v>
      </c>
      <c r="E860" s="11" t="s">
        <v>863</v>
      </c>
      <c r="F860" s="12">
        <v>0</v>
      </c>
    </row>
    <row r="861" spans="2:6" hidden="1" x14ac:dyDescent="0.2">
      <c r="B861" s="4">
        <v>2014</v>
      </c>
      <c r="C861" s="11" t="s">
        <v>810</v>
      </c>
      <c r="D861" s="11" t="s">
        <v>856</v>
      </c>
      <c r="E861" s="11" t="s">
        <v>864</v>
      </c>
      <c r="F861" s="12">
        <v>0</v>
      </c>
    </row>
    <row r="862" spans="2:6" hidden="1" x14ac:dyDescent="0.2">
      <c r="B862" s="4">
        <v>2014</v>
      </c>
      <c r="C862" s="11" t="s">
        <v>810</v>
      </c>
      <c r="D862" s="11" t="s">
        <v>865</v>
      </c>
      <c r="E862" s="11" t="s">
        <v>865</v>
      </c>
      <c r="F862" s="12">
        <v>6</v>
      </c>
    </row>
    <row r="863" spans="2:6" hidden="1" x14ac:dyDescent="0.2">
      <c r="B863" s="4">
        <v>2014</v>
      </c>
      <c r="C863" s="11" t="s">
        <v>810</v>
      </c>
      <c r="D863" s="11" t="s">
        <v>865</v>
      </c>
      <c r="E863" s="11" t="s">
        <v>866</v>
      </c>
      <c r="F863" s="12">
        <v>0</v>
      </c>
    </row>
    <row r="864" spans="2:6" hidden="1" x14ac:dyDescent="0.2">
      <c r="B864" s="4">
        <v>2014</v>
      </c>
      <c r="C864" s="11" t="s">
        <v>810</v>
      </c>
      <c r="D864" s="11" t="s">
        <v>865</v>
      </c>
      <c r="E864" s="11" t="s">
        <v>867</v>
      </c>
      <c r="F864" s="12">
        <v>0</v>
      </c>
    </row>
    <row r="865" spans="2:6" hidden="1" x14ac:dyDescent="0.2">
      <c r="B865" s="4">
        <v>2014</v>
      </c>
      <c r="C865" s="11" t="s">
        <v>810</v>
      </c>
      <c r="D865" s="11" t="s">
        <v>865</v>
      </c>
      <c r="E865" s="11" t="s">
        <v>868</v>
      </c>
      <c r="F865" s="12">
        <v>0</v>
      </c>
    </row>
    <row r="866" spans="2:6" hidden="1" x14ac:dyDescent="0.2">
      <c r="B866" s="4">
        <v>2014</v>
      </c>
      <c r="C866" s="11" t="s">
        <v>810</v>
      </c>
      <c r="D866" s="11" t="s">
        <v>865</v>
      </c>
      <c r="E866" s="11" t="s">
        <v>869</v>
      </c>
      <c r="F866" s="12">
        <v>0</v>
      </c>
    </row>
    <row r="867" spans="2:6" hidden="1" x14ac:dyDescent="0.2">
      <c r="B867" s="4">
        <v>2014</v>
      </c>
      <c r="C867" s="11" t="s">
        <v>810</v>
      </c>
      <c r="D867" s="11" t="s">
        <v>865</v>
      </c>
      <c r="E867" s="11" t="s">
        <v>870</v>
      </c>
      <c r="F867" s="12">
        <v>0</v>
      </c>
    </row>
    <row r="868" spans="2:6" hidden="1" x14ac:dyDescent="0.2">
      <c r="B868" s="4">
        <v>2014</v>
      </c>
      <c r="C868" s="11" t="s">
        <v>810</v>
      </c>
      <c r="D868" s="11" t="s">
        <v>865</v>
      </c>
      <c r="E868" s="11" t="s">
        <v>871</v>
      </c>
      <c r="F868" s="12">
        <v>1</v>
      </c>
    </row>
    <row r="869" spans="2:6" hidden="1" x14ac:dyDescent="0.2">
      <c r="B869" s="4">
        <v>2014</v>
      </c>
      <c r="C869" s="11" t="s">
        <v>810</v>
      </c>
      <c r="D869" s="11" t="s">
        <v>865</v>
      </c>
      <c r="E869" s="11" t="s">
        <v>872</v>
      </c>
      <c r="F869" s="12">
        <v>0</v>
      </c>
    </row>
    <row r="870" spans="2:6" hidden="1" x14ac:dyDescent="0.2">
      <c r="B870" s="4">
        <v>2014</v>
      </c>
      <c r="C870" s="11" t="s">
        <v>810</v>
      </c>
      <c r="D870" s="11" t="s">
        <v>865</v>
      </c>
      <c r="E870" s="11" t="s">
        <v>873</v>
      </c>
      <c r="F870" s="12">
        <v>0</v>
      </c>
    </row>
    <row r="871" spans="2:6" hidden="1" x14ac:dyDescent="0.2">
      <c r="B871" s="4">
        <v>2014</v>
      </c>
      <c r="C871" s="11" t="s">
        <v>810</v>
      </c>
      <c r="D871" s="11" t="s">
        <v>865</v>
      </c>
      <c r="E871" s="11" t="s">
        <v>874</v>
      </c>
      <c r="F871" s="12">
        <v>0</v>
      </c>
    </row>
    <row r="872" spans="2:6" hidden="1" x14ac:dyDescent="0.2">
      <c r="B872" s="4">
        <v>2014</v>
      </c>
      <c r="C872" s="11" t="s">
        <v>810</v>
      </c>
      <c r="D872" s="11" t="s">
        <v>865</v>
      </c>
      <c r="E872" s="11" t="s">
        <v>875</v>
      </c>
      <c r="F872" s="12">
        <v>0</v>
      </c>
    </row>
    <row r="873" spans="2:6" hidden="1" x14ac:dyDescent="0.2">
      <c r="B873" s="4">
        <v>2014</v>
      </c>
      <c r="C873" s="11" t="s">
        <v>810</v>
      </c>
      <c r="D873" s="11" t="s">
        <v>865</v>
      </c>
      <c r="E873" s="11" t="s">
        <v>876</v>
      </c>
      <c r="F873" s="12">
        <v>0</v>
      </c>
    </row>
    <row r="874" spans="2:6" hidden="1" x14ac:dyDescent="0.2">
      <c r="B874" s="4">
        <v>2014</v>
      </c>
      <c r="C874" s="11" t="s">
        <v>810</v>
      </c>
      <c r="D874" s="11" t="s">
        <v>865</v>
      </c>
      <c r="E874" s="11" t="s">
        <v>877</v>
      </c>
      <c r="F874" s="12">
        <v>0</v>
      </c>
    </row>
    <row r="875" spans="2:6" hidden="1" x14ac:dyDescent="0.2">
      <c r="B875" s="4">
        <v>2014</v>
      </c>
      <c r="C875" s="11" t="s">
        <v>810</v>
      </c>
      <c r="D875" s="11" t="s">
        <v>865</v>
      </c>
      <c r="E875" s="11" t="s">
        <v>878</v>
      </c>
      <c r="F875" s="12">
        <v>0</v>
      </c>
    </row>
    <row r="876" spans="2:6" hidden="1" x14ac:dyDescent="0.2">
      <c r="B876" s="4">
        <v>2014</v>
      </c>
      <c r="C876" s="11" t="s">
        <v>810</v>
      </c>
      <c r="D876" s="11" t="s">
        <v>865</v>
      </c>
      <c r="E876" s="11" t="s">
        <v>879</v>
      </c>
      <c r="F876" s="12">
        <v>0</v>
      </c>
    </row>
    <row r="877" spans="2:6" hidden="1" x14ac:dyDescent="0.2">
      <c r="B877" s="4">
        <v>2014</v>
      </c>
      <c r="C877" s="11" t="s">
        <v>810</v>
      </c>
      <c r="D877" s="11" t="s">
        <v>865</v>
      </c>
      <c r="E877" s="11" t="s">
        <v>519</v>
      </c>
      <c r="F877" s="12">
        <v>0</v>
      </c>
    </row>
    <row r="878" spans="2:6" hidden="1" x14ac:dyDescent="0.2">
      <c r="B878" s="4">
        <v>2014</v>
      </c>
      <c r="C878" s="11" t="s">
        <v>810</v>
      </c>
      <c r="D878" s="11" t="s">
        <v>880</v>
      </c>
      <c r="E878" s="11" t="s">
        <v>132</v>
      </c>
      <c r="F878" s="12">
        <v>1</v>
      </c>
    </row>
    <row r="879" spans="2:6" hidden="1" x14ac:dyDescent="0.2">
      <c r="B879" s="4">
        <v>2014</v>
      </c>
      <c r="C879" s="11" t="s">
        <v>810</v>
      </c>
      <c r="D879" s="11" t="s">
        <v>880</v>
      </c>
      <c r="E879" s="11" t="s">
        <v>881</v>
      </c>
      <c r="F879" s="12">
        <v>0</v>
      </c>
    </row>
    <row r="880" spans="2:6" hidden="1" x14ac:dyDescent="0.2">
      <c r="B880" s="4">
        <v>2014</v>
      </c>
      <c r="C880" s="11" t="s">
        <v>810</v>
      </c>
      <c r="D880" s="11" t="s">
        <v>880</v>
      </c>
      <c r="E880" s="11" t="s">
        <v>882</v>
      </c>
      <c r="F880" s="12">
        <v>0</v>
      </c>
    </row>
    <row r="881" spans="2:6" hidden="1" x14ac:dyDescent="0.2">
      <c r="B881" s="4">
        <v>2014</v>
      </c>
      <c r="C881" s="11" t="s">
        <v>810</v>
      </c>
      <c r="D881" s="11" t="s">
        <v>880</v>
      </c>
      <c r="E881" s="11" t="s">
        <v>883</v>
      </c>
      <c r="F881" s="12">
        <v>0</v>
      </c>
    </row>
    <row r="882" spans="2:6" hidden="1" x14ac:dyDescent="0.2">
      <c r="B882" s="4">
        <v>2014</v>
      </c>
      <c r="C882" s="11" t="s">
        <v>810</v>
      </c>
      <c r="D882" s="11" t="s">
        <v>880</v>
      </c>
      <c r="E882" s="11" t="s">
        <v>127</v>
      </c>
      <c r="F882" s="12">
        <v>0</v>
      </c>
    </row>
    <row r="883" spans="2:6" hidden="1" x14ac:dyDescent="0.2">
      <c r="B883" s="4">
        <v>2014</v>
      </c>
      <c r="C883" s="11" t="s">
        <v>810</v>
      </c>
      <c r="D883" s="11" t="s">
        <v>880</v>
      </c>
      <c r="E883" s="11" t="s">
        <v>884</v>
      </c>
      <c r="F883" s="12">
        <v>0</v>
      </c>
    </row>
    <row r="884" spans="2:6" hidden="1" x14ac:dyDescent="0.2">
      <c r="B884" s="4">
        <v>2014</v>
      </c>
      <c r="C884" s="11" t="s">
        <v>810</v>
      </c>
      <c r="D884" s="11" t="s">
        <v>880</v>
      </c>
      <c r="E884" s="11" t="s">
        <v>815</v>
      </c>
      <c r="F884" s="12">
        <v>0</v>
      </c>
    </row>
    <row r="885" spans="2:6" hidden="1" x14ac:dyDescent="0.2">
      <c r="B885" s="4">
        <v>2014</v>
      </c>
      <c r="C885" s="11" t="s">
        <v>810</v>
      </c>
      <c r="D885" s="11" t="s">
        <v>880</v>
      </c>
      <c r="E885" s="11" t="s">
        <v>885</v>
      </c>
      <c r="F885" s="12">
        <v>2</v>
      </c>
    </row>
    <row r="886" spans="2:6" hidden="1" x14ac:dyDescent="0.2">
      <c r="B886" s="4">
        <v>2014</v>
      </c>
      <c r="C886" s="11" t="s">
        <v>810</v>
      </c>
      <c r="D886" s="11" t="s">
        <v>880</v>
      </c>
      <c r="E886" s="11" t="s">
        <v>886</v>
      </c>
      <c r="F886" s="12">
        <v>0</v>
      </c>
    </row>
    <row r="887" spans="2:6" hidden="1" x14ac:dyDescent="0.2">
      <c r="B887" s="4">
        <v>2014</v>
      </c>
      <c r="C887" s="11" t="s">
        <v>810</v>
      </c>
      <c r="D887" s="11" t="s">
        <v>880</v>
      </c>
      <c r="E887" s="11" t="s">
        <v>887</v>
      </c>
      <c r="F887" s="12">
        <v>1</v>
      </c>
    </row>
    <row r="888" spans="2:6" hidden="1" x14ac:dyDescent="0.2">
      <c r="B888" s="4">
        <v>2014</v>
      </c>
      <c r="C888" s="11" t="s">
        <v>810</v>
      </c>
      <c r="D888" s="11" t="s">
        <v>880</v>
      </c>
      <c r="E888" s="11" t="s">
        <v>888</v>
      </c>
      <c r="F888" s="12">
        <v>0</v>
      </c>
    </row>
    <row r="889" spans="2:6" hidden="1" x14ac:dyDescent="0.2">
      <c r="B889" s="4">
        <v>2014</v>
      </c>
      <c r="C889" s="11" t="s">
        <v>810</v>
      </c>
      <c r="D889" s="11" t="s">
        <v>880</v>
      </c>
      <c r="E889" s="11" t="s">
        <v>889</v>
      </c>
      <c r="F889" s="12">
        <v>4</v>
      </c>
    </row>
    <row r="890" spans="2:6" hidden="1" x14ac:dyDescent="0.2">
      <c r="B890" s="4">
        <v>2014</v>
      </c>
      <c r="C890" s="11" t="s">
        <v>810</v>
      </c>
      <c r="D890" s="11" t="s">
        <v>880</v>
      </c>
      <c r="E890" s="11" t="s">
        <v>890</v>
      </c>
      <c r="F890" s="12">
        <v>0</v>
      </c>
    </row>
    <row r="891" spans="2:6" hidden="1" x14ac:dyDescent="0.2">
      <c r="B891" s="4">
        <v>2014</v>
      </c>
      <c r="C891" s="11" t="s">
        <v>810</v>
      </c>
      <c r="D891" s="11" t="s">
        <v>880</v>
      </c>
      <c r="E891" s="11" t="s">
        <v>891</v>
      </c>
      <c r="F891" s="12">
        <v>0</v>
      </c>
    </row>
    <row r="892" spans="2:6" hidden="1" x14ac:dyDescent="0.2">
      <c r="B892" s="4">
        <v>2014</v>
      </c>
      <c r="C892" s="11" t="s">
        <v>810</v>
      </c>
      <c r="D892" s="11" t="s">
        <v>880</v>
      </c>
      <c r="E892" s="11" t="s">
        <v>892</v>
      </c>
      <c r="F892" s="12">
        <v>0</v>
      </c>
    </row>
    <row r="893" spans="2:6" hidden="1" x14ac:dyDescent="0.2">
      <c r="B893" s="4">
        <v>2014</v>
      </c>
      <c r="C893" s="11" t="s">
        <v>810</v>
      </c>
      <c r="D893" s="11" t="s">
        <v>880</v>
      </c>
      <c r="E893" s="11" t="s">
        <v>893</v>
      </c>
      <c r="F893" s="12">
        <v>2</v>
      </c>
    </row>
    <row r="894" spans="2:6" hidden="1" x14ac:dyDescent="0.2">
      <c r="B894" s="4">
        <v>2014</v>
      </c>
      <c r="C894" s="11" t="s">
        <v>894</v>
      </c>
      <c r="D894" s="11" t="s">
        <v>894</v>
      </c>
      <c r="E894" s="11" t="s">
        <v>894</v>
      </c>
      <c r="F894" s="12">
        <v>134</v>
      </c>
    </row>
    <row r="895" spans="2:6" hidden="1" x14ac:dyDescent="0.2">
      <c r="B895" s="4">
        <v>2014</v>
      </c>
      <c r="C895" s="11" t="s">
        <v>894</v>
      </c>
      <c r="D895" s="11" t="s">
        <v>894</v>
      </c>
      <c r="E895" s="11" t="s">
        <v>895</v>
      </c>
      <c r="F895" s="12">
        <v>17</v>
      </c>
    </row>
    <row r="896" spans="2:6" hidden="1" x14ac:dyDescent="0.2">
      <c r="B896" s="4">
        <v>2014</v>
      </c>
      <c r="C896" s="11" t="s">
        <v>894</v>
      </c>
      <c r="D896" s="11" t="s">
        <v>894</v>
      </c>
      <c r="E896" s="11" t="s">
        <v>896</v>
      </c>
      <c r="F896" s="12">
        <v>0</v>
      </c>
    </row>
    <row r="897" spans="2:6" hidden="1" x14ac:dyDescent="0.2">
      <c r="B897" s="4">
        <v>2014</v>
      </c>
      <c r="C897" s="11" t="s">
        <v>894</v>
      </c>
      <c r="D897" s="11" t="s">
        <v>894</v>
      </c>
      <c r="E897" s="11" t="s">
        <v>897</v>
      </c>
      <c r="F897" s="12">
        <v>0</v>
      </c>
    </row>
    <row r="898" spans="2:6" hidden="1" x14ac:dyDescent="0.2">
      <c r="B898" s="4">
        <v>2014</v>
      </c>
      <c r="C898" s="11" t="s">
        <v>894</v>
      </c>
      <c r="D898" s="11" t="s">
        <v>894</v>
      </c>
      <c r="E898" s="11" t="s">
        <v>898</v>
      </c>
      <c r="F898" s="12">
        <v>0</v>
      </c>
    </row>
    <row r="899" spans="2:6" hidden="1" x14ac:dyDescent="0.2">
      <c r="B899" s="4">
        <v>2014</v>
      </c>
      <c r="C899" s="11" t="s">
        <v>894</v>
      </c>
      <c r="D899" s="11" t="s">
        <v>894</v>
      </c>
      <c r="E899" s="11" t="s">
        <v>899</v>
      </c>
      <c r="F899" s="12">
        <v>0</v>
      </c>
    </row>
    <row r="900" spans="2:6" hidden="1" x14ac:dyDescent="0.2">
      <c r="B900" s="4">
        <v>2014</v>
      </c>
      <c r="C900" s="11" t="s">
        <v>894</v>
      </c>
      <c r="D900" s="11" t="s">
        <v>894</v>
      </c>
      <c r="E900" s="11" t="s">
        <v>900</v>
      </c>
      <c r="F900" s="12">
        <v>2</v>
      </c>
    </row>
    <row r="901" spans="2:6" hidden="1" x14ac:dyDescent="0.2">
      <c r="B901" s="4">
        <v>2014</v>
      </c>
      <c r="C901" s="11" t="s">
        <v>894</v>
      </c>
      <c r="D901" s="11" t="s">
        <v>894</v>
      </c>
      <c r="E901" s="11" t="s">
        <v>901</v>
      </c>
      <c r="F901" s="12">
        <v>1</v>
      </c>
    </row>
    <row r="902" spans="2:6" hidden="1" x14ac:dyDescent="0.2">
      <c r="B902" s="4">
        <v>2014</v>
      </c>
      <c r="C902" s="11" t="s">
        <v>894</v>
      </c>
      <c r="D902" s="11" t="s">
        <v>894</v>
      </c>
      <c r="E902" s="11" t="s">
        <v>902</v>
      </c>
      <c r="F902" s="12">
        <v>1</v>
      </c>
    </row>
    <row r="903" spans="2:6" hidden="1" x14ac:dyDescent="0.2">
      <c r="B903" s="4">
        <v>2014</v>
      </c>
      <c r="C903" s="11" t="s">
        <v>894</v>
      </c>
      <c r="D903" s="11" t="s">
        <v>894</v>
      </c>
      <c r="E903" s="11" t="s">
        <v>903</v>
      </c>
      <c r="F903" s="12">
        <v>0</v>
      </c>
    </row>
    <row r="904" spans="2:6" hidden="1" x14ac:dyDescent="0.2">
      <c r="B904" s="4">
        <v>2014</v>
      </c>
      <c r="C904" s="11" t="s">
        <v>894</v>
      </c>
      <c r="D904" s="11" t="s">
        <v>894</v>
      </c>
      <c r="E904" s="11" t="s">
        <v>904</v>
      </c>
      <c r="F904" s="12">
        <v>29</v>
      </c>
    </row>
    <row r="905" spans="2:6" hidden="1" x14ac:dyDescent="0.2">
      <c r="B905" s="4">
        <v>2014</v>
      </c>
      <c r="C905" s="11" t="s">
        <v>894</v>
      </c>
      <c r="D905" s="11" t="s">
        <v>894</v>
      </c>
      <c r="E905" s="11" t="s">
        <v>905</v>
      </c>
      <c r="F905" s="12">
        <v>2</v>
      </c>
    </row>
    <row r="906" spans="2:6" hidden="1" x14ac:dyDescent="0.2">
      <c r="B906" s="4">
        <v>2014</v>
      </c>
      <c r="C906" s="11" t="s">
        <v>894</v>
      </c>
      <c r="D906" s="11" t="s">
        <v>906</v>
      </c>
      <c r="E906" s="11" t="s">
        <v>906</v>
      </c>
      <c r="F906" s="12">
        <v>4</v>
      </c>
    </row>
    <row r="907" spans="2:6" hidden="1" x14ac:dyDescent="0.2">
      <c r="B907" s="4">
        <v>2014</v>
      </c>
      <c r="C907" s="11" t="s">
        <v>894</v>
      </c>
      <c r="D907" s="11" t="s">
        <v>906</v>
      </c>
      <c r="E907" s="11" t="s">
        <v>907</v>
      </c>
      <c r="F907" s="12">
        <v>0</v>
      </c>
    </row>
    <row r="908" spans="2:6" hidden="1" x14ac:dyDescent="0.2">
      <c r="B908" s="4">
        <v>2014</v>
      </c>
      <c r="C908" s="11" t="s">
        <v>894</v>
      </c>
      <c r="D908" s="11" t="s">
        <v>906</v>
      </c>
      <c r="E908" s="11" t="s">
        <v>908</v>
      </c>
      <c r="F908" s="12">
        <v>0</v>
      </c>
    </row>
    <row r="909" spans="2:6" hidden="1" x14ac:dyDescent="0.2">
      <c r="B909" s="4">
        <v>2014</v>
      </c>
      <c r="C909" s="11" t="s">
        <v>894</v>
      </c>
      <c r="D909" s="11" t="s">
        <v>906</v>
      </c>
      <c r="E909" s="11" t="s">
        <v>909</v>
      </c>
      <c r="F909" s="12">
        <v>0</v>
      </c>
    </row>
    <row r="910" spans="2:6" hidden="1" x14ac:dyDescent="0.2">
      <c r="B910" s="4">
        <v>2014</v>
      </c>
      <c r="C910" s="11" t="s">
        <v>894</v>
      </c>
      <c r="D910" s="11" t="s">
        <v>906</v>
      </c>
      <c r="E910" s="11" t="s">
        <v>910</v>
      </c>
      <c r="F910" s="12">
        <v>0</v>
      </c>
    </row>
    <row r="911" spans="2:6" hidden="1" x14ac:dyDescent="0.2">
      <c r="B911" s="4">
        <v>2014</v>
      </c>
      <c r="C911" s="11" t="s">
        <v>894</v>
      </c>
      <c r="D911" s="11" t="s">
        <v>906</v>
      </c>
      <c r="E911" s="11" t="s">
        <v>911</v>
      </c>
      <c r="F911" s="12">
        <v>0</v>
      </c>
    </row>
    <row r="912" spans="2:6" hidden="1" x14ac:dyDescent="0.2">
      <c r="B912" s="4">
        <v>2014</v>
      </c>
      <c r="C912" s="11" t="s">
        <v>894</v>
      </c>
      <c r="D912" s="11" t="s">
        <v>906</v>
      </c>
      <c r="E912" s="11" t="s">
        <v>912</v>
      </c>
      <c r="F912" s="12">
        <v>1</v>
      </c>
    </row>
    <row r="913" spans="2:6" hidden="1" x14ac:dyDescent="0.2">
      <c r="B913" s="4">
        <v>2014</v>
      </c>
      <c r="C913" s="11" t="s">
        <v>894</v>
      </c>
      <c r="D913" s="11" t="s">
        <v>906</v>
      </c>
      <c r="E913" s="11" t="s">
        <v>913</v>
      </c>
      <c r="F913" s="12">
        <v>3</v>
      </c>
    </row>
    <row r="914" spans="2:6" hidden="1" x14ac:dyDescent="0.2">
      <c r="B914" s="4">
        <v>2014</v>
      </c>
      <c r="C914" s="11" t="s">
        <v>894</v>
      </c>
      <c r="D914" s="11" t="s">
        <v>914</v>
      </c>
      <c r="E914" s="11" t="s">
        <v>466</v>
      </c>
      <c r="F914" s="12">
        <v>4</v>
      </c>
    </row>
    <row r="915" spans="2:6" hidden="1" x14ac:dyDescent="0.2">
      <c r="B915" s="4">
        <v>2014</v>
      </c>
      <c r="C915" s="11" t="s">
        <v>894</v>
      </c>
      <c r="D915" s="11" t="s">
        <v>914</v>
      </c>
      <c r="E915" s="11" t="s">
        <v>915</v>
      </c>
      <c r="F915" s="12">
        <v>0</v>
      </c>
    </row>
    <row r="916" spans="2:6" hidden="1" x14ac:dyDescent="0.2">
      <c r="B916" s="4">
        <v>2014</v>
      </c>
      <c r="C916" s="11" t="s">
        <v>894</v>
      </c>
      <c r="D916" s="11" t="s">
        <v>914</v>
      </c>
      <c r="E916" s="11" t="s">
        <v>916</v>
      </c>
      <c r="F916" s="12">
        <v>0</v>
      </c>
    </row>
    <row r="917" spans="2:6" hidden="1" x14ac:dyDescent="0.2">
      <c r="B917" s="4">
        <v>2014</v>
      </c>
      <c r="C917" s="11" t="s">
        <v>894</v>
      </c>
      <c r="D917" s="11" t="s">
        <v>914</v>
      </c>
      <c r="E917" s="11" t="s">
        <v>917</v>
      </c>
      <c r="F917" s="12">
        <v>2</v>
      </c>
    </row>
    <row r="918" spans="2:6" hidden="1" x14ac:dyDescent="0.2">
      <c r="B918" s="4">
        <v>2014</v>
      </c>
      <c r="C918" s="11" t="s">
        <v>894</v>
      </c>
      <c r="D918" s="11" t="s">
        <v>914</v>
      </c>
      <c r="E918" s="11" t="s">
        <v>918</v>
      </c>
      <c r="F918" s="12">
        <v>2</v>
      </c>
    </row>
    <row r="919" spans="2:6" hidden="1" x14ac:dyDescent="0.2">
      <c r="B919" s="4">
        <v>2014</v>
      </c>
      <c r="C919" s="11" t="s">
        <v>894</v>
      </c>
      <c r="D919" s="11" t="s">
        <v>914</v>
      </c>
      <c r="E919" s="11" t="s">
        <v>919</v>
      </c>
      <c r="F919" s="12">
        <v>0</v>
      </c>
    </row>
    <row r="920" spans="2:6" hidden="1" x14ac:dyDescent="0.2">
      <c r="B920" s="4">
        <v>2014</v>
      </c>
      <c r="C920" s="11" t="s">
        <v>894</v>
      </c>
      <c r="D920" s="11" t="s">
        <v>914</v>
      </c>
      <c r="E920" s="11" t="s">
        <v>920</v>
      </c>
      <c r="F920" s="12">
        <v>0</v>
      </c>
    </row>
    <row r="921" spans="2:6" hidden="1" x14ac:dyDescent="0.2">
      <c r="B921" s="4">
        <v>2014</v>
      </c>
      <c r="C921" s="11" t="s">
        <v>894</v>
      </c>
      <c r="D921" s="11" t="s">
        <v>914</v>
      </c>
      <c r="E921" s="11" t="s">
        <v>921</v>
      </c>
      <c r="F921" s="12">
        <v>0</v>
      </c>
    </row>
    <row r="922" spans="2:6" hidden="1" x14ac:dyDescent="0.2">
      <c r="B922" s="4">
        <v>2014</v>
      </c>
      <c r="C922" s="11" t="s">
        <v>894</v>
      </c>
      <c r="D922" s="11" t="s">
        <v>914</v>
      </c>
      <c r="E922" s="11" t="s">
        <v>922</v>
      </c>
      <c r="F922" s="12">
        <v>0</v>
      </c>
    </row>
    <row r="923" spans="2:6" hidden="1" x14ac:dyDescent="0.2">
      <c r="B923" s="4">
        <v>2014</v>
      </c>
      <c r="C923" s="11" t="s">
        <v>894</v>
      </c>
      <c r="D923" s="11" t="s">
        <v>923</v>
      </c>
      <c r="E923" s="11" t="s">
        <v>923</v>
      </c>
      <c r="F923" s="12">
        <v>8</v>
      </c>
    </row>
    <row r="924" spans="2:6" hidden="1" x14ac:dyDescent="0.2">
      <c r="B924" s="4">
        <v>2014</v>
      </c>
      <c r="C924" s="11" t="s">
        <v>894</v>
      </c>
      <c r="D924" s="11" t="s">
        <v>923</v>
      </c>
      <c r="E924" s="11" t="s">
        <v>924</v>
      </c>
      <c r="F924" s="12">
        <v>0</v>
      </c>
    </row>
    <row r="925" spans="2:6" hidden="1" x14ac:dyDescent="0.2">
      <c r="B925" s="4">
        <v>2014</v>
      </c>
      <c r="C925" s="11" t="s">
        <v>894</v>
      </c>
      <c r="D925" s="11" t="s">
        <v>923</v>
      </c>
      <c r="E925" s="11" t="s">
        <v>126</v>
      </c>
      <c r="F925" s="12">
        <v>0</v>
      </c>
    </row>
    <row r="926" spans="2:6" hidden="1" x14ac:dyDescent="0.2">
      <c r="B926" s="4">
        <v>2014</v>
      </c>
      <c r="C926" s="11" t="s">
        <v>894</v>
      </c>
      <c r="D926" s="11" t="s">
        <v>923</v>
      </c>
      <c r="E926" s="11" t="s">
        <v>925</v>
      </c>
      <c r="F926" s="12">
        <v>1</v>
      </c>
    </row>
    <row r="927" spans="2:6" hidden="1" x14ac:dyDescent="0.2">
      <c r="B927" s="4">
        <v>2014</v>
      </c>
      <c r="C927" s="11" t="s">
        <v>894</v>
      </c>
      <c r="D927" s="11" t="s">
        <v>926</v>
      </c>
      <c r="E927" s="11" t="s">
        <v>927</v>
      </c>
      <c r="F927" s="12">
        <v>16</v>
      </c>
    </row>
    <row r="928" spans="2:6" hidden="1" x14ac:dyDescent="0.2">
      <c r="B928" s="4">
        <v>2014</v>
      </c>
      <c r="C928" s="11" t="s">
        <v>894</v>
      </c>
      <c r="D928" s="11" t="s">
        <v>926</v>
      </c>
      <c r="E928" s="11" t="s">
        <v>928</v>
      </c>
      <c r="F928" s="12">
        <v>1</v>
      </c>
    </row>
    <row r="929" spans="2:6" hidden="1" x14ac:dyDescent="0.2">
      <c r="B929" s="4">
        <v>2014</v>
      </c>
      <c r="C929" s="11" t="s">
        <v>894</v>
      </c>
      <c r="D929" s="11" t="s">
        <v>926</v>
      </c>
      <c r="E929" s="11" t="s">
        <v>929</v>
      </c>
      <c r="F929" s="12">
        <v>2</v>
      </c>
    </row>
    <row r="930" spans="2:6" hidden="1" x14ac:dyDescent="0.2">
      <c r="B930" s="4">
        <v>2014</v>
      </c>
      <c r="C930" s="11" t="s">
        <v>894</v>
      </c>
      <c r="D930" s="11" t="s">
        <v>926</v>
      </c>
      <c r="E930" s="11" t="s">
        <v>930</v>
      </c>
      <c r="F930" s="12">
        <v>2</v>
      </c>
    </row>
    <row r="931" spans="2:6" hidden="1" x14ac:dyDescent="0.2">
      <c r="B931" s="4">
        <v>2014</v>
      </c>
      <c r="C931" s="11" t="s">
        <v>894</v>
      </c>
      <c r="D931" s="11" t="s">
        <v>926</v>
      </c>
      <c r="E931" s="11" t="s">
        <v>931</v>
      </c>
      <c r="F931" s="12">
        <v>0</v>
      </c>
    </row>
    <row r="932" spans="2:6" hidden="1" x14ac:dyDescent="0.2">
      <c r="B932" s="4">
        <v>2014</v>
      </c>
      <c r="C932" s="11" t="s">
        <v>894</v>
      </c>
      <c r="D932" s="11" t="s">
        <v>926</v>
      </c>
      <c r="E932" s="11" t="s">
        <v>377</v>
      </c>
      <c r="F932" s="12">
        <v>0</v>
      </c>
    </row>
    <row r="933" spans="2:6" hidden="1" x14ac:dyDescent="0.2">
      <c r="B933" s="4">
        <v>2014</v>
      </c>
      <c r="C933" s="11" t="s">
        <v>894</v>
      </c>
      <c r="D933" s="11" t="s">
        <v>926</v>
      </c>
      <c r="E933" s="11" t="s">
        <v>932</v>
      </c>
      <c r="F933" s="12">
        <v>1</v>
      </c>
    </row>
    <row r="934" spans="2:6" hidden="1" x14ac:dyDescent="0.2">
      <c r="B934" s="4">
        <v>2014</v>
      </c>
      <c r="C934" s="11" t="s">
        <v>894</v>
      </c>
      <c r="D934" s="11" t="s">
        <v>926</v>
      </c>
      <c r="E934" s="11" t="s">
        <v>933</v>
      </c>
      <c r="F934" s="12">
        <v>0</v>
      </c>
    </row>
    <row r="935" spans="2:6" hidden="1" x14ac:dyDescent="0.2">
      <c r="B935" s="4">
        <v>2014</v>
      </c>
      <c r="C935" s="11" t="s">
        <v>894</v>
      </c>
      <c r="D935" s="11" t="s">
        <v>926</v>
      </c>
      <c r="E935" s="11" t="s">
        <v>934</v>
      </c>
      <c r="F935" s="12">
        <v>0</v>
      </c>
    </row>
    <row r="936" spans="2:6" hidden="1" x14ac:dyDescent="0.2">
      <c r="B936" s="4">
        <v>2014</v>
      </c>
      <c r="C936" s="11" t="s">
        <v>894</v>
      </c>
      <c r="D936" s="11" t="s">
        <v>926</v>
      </c>
      <c r="E936" s="11" t="s">
        <v>935</v>
      </c>
      <c r="F936" s="12">
        <v>3</v>
      </c>
    </row>
    <row r="937" spans="2:6" hidden="1" x14ac:dyDescent="0.2">
      <c r="B937" s="4">
        <v>2014</v>
      </c>
      <c r="C937" s="11" t="s">
        <v>894</v>
      </c>
      <c r="D937" s="11" t="s">
        <v>926</v>
      </c>
      <c r="E937" s="11" t="s">
        <v>936</v>
      </c>
      <c r="F937" s="12">
        <v>0</v>
      </c>
    </row>
    <row r="938" spans="2:6" hidden="1" x14ac:dyDescent="0.2">
      <c r="B938" s="4">
        <v>2014</v>
      </c>
      <c r="C938" s="11" t="s">
        <v>894</v>
      </c>
      <c r="D938" s="11" t="s">
        <v>530</v>
      </c>
      <c r="E938" s="11" t="s">
        <v>937</v>
      </c>
      <c r="F938" s="12">
        <v>6</v>
      </c>
    </row>
    <row r="939" spans="2:6" hidden="1" x14ac:dyDescent="0.2">
      <c r="B939" s="4">
        <v>2014</v>
      </c>
      <c r="C939" s="11" t="s">
        <v>894</v>
      </c>
      <c r="D939" s="11" t="s">
        <v>530</v>
      </c>
      <c r="E939" s="11" t="s">
        <v>938</v>
      </c>
      <c r="F939" s="12">
        <v>0</v>
      </c>
    </row>
    <row r="940" spans="2:6" hidden="1" x14ac:dyDescent="0.2">
      <c r="B940" s="4">
        <v>2014</v>
      </c>
      <c r="C940" s="11" t="s">
        <v>894</v>
      </c>
      <c r="D940" s="11" t="s">
        <v>530</v>
      </c>
      <c r="E940" s="11" t="s">
        <v>939</v>
      </c>
      <c r="F940" s="12">
        <v>7</v>
      </c>
    </row>
    <row r="941" spans="2:6" hidden="1" x14ac:dyDescent="0.2">
      <c r="B941" s="4">
        <v>2014</v>
      </c>
      <c r="C941" s="11" t="s">
        <v>894</v>
      </c>
      <c r="D941" s="11" t="s">
        <v>530</v>
      </c>
      <c r="E941" s="11" t="s">
        <v>940</v>
      </c>
      <c r="F941" s="12">
        <v>3</v>
      </c>
    </row>
    <row r="942" spans="2:6" hidden="1" x14ac:dyDescent="0.2">
      <c r="B942" s="4">
        <v>2014</v>
      </c>
      <c r="C942" s="11" t="s">
        <v>894</v>
      </c>
      <c r="D942" s="11" t="s">
        <v>530</v>
      </c>
      <c r="E942" s="11" t="s">
        <v>941</v>
      </c>
      <c r="F942" s="12">
        <v>2</v>
      </c>
    </row>
    <row r="943" spans="2:6" hidden="1" x14ac:dyDescent="0.2">
      <c r="B943" s="4">
        <v>2014</v>
      </c>
      <c r="C943" s="11" t="s">
        <v>894</v>
      </c>
      <c r="D943" s="11" t="s">
        <v>530</v>
      </c>
      <c r="E943" s="11" t="s">
        <v>942</v>
      </c>
      <c r="F943" s="12">
        <v>1</v>
      </c>
    </row>
    <row r="944" spans="2:6" hidden="1" x14ac:dyDescent="0.2">
      <c r="B944" s="4">
        <v>2014</v>
      </c>
      <c r="C944" s="11" t="s">
        <v>894</v>
      </c>
      <c r="D944" s="11" t="s">
        <v>943</v>
      </c>
      <c r="E944" s="11" t="s">
        <v>944</v>
      </c>
      <c r="F944" s="12">
        <v>1</v>
      </c>
    </row>
    <row r="945" spans="2:6" hidden="1" x14ac:dyDescent="0.2">
      <c r="B945" s="4">
        <v>2014</v>
      </c>
      <c r="C945" s="11" t="s">
        <v>894</v>
      </c>
      <c r="D945" s="11" t="s">
        <v>943</v>
      </c>
      <c r="E945" s="11" t="s">
        <v>945</v>
      </c>
      <c r="F945" s="12">
        <v>0</v>
      </c>
    </row>
    <row r="946" spans="2:6" hidden="1" x14ac:dyDescent="0.2">
      <c r="B946" s="4">
        <v>2014</v>
      </c>
      <c r="C946" s="11" t="s">
        <v>894</v>
      </c>
      <c r="D946" s="11" t="s">
        <v>943</v>
      </c>
      <c r="E946" s="11" t="s">
        <v>946</v>
      </c>
      <c r="F946" s="12">
        <v>0</v>
      </c>
    </row>
    <row r="947" spans="2:6" hidden="1" x14ac:dyDescent="0.2">
      <c r="B947" s="4">
        <v>2014</v>
      </c>
      <c r="C947" s="11" t="s">
        <v>894</v>
      </c>
      <c r="D947" s="11" t="s">
        <v>947</v>
      </c>
      <c r="E947" s="11" t="s">
        <v>948</v>
      </c>
      <c r="F947" s="12">
        <v>5</v>
      </c>
    </row>
    <row r="948" spans="2:6" hidden="1" x14ac:dyDescent="0.2">
      <c r="B948" s="4">
        <v>2014</v>
      </c>
      <c r="C948" s="11" t="s">
        <v>894</v>
      </c>
      <c r="D948" s="11" t="s">
        <v>947</v>
      </c>
      <c r="E948" s="11" t="s">
        <v>949</v>
      </c>
      <c r="F948" s="12">
        <v>0</v>
      </c>
    </row>
    <row r="949" spans="2:6" hidden="1" x14ac:dyDescent="0.2">
      <c r="B949" s="4">
        <v>2014</v>
      </c>
      <c r="C949" s="11" t="s">
        <v>894</v>
      </c>
      <c r="D949" s="11" t="s">
        <v>947</v>
      </c>
      <c r="E949" s="11" t="s">
        <v>950</v>
      </c>
      <c r="F949" s="12">
        <v>1</v>
      </c>
    </row>
    <row r="950" spans="2:6" hidden="1" x14ac:dyDescent="0.2">
      <c r="B950" s="4">
        <v>2014</v>
      </c>
      <c r="C950" s="11" t="s">
        <v>894</v>
      </c>
      <c r="D950" s="11" t="s">
        <v>947</v>
      </c>
      <c r="E950" s="11" t="s">
        <v>951</v>
      </c>
      <c r="F950" s="12">
        <v>0</v>
      </c>
    </row>
    <row r="951" spans="2:6" hidden="1" x14ac:dyDescent="0.2">
      <c r="B951" s="4">
        <v>2014</v>
      </c>
      <c r="C951" s="11" t="s">
        <v>894</v>
      </c>
      <c r="D951" s="11" t="s">
        <v>952</v>
      </c>
      <c r="E951" s="11" t="s">
        <v>952</v>
      </c>
      <c r="F951" s="12">
        <v>21</v>
      </c>
    </row>
    <row r="952" spans="2:6" hidden="1" x14ac:dyDescent="0.2">
      <c r="B952" s="4">
        <v>2014</v>
      </c>
      <c r="C952" s="11" t="s">
        <v>894</v>
      </c>
      <c r="D952" s="11" t="s">
        <v>952</v>
      </c>
      <c r="E952" s="11" t="s">
        <v>953</v>
      </c>
      <c r="F952" s="12">
        <v>1</v>
      </c>
    </row>
    <row r="953" spans="2:6" hidden="1" x14ac:dyDescent="0.2">
      <c r="B953" s="4">
        <v>2014</v>
      </c>
      <c r="C953" s="11" t="s">
        <v>894</v>
      </c>
      <c r="D953" s="11" t="s">
        <v>952</v>
      </c>
      <c r="E953" s="11" t="s">
        <v>954</v>
      </c>
      <c r="F953" s="12">
        <v>5</v>
      </c>
    </row>
    <row r="954" spans="2:6" hidden="1" x14ac:dyDescent="0.2">
      <c r="B954" s="4">
        <v>2014</v>
      </c>
      <c r="C954" s="11" t="s">
        <v>894</v>
      </c>
      <c r="D954" s="11" t="s">
        <v>952</v>
      </c>
      <c r="E954" s="11" t="s">
        <v>955</v>
      </c>
      <c r="F954" s="12">
        <v>0</v>
      </c>
    </row>
    <row r="955" spans="2:6" hidden="1" x14ac:dyDescent="0.2">
      <c r="B955" s="4">
        <v>2014</v>
      </c>
      <c r="C955" s="11" t="s">
        <v>894</v>
      </c>
      <c r="D955" s="11" t="s">
        <v>952</v>
      </c>
      <c r="E955" s="11" t="s">
        <v>956</v>
      </c>
      <c r="F955" s="12">
        <v>0</v>
      </c>
    </row>
    <row r="956" spans="2:6" hidden="1" x14ac:dyDescent="0.2">
      <c r="B956" s="4">
        <v>2014</v>
      </c>
      <c r="C956" s="11" t="s">
        <v>894</v>
      </c>
      <c r="D956" s="11" t="s">
        <v>957</v>
      </c>
      <c r="E956" s="11" t="s">
        <v>593</v>
      </c>
      <c r="F956" s="12">
        <v>2</v>
      </c>
    </row>
    <row r="957" spans="2:6" hidden="1" x14ac:dyDescent="0.2">
      <c r="B957" s="4">
        <v>2014</v>
      </c>
      <c r="C957" s="11" t="s">
        <v>894</v>
      </c>
      <c r="D957" s="11" t="s">
        <v>957</v>
      </c>
      <c r="E957" s="11" t="s">
        <v>958</v>
      </c>
      <c r="F957" s="12">
        <v>0</v>
      </c>
    </row>
    <row r="958" spans="2:6" hidden="1" x14ac:dyDescent="0.2">
      <c r="B958" s="4">
        <v>2014</v>
      </c>
      <c r="C958" s="11" t="s">
        <v>894</v>
      </c>
      <c r="D958" s="11" t="s">
        <v>957</v>
      </c>
      <c r="E958" s="11" t="s">
        <v>959</v>
      </c>
      <c r="F958" s="12">
        <v>3</v>
      </c>
    </row>
    <row r="959" spans="2:6" hidden="1" x14ac:dyDescent="0.2">
      <c r="B959" s="4">
        <v>2014</v>
      </c>
      <c r="C959" s="11" t="s">
        <v>894</v>
      </c>
      <c r="D959" s="11" t="s">
        <v>957</v>
      </c>
      <c r="E959" s="11" t="s">
        <v>960</v>
      </c>
      <c r="F959" s="12">
        <v>0</v>
      </c>
    </row>
    <row r="960" spans="2:6" hidden="1" x14ac:dyDescent="0.2">
      <c r="B960" s="4">
        <v>2014</v>
      </c>
      <c r="C960" s="11" t="s">
        <v>894</v>
      </c>
      <c r="D960" s="11" t="s">
        <v>957</v>
      </c>
      <c r="E960" s="11" t="s">
        <v>961</v>
      </c>
      <c r="F960" s="12">
        <v>0</v>
      </c>
    </row>
    <row r="961" spans="2:6" hidden="1" x14ac:dyDescent="0.2">
      <c r="B961" s="4">
        <v>2014</v>
      </c>
      <c r="C961" s="11" t="s">
        <v>894</v>
      </c>
      <c r="D961" s="11" t="s">
        <v>957</v>
      </c>
      <c r="E961" s="11" t="s">
        <v>962</v>
      </c>
      <c r="F961" s="12">
        <v>0</v>
      </c>
    </row>
    <row r="962" spans="2:6" hidden="1" x14ac:dyDescent="0.2">
      <c r="B962" s="4">
        <v>2014</v>
      </c>
      <c r="C962" s="11" t="s">
        <v>894</v>
      </c>
      <c r="D962" s="11" t="s">
        <v>957</v>
      </c>
      <c r="E962" s="11" t="s">
        <v>963</v>
      </c>
      <c r="F962" s="12">
        <v>1</v>
      </c>
    </row>
    <row r="963" spans="2:6" hidden="1" x14ac:dyDescent="0.2">
      <c r="B963" s="4">
        <v>2014</v>
      </c>
      <c r="C963" s="11" t="s">
        <v>894</v>
      </c>
      <c r="D963" s="11" t="s">
        <v>964</v>
      </c>
      <c r="E963" s="11" t="s">
        <v>965</v>
      </c>
      <c r="F963" s="12">
        <v>3</v>
      </c>
    </row>
    <row r="964" spans="2:6" hidden="1" x14ac:dyDescent="0.2">
      <c r="B964" s="4">
        <v>2014</v>
      </c>
      <c r="C964" s="11" t="s">
        <v>894</v>
      </c>
      <c r="D964" s="11" t="s">
        <v>964</v>
      </c>
      <c r="E964" s="11" t="s">
        <v>966</v>
      </c>
      <c r="F964" s="12">
        <v>0</v>
      </c>
    </row>
    <row r="965" spans="2:6" hidden="1" x14ac:dyDescent="0.2">
      <c r="B965" s="4">
        <v>2014</v>
      </c>
      <c r="C965" s="11" t="s">
        <v>894</v>
      </c>
      <c r="D965" s="11" t="s">
        <v>964</v>
      </c>
      <c r="E965" s="11" t="s">
        <v>967</v>
      </c>
      <c r="F965" s="12">
        <v>0</v>
      </c>
    </row>
    <row r="966" spans="2:6" hidden="1" x14ac:dyDescent="0.2">
      <c r="B966" s="4">
        <v>2014</v>
      </c>
      <c r="C966" s="11" t="s">
        <v>894</v>
      </c>
      <c r="D966" s="11" t="s">
        <v>964</v>
      </c>
      <c r="E966" s="11" t="s">
        <v>968</v>
      </c>
      <c r="F966" s="12">
        <v>0</v>
      </c>
    </row>
    <row r="967" spans="2:6" hidden="1" x14ac:dyDescent="0.2">
      <c r="B967" s="4">
        <v>2014</v>
      </c>
      <c r="C967" s="11" t="s">
        <v>894</v>
      </c>
      <c r="D967" s="11" t="s">
        <v>964</v>
      </c>
      <c r="E967" s="11" t="s">
        <v>969</v>
      </c>
      <c r="F967" s="12">
        <v>0</v>
      </c>
    </row>
    <row r="968" spans="2:6" hidden="1" x14ac:dyDescent="0.2">
      <c r="B968" s="4">
        <v>2014</v>
      </c>
      <c r="C968" s="11" t="s">
        <v>894</v>
      </c>
      <c r="D968" s="11" t="s">
        <v>964</v>
      </c>
      <c r="E968" s="11" t="s">
        <v>970</v>
      </c>
      <c r="F968" s="12">
        <v>0</v>
      </c>
    </row>
    <row r="969" spans="2:6" hidden="1" x14ac:dyDescent="0.2">
      <c r="B969" s="4">
        <v>2014</v>
      </c>
      <c r="C969" s="11" t="s">
        <v>894</v>
      </c>
      <c r="D969" s="11" t="s">
        <v>964</v>
      </c>
      <c r="E969" s="11" t="s">
        <v>471</v>
      </c>
      <c r="F969" s="12">
        <v>0</v>
      </c>
    </row>
    <row r="970" spans="2:6" hidden="1" x14ac:dyDescent="0.2">
      <c r="B970" s="4">
        <v>2014</v>
      </c>
      <c r="C970" s="11" t="s">
        <v>894</v>
      </c>
      <c r="D970" s="11" t="s">
        <v>964</v>
      </c>
      <c r="E970" s="11" t="s">
        <v>971</v>
      </c>
      <c r="F970" s="12">
        <v>0</v>
      </c>
    </row>
    <row r="971" spans="2:6" hidden="1" x14ac:dyDescent="0.2">
      <c r="B971" s="4">
        <v>2014</v>
      </c>
      <c r="C971" s="11" t="s">
        <v>972</v>
      </c>
      <c r="D971" s="11" t="s">
        <v>972</v>
      </c>
      <c r="E971" s="11" t="s">
        <v>972</v>
      </c>
      <c r="F971" s="12">
        <v>151</v>
      </c>
    </row>
    <row r="972" spans="2:6" hidden="1" x14ac:dyDescent="0.2">
      <c r="B972" s="4">
        <v>2014</v>
      </c>
      <c r="C972" s="11" t="s">
        <v>972</v>
      </c>
      <c r="D972" s="11" t="s">
        <v>972</v>
      </c>
      <c r="E972" s="11" t="s">
        <v>973</v>
      </c>
      <c r="F972" s="12">
        <v>10</v>
      </c>
    </row>
    <row r="973" spans="2:6" hidden="1" x14ac:dyDescent="0.2">
      <c r="B973" s="4">
        <v>2014</v>
      </c>
      <c r="C973" s="11" t="s">
        <v>972</v>
      </c>
      <c r="D973" s="11" t="s">
        <v>972</v>
      </c>
      <c r="E973" s="11" t="s">
        <v>974</v>
      </c>
      <c r="F973" s="12">
        <v>4</v>
      </c>
    </row>
    <row r="974" spans="2:6" hidden="1" x14ac:dyDescent="0.2">
      <c r="B974" s="4">
        <v>2014</v>
      </c>
      <c r="C974" s="11" t="s">
        <v>972</v>
      </c>
      <c r="D974" s="11" t="s">
        <v>972</v>
      </c>
      <c r="E974" s="11" t="s">
        <v>975</v>
      </c>
      <c r="F974" s="12">
        <v>0</v>
      </c>
    </row>
    <row r="975" spans="2:6" hidden="1" x14ac:dyDescent="0.2">
      <c r="B975" s="4">
        <v>2014</v>
      </c>
      <c r="C975" s="11" t="s">
        <v>972</v>
      </c>
      <c r="D975" s="11" t="s">
        <v>972</v>
      </c>
      <c r="E975" s="11" t="s">
        <v>976</v>
      </c>
      <c r="F975" s="12">
        <v>3</v>
      </c>
    </row>
    <row r="976" spans="2:6" hidden="1" x14ac:dyDescent="0.2">
      <c r="B976" s="4">
        <v>2014</v>
      </c>
      <c r="C976" s="11" t="s">
        <v>972</v>
      </c>
      <c r="D976" s="11" t="s">
        <v>972</v>
      </c>
      <c r="E976" s="11" t="s">
        <v>977</v>
      </c>
      <c r="F976" s="12">
        <v>16</v>
      </c>
    </row>
    <row r="977" spans="2:6" hidden="1" x14ac:dyDescent="0.2">
      <c r="B977" s="4">
        <v>2014</v>
      </c>
      <c r="C977" s="11" t="s">
        <v>972</v>
      </c>
      <c r="D977" s="11" t="s">
        <v>972</v>
      </c>
      <c r="E977" s="11" t="s">
        <v>978</v>
      </c>
      <c r="F977" s="12">
        <v>0</v>
      </c>
    </row>
    <row r="978" spans="2:6" hidden="1" x14ac:dyDescent="0.2">
      <c r="B978" s="4">
        <v>2014</v>
      </c>
      <c r="C978" s="11" t="s">
        <v>972</v>
      </c>
      <c r="D978" s="11" t="s">
        <v>972</v>
      </c>
      <c r="E978" s="11" t="s">
        <v>979</v>
      </c>
      <c r="F978" s="12">
        <v>2</v>
      </c>
    </row>
    <row r="979" spans="2:6" hidden="1" x14ac:dyDescent="0.2">
      <c r="B979" s="4">
        <v>2014</v>
      </c>
      <c r="C979" s="11" t="s">
        <v>972</v>
      </c>
      <c r="D979" s="11" t="s">
        <v>972</v>
      </c>
      <c r="E979" s="11" t="s">
        <v>980</v>
      </c>
      <c r="F979" s="12">
        <v>4</v>
      </c>
    </row>
    <row r="980" spans="2:6" hidden="1" x14ac:dyDescent="0.2">
      <c r="B980" s="4">
        <v>2014</v>
      </c>
      <c r="C980" s="11" t="s">
        <v>972</v>
      </c>
      <c r="D980" s="11" t="s">
        <v>972</v>
      </c>
      <c r="E980" s="11" t="s">
        <v>3</v>
      </c>
      <c r="F980" s="12">
        <v>1</v>
      </c>
    </row>
    <row r="981" spans="2:6" hidden="1" x14ac:dyDescent="0.2">
      <c r="B981" s="4">
        <v>2014</v>
      </c>
      <c r="C981" s="11" t="s">
        <v>972</v>
      </c>
      <c r="D981" s="11" t="s">
        <v>972</v>
      </c>
      <c r="E981" s="11" t="s">
        <v>713</v>
      </c>
      <c r="F981" s="12">
        <v>5</v>
      </c>
    </row>
    <row r="982" spans="2:6" hidden="1" x14ac:dyDescent="0.2">
      <c r="B982" s="4">
        <v>2014</v>
      </c>
      <c r="C982" s="11" t="s">
        <v>972</v>
      </c>
      <c r="D982" s="11" t="s">
        <v>972</v>
      </c>
      <c r="E982" s="11" t="s">
        <v>981</v>
      </c>
      <c r="F982" s="12">
        <v>2</v>
      </c>
    </row>
    <row r="983" spans="2:6" hidden="1" x14ac:dyDescent="0.2">
      <c r="B983" s="4">
        <v>2014</v>
      </c>
      <c r="C983" s="11" t="s">
        <v>972</v>
      </c>
      <c r="D983" s="11" t="s">
        <v>972</v>
      </c>
      <c r="E983" s="11" t="s">
        <v>982</v>
      </c>
      <c r="F983" s="12">
        <v>3</v>
      </c>
    </row>
    <row r="984" spans="2:6" hidden="1" x14ac:dyDescent="0.2">
      <c r="B984" s="4">
        <v>2014</v>
      </c>
      <c r="C984" s="11" t="s">
        <v>972</v>
      </c>
      <c r="D984" s="11" t="s">
        <v>972</v>
      </c>
      <c r="E984" s="11" t="s">
        <v>983</v>
      </c>
      <c r="F984" s="12">
        <v>0</v>
      </c>
    </row>
    <row r="985" spans="2:6" hidden="1" x14ac:dyDescent="0.2">
      <c r="B985" s="4">
        <v>2014</v>
      </c>
      <c r="C985" s="11" t="s">
        <v>972</v>
      </c>
      <c r="D985" s="11" t="s">
        <v>984</v>
      </c>
      <c r="E985" s="11" t="s">
        <v>985</v>
      </c>
      <c r="F985" s="12">
        <v>48</v>
      </c>
    </row>
    <row r="986" spans="2:6" hidden="1" x14ac:dyDescent="0.2">
      <c r="B986" s="4">
        <v>2014</v>
      </c>
      <c r="C986" s="11" t="s">
        <v>972</v>
      </c>
      <c r="D986" s="11" t="s">
        <v>984</v>
      </c>
      <c r="E986" s="11" t="s">
        <v>986</v>
      </c>
      <c r="F986" s="12">
        <v>0</v>
      </c>
    </row>
    <row r="987" spans="2:6" hidden="1" x14ac:dyDescent="0.2">
      <c r="B987" s="4">
        <v>2014</v>
      </c>
      <c r="C987" s="11" t="s">
        <v>972</v>
      </c>
      <c r="D987" s="11" t="s">
        <v>984</v>
      </c>
      <c r="E987" s="11" t="s">
        <v>987</v>
      </c>
      <c r="F987" s="12">
        <v>0</v>
      </c>
    </row>
    <row r="988" spans="2:6" hidden="1" x14ac:dyDescent="0.2">
      <c r="B988" s="4">
        <v>2014</v>
      </c>
      <c r="C988" s="11" t="s">
        <v>972</v>
      </c>
      <c r="D988" s="11" t="s">
        <v>984</v>
      </c>
      <c r="E988" s="11" t="s">
        <v>988</v>
      </c>
      <c r="F988" s="12">
        <v>0</v>
      </c>
    </row>
    <row r="989" spans="2:6" hidden="1" x14ac:dyDescent="0.2">
      <c r="B989" s="4">
        <v>2014</v>
      </c>
      <c r="C989" s="11" t="s">
        <v>972</v>
      </c>
      <c r="D989" s="11" t="s">
        <v>984</v>
      </c>
      <c r="E989" s="11" t="s">
        <v>858</v>
      </c>
      <c r="F989" s="12">
        <v>2</v>
      </c>
    </row>
    <row r="990" spans="2:6" hidden="1" x14ac:dyDescent="0.2">
      <c r="B990" s="4">
        <v>2014</v>
      </c>
      <c r="C990" s="11" t="s">
        <v>972</v>
      </c>
      <c r="D990" s="11" t="s">
        <v>984</v>
      </c>
      <c r="E990" s="11" t="s">
        <v>989</v>
      </c>
      <c r="F990" s="12">
        <v>10</v>
      </c>
    </row>
    <row r="991" spans="2:6" hidden="1" x14ac:dyDescent="0.2">
      <c r="B991" s="4">
        <v>2014</v>
      </c>
      <c r="C991" s="11" t="s">
        <v>972</v>
      </c>
      <c r="D991" s="11" t="s">
        <v>984</v>
      </c>
      <c r="E991" s="11" t="s">
        <v>978</v>
      </c>
      <c r="F991" s="12">
        <v>6</v>
      </c>
    </row>
    <row r="992" spans="2:6" hidden="1" x14ac:dyDescent="0.2">
      <c r="B992" s="4">
        <v>2014</v>
      </c>
      <c r="C992" s="11" t="s">
        <v>972</v>
      </c>
      <c r="D992" s="11" t="s">
        <v>984</v>
      </c>
      <c r="E992" s="11" t="s">
        <v>990</v>
      </c>
      <c r="F992" s="12">
        <v>0</v>
      </c>
    </row>
    <row r="993" spans="2:6" hidden="1" x14ac:dyDescent="0.2">
      <c r="B993" s="4">
        <v>2014</v>
      </c>
      <c r="C993" s="11" t="s">
        <v>972</v>
      </c>
      <c r="D993" s="11" t="s">
        <v>984</v>
      </c>
      <c r="E993" s="11" t="s">
        <v>991</v>
      </c>
      <c r="F993" s="12">
        <v>0</v>
      </c>
    </row>
    <row r="994" spans="2:6" hidden="1" x14ac:dyDescent="0.2">
      <c r="B994" s="4">
        <v>2014</v>
      </c>
      <c r="C994" s="11" t="s">
        <v>972</v>
      </c>
      <c r="D994" s="11" t="s">
        <v>984</v>
      </c>
      <c r="E994" s="11" t="s">
        <v>992</v>
      </c>
      <c r="F994" s="12">
        <v>3</v>
      </c>
    </row>
    <row r="995" spans="2:6" hidden="1" x14ac:dyDescent="0.2">
      <c r="B995" s="4">
        <v>2014</v>
      </c>
      <c r="C995" s="11" t="s">
        <v>972</v>
      </c>
      <c r="D995" s="11" t="s">
        <v>984</v>
      </c>
      <c r="E995" s="11" t="s">
        <v>993</v>
      </c>
      <c r="F995" s="12">
        <v>1</v>
      </c>
    </row>
    <row r="996" spans="2:6" hidden="1" x14ac:dyDescent="0.2">
      <c r="B996" s="4">
        <v>2014</v>
      </c>
      <c r="C996" s="11" t="s">
        <v>972</v>
      </c>
      <c r="D996" s="11" t="s">
        <v>994</v>
      </c>
      <c r="E996" s="11" t="s">
        <v>994</v>
      </c>
      <c r="F996" s="12">
        <v>13</v>
      </c>
    </row>
    <row r="997" spans="2:6" hidden="1" x14ac:dyDescent="0.2">
      <c r="B997" s="4">
        <v>2014</v>
      </c>
      <c r="C997" s="11" t="s">
        <v>972</v>
      </c>
      <c r="D997" s="11" t="s">
        <v>994</v>
      </c>
      <c r="E997" s="11" t="s">
        <v>995</v>
      </c>
      <c r="F997" s="12">
        <v>1</v>
      </c>
    </row>
    <row r="998" spans="2:6" hidden="1" x14ac:dyDescent="0.2">
      <c r="B998" s="4">
        <v>2014</v>
      </c>
      <c r="C998" s="11" t="s">
        <v>972</v>
      </c>
      <c r="D998" s="11" t="s">
        <v>994</v>
      </c>
      <c r="E998" s="11" t="s">
        <v>996</v>
      </c>
      <c r="F998" s="12">
        <v>2</v>
      </c>
    </row>
    <row r="999" spans="2:6" hidden="1" x14ac:dyDescent="0.2">
      <c r="B999" s="4">
        <v>2014</v>
      </c>
      <c r="C999" s="11" t="s">
        <v>972</v>
      </c>
      <c r="D999" s="11" t="s">
        <v>994</v>
      </c>
      <c r="E999" s="11" t="s">
        <v>997</v>
      </c>
      <c r="F999" s="12">
        <v>17</v>
      </c>
    </row>
    <row r="1000" spans="2:6" hidden="1" x14ac:dyDescent="0.2">
      <c r="B1000" s="4">
        <v>2014</v>
      </c>
      <c r="C1000" s="11" t="s">
        <v>972</v>
      </c>
      <c r="D1000" s="11" t="s">
        <v>994</v>
      </c>
      <c r="E1000" s="11" t="s">
        <v>115</v>
      </c>
      <c r="F1000" s="12">
        <v>3</v>
      </c>
    </row>
    <row r="1001" spans="2:6" hidden="1" x14ac:dyDescent="0.2">
      <c r="B1001" s="4">
        <v>2014</v>
      </c>
      <c r="C1001" s="11" t="s">
        <v>972</v>
      </c>
      <c r="D1001" s="11" t="s">
        <v>998</v>
      </c>
      <c r="E1001" s="11" t="s">
        <v>998</v>
      </c>
      <c r="F1001" s="12">
        <v>10</v>
      </c>
    </row>
    <row r="1002" spans="2:6" hidden="1" x14ac:dyDescent="0.2">
      <c r="B1002" s="4">
        <v>2014</v>
      </c>
      <c r="C1002" s="11" t="s">
        <v>972</v>
      </c>
      <c r="D1002" s="11" t="s">
        <v>998</v>
      </c>
      <c r="E1002" s="11" t="s">
        <v>999</v>
      </c>
      <c r="F1002" s="12">
        <v>1</v>
      </c>
    </row>
    <row r="1003" spans="2:6" hidden="1" x14ac:dyDescent="0.2">
      <c r="B1003" s="4">
        <v>2014</v>
      </c>
      <c r="C1003" s="11" t="s">
        <v>972</v>
      </c>
      <c r="D1003" s="11" t="s">
        <v>998</v>
      </c>
      <c r="E1003" s="11" t="s">
        <v>457</v>
      </c>
      <c r="F1003" s="12">
        <v>0</v>
      </c>
    </row>
    <row r="1004" spans="2:6" hidden="1" x14ac:dyDescent="0.2">
      <c r="B1004" s="4">
        <v>2014</v>
      </c>
      <c r="C1004" s="11" t="s">
        <v>972</v>
      </c>
      <c r="D1004" s="11" t="s">
        <v>998</v>
      </c>
      <c r="E1004" s="11" t="s">
        <v>217</v>
      </c>
      <c r="F1004" s="12">
        <v>2</v>
      </c>
    </row>
    <row r="1005" spans="2:6" hidden="1" x14ac:dyDescent="0.2">
      <c r="B1005" s="4">
        <v>2014</v>
      </c>
      <c r="C1005" s="11" t="s">
        <v>972</v>
      </c>
      <c r="D1005" s="11" t="s">
        <v>998</v>
      </c>
      <c r="E1005" s="11" t="s">
        <v>1000</v>
      </c>
      <c r="F1005" s="12">
        <v>0</v>
      </c>
    </row>
    <row r="1006" spans="2:6" hidden="1" x14ac:dyDescent="0.2">
      <c r="B1006" s="4">
        <v>2014</v>
      </c>
      <c r="C1006" s="11" t="s">
        <v>972</v>
      </c>
      <c r="D1006" s="11" t="s">
        <v>1001</v>
      </c>
      <c r="E1006" s="11" t="s">
        <v>1001</v>
      </c>
      <c r="F1006" s="12">
        <v>23</v>
      </c>
    </row>
    <row r="1007" spans="2:6" hidden="1" x14ac:dyDescent="0.2">
      <c r="B1007" s="4">
        <v>2014</v>
      </c>
      <c r="C1007" s="11" t="s">
        <v>972</v>
      </c>
      <c r="D1007" s="11" t="s">
        <v>1001</v>
      </c>
      <c r="E1007" s="11" t="s">
        <v>1002</v>
      </c>
      <c r="F1007" s="12">
        <v>0</v>
      </c>
    </row>
    <row r="1008" spans="2:6" hidden="1" x14ac:dyDescent="0.2">
      <c r="B1008" s="4">
        <v>2014</v>
      </c>
      <c r="C1008" s="11" t="s">
        <v>972</v>
      </c>
      <c r="D1008" s="11" t="s">
        <v>1001</v>
      </c>
      <c r="E1008" s="11" t="s">
        <v>1003</v>
      </c>
      <c r="F1008" s="12">
        <v>0</v>
      </c>
    </row>
    <row r="1009" spans="2:6" hidden="1" x14ac:dyDescent="0.2">
      <c r="B1009" s="4">
        <v>2014</v>
      </c>
      <c r="C1009" s="11" t="s">
        <v>972</v>
      </c>
      <c r="D1009" s="11" t="s">
        <v>1001</v>
      </c>
      <c r="E1009" s="11" t="s">
        <v>129</v>
      </c>
      <c r="F1009" s="12">
        <v>4</v>
      </c>
    </row>
    <row r="1010" spans="2:6" hidden="1" x14ac:dyDescent="0.2">
      <c r="B1010" s="4">
        <v>2014</v>
      </c>
      <c r="C1010" s="11" t="s">
        <v>972</v>
      </c>
      <c r="D1010" s="11" t="s">
        <v>1001</v>
      </c>
      <c r="E1010" s="11" t="s">
        <v>1004</v>
      </c>
      <c r="F1010" s="12">
        <v>3</v>
      </c>
    </row>
    <row r="1011" spans="2:6" hidden="1" x14ac:dyDescent="0.2">
      <c r="B1011" s="4">
        <v>2014</v>
      </c>
      <c r="C1011" s="11" t="s">
        <v>972</v>
      </c>
      <c r="D1011" s="11" t="s">
        <v>1001</v>
      </c>
      <c r="E1011" s="11" t="s">
        <v>1005</v>
      </c>
      <c r="F1011" s="12">
        <v>5</v>
      </c>
    </row>
    <row r="1012" spans="2:6" hidden="1" x14ac:dyDescent="0.2">
      <c r="B1012" s="4">
        <v>2014</v>
      </c>
      <c r="C1012" s="11" t="s">
        <v>972</v>
      </c>
      <c r="D1012" s="11" t="s">
        <v>1001</v>
      </c>
      <c r="E1012" s="11" t="s">
        <v>1006</v>
      </c>
      <c r="F1012" s="12">
        <v>4</v>
      </c>
    </row>
    <row r="1013" spans="2:6" hidden="1" x14ac:dyDescent="0.2">
      <c r="B1013" s="4">
        <v>2014</v>
      </c>
      <c r="C1013" s="11" t="s">
        <v>972</v>
      </c>
      <c r="D1013" s="11" t="s">
        <v>1001</v>
      </c>
      <c r="E1013" s="11" t="s">
        <v>1007</v>
      </c>
      <c r="F1013" s="12">
        <v>5</v>
      </c>
    </row>
    <row r="1014" spans="2:6" hidden="1" x14ac:dyDescent="0.2">
      <c r="B1014" s="4">
        <v>2014</v>
      </c>
      <c r="C1014" s="11" t="s">
        <v>1008</v>
      </c>
      <c r="D1014" s="11" t="s">
        <v>1009</v>
      </c>
      <c r="E1014" s="11" t="s">
        <v>1009</v>
      </c>
      <c r="F1014" s="12">
        <v>147</v>
      </c>
    </row>
    <row r="1015" spans="2:6" hidden="1" x14ac:dyDescent="0.2">
      <c r="B1015" s="4">
        <v>2014</v>
      </c>
      <c r="C1015" s="11" t="s">
        <v>1008</v>
      </c>
      <c r="D1015" s="11" t="s">
        <v>1009</v>
      </c>
      <c r="E1015" s="11" t="s">
        <v>1010</v>
      </c>
      <c r="F1015" s="12">
        <v>0</v>
      </c>
    </row>
    <row r="1016" spans="2:6" hidden="1" x14ac:dyDescent="0.2">
      <c r="B1016" s="4">
        <v>2014</v>
      </c>
      <c r="C1016" s="11" t="s">
        <v>1008</v>
      </c>
      <c r="D1016" s="11" t="s">
        <v>1009</v>
      </c>
      <c r="E1016" s="11" t="s">
        <v>1011</v>
      </c>
      <c r="F1016" s="12">
        <v>1</v>
      </c>
    </row>
    <row r="1017" spans="2:6" hidden="1" x14ac:dyDescent="0.2">
      <c r="B1017" s="4">
        <v>2014</v>
      </c>
      <c r="C1017" s="11" t="s">
        <v>1008</v>
      </c>
      <c r="D1017" s="11" t="s">
        <v>1009</v>
      </c>
      <c r="E1017" s="11" t="s">
        <v>1012</v>
      </c>
      <c r="F1017" s="12">
        <v>4</v>
      </c>
    </row>
    <row r="1018" spans="2:6" hidden="1" x14ac:dyDescent="0.2">
      <c r="B1018" s="4">
        <v>2014</v>
      </c>
      <c r="C1018" s="11" t="s">
        <v>1008</v>
      </c>
      <c r="D1018" s="11" t="s">
        <v>1009</v>
      </c>
      <c r="E1018" s="11" t="s">
        <v>1013</v>
      </c>
      <c r="F1018" s="12">
        <v>30</v>
      </c>
    </row>
    <row r="1019" spans="2:6" hidden="1" x14ac:dyDescent="0.2">
      <c r="B1019" s="4">
        <v>2014</v>
      </c>
      <c r="C1019" s="11" t="s">
        <v>1008</v>
      </c>
      <c r="D1019" s="11" t="s">
        <v>1009</v>
      </c>
      <c r="E1019" s="11" t="s">
        <v>1014</v>
      </c>
      <c r="F1019" s="12">
        <v>2</v>
      </c>
    </row>
    <row r="1020" spans="2:6" hidden="1" x14ac:dyDescent="0.2">
      <c r="B1020" s="4">
        <v>2014</v>
      </c>
      <c r="C1020" s="11" t="s">
        <v>1008</v>
      </c>
      <c r="D1020" s="11" t="s">
        <v>1009</v>
      </c>
      <c r="E1020" s="11" t="s">
        <v>1015</v>
      </c>
      <c r="F1020" s="12">
        <v>1</v>
      </c>
    </row>
    <row r="1021" spans="2:6" hidden="1" x14ac:dyDescent="0.2">
      <c r="B1021" s="4">
        <v>2014</v>
      </c>
      <c r="C1021" s="11" t="s">
        <v>1008</v>
      </c>
      <c r="D1021" s="11" t="s">
        <v>1009</v>
      </c>
      <c r="E1021" s="11" t="s">
        <v>576</v>
      </c>
      <c r="F1021" s="12">
        <v>0</v>
      </c>
    </row>
    <row r="1022" spans="2:6" hidden="1" x14ac:dyDescent="0.2">
      <c r="B1022" s="4">
        <v>2014</v>
      </c>
      <c r="C1022" s="11" t="s">
        <v>1008</v>
      </c>
      <c r="D1022" s="11" t="s">
        <v>1009</v>
      </c>
      <c r="E1022" s="11" t="s">
        <v>1016</v>
      </c>
      <c r="F1022" s="12">
        <v>0</v>
      </c>
    </row>
    <row r="1023" spans="2:6" hidden="1" x14ac:dyDescent="0.2">
      <c r="B1023" s="4">
        <v>2014</v>
      </c>
      <c r="C1023" s="11" t="s">
        <v>1008</v>
      </c>
      <c r="D1023" s="11" t="s">
        <v>1009</v>
      </c>
      <c r="E1023" s="11" t="s">
        <v>1017</v>
      </c>
      <c r="F1023" s="12">
        <v>235</v>
      </c>
    </row>
    <row r="1024" spans="2:6" hidden="1" x14ac:dyDescent="0.2">
      <c r="B1024" s="4">
        <v>2014</v>
      </c>
      <c r="C1024" s="11" t="s">
        <v>1008</v>
      </c>
      <c r="D1024" s="11" t="s">
        <v>1009</v>
      </c>
      <c r="E1024" s="11" t="s">
        <v>1018</v>
      </c>
      <c r="F1024" s="12">
        <v>0</v>
      </c>
    </row>
    <row r="1025" spans="2:6" hidden="1" x14ac:dyDescent="0.2">
      <c r="B1025" s="4">
        <v>2014</v>
      </c>
      <c r="C1025" s="11" t="s">
        <v>1008</v>
      </c>
      <c r="D1025" s="11" t="s">
        <v>1009</v>
      </c>
      <c r="E1025" s="11" t="s">
        <v>1019</v>
      </c>
      <c r="F1025" s="12">
        <v>0</v>
      </c>
    </row>
    <row r="1026" spans="2:6" hidden="1" x14ac:dyDescent="0.2">
      <c r="B1026" s="4">
        <v>2014</v>
      </c>
      <c r="C1026" s="11" t="s">
        <v>1008</v>
      </c>
      <c r="D1026" s="11" t="s">
        <v>1009</v>
      </c>
      <c r="E1026" s="11" t="s">
        <v>1020</v>
      </c>
      <c r="F1026" s="12">
        <v>2</v>
      </c>
    </row>
    <row r="1027" spans="2:6" hidden="1" x14ac:dyDescent="0.2">
      <c r="B1027" s="4">
        <v>2014</v>
      </c>
      <c r="C1027" s="11" t="s">
        <v>1008</v>
      </c>
      <c r="D1027" s="11" t="s">
        <v>1009</v>
      </c>
      <c r="E1027" s="11" t="s">
        <v>1021</v>
      </c>
      <c r="F1027" s="12">
        <v>0</v>
      </c>
    </row>
    <row r="1028" spans="2:6" hidden="1" x14ac:dyDescent="0.2">
      <c r="B1028" s="4">
        <v>2014</v>
      </c>
      <c r="C1028" s="11" t="s">
        <v>1008</v>
      </c>
      <c r="D1028" s="11" t="s">
        <v>1009</v>
      </c>
      <c r="E1028" s="11" t="s">
        <v>1022</v>
      </c>
      <c r="F1028" s="12">
        <v>1</v>
      </c>
    </row>
    <row r="1029" spans="2:6" hidden="1" x14ac:dyDescent="0.2">
      <c r="B1029" s="4">
        <v>2014</v>
      </c>
      <c r="C1029" s="11" t="s">
        <v>1008</v>
      </c>
      <c r="D1029" s="11" t="s">
        <v>1009</v>
      </c>
      <c r="E1029" s="11" t="s">
        <v>1023</v>
      </c>
      <c r="F1029" s="12">
        <v>0</v>
      </c>
    </row>
    <row r="1030" spans="2:6" hidden="1" x14ac:dyDescent="0.2">
      <c r="B1030" s="4">
        <v>2014</v>
      </c>
      <c r="C1030" s="11" t="s">
        <v>1008</v>
      </c>
      <c r="D1030" s="11" t="s">
        <v>1009</v>
      </c>
      <c r="E1030" s="11" t="s">
        <v>171</v>
      </c>
      <c r="F1030" s="12">
        <v>0</v>
      </c>
    </row>
    <row r="1031" spans="2:6" hidden="1" x14ac:dyDescent="0.2">
      <c r="B1031" s="4">
        <v>2014</v>
      </c>
      <c r="C1031" s="11" t="s">
        <v>1008</v>
      </c>
      <c r="D1031" s="11" t="s">
        <v>1009</v>
      </c>
      <c r="E1031" s="11" t="s">
        <v>1024</v>
      </c>
      <c r="F1031" s="12">
        <v>4</v>
      </c>
    </row>
    <row r="1032" spans="2:6" hidden="1" x14ac:dyDescent="0.2">
      <c r="B1032" s="4">
        <v>2014</v>
      </c>
      <c r="C1032" s="11" t="s">
        <v>1008</v>
      </c>
      <c r="D1032" s="11" t="s">
        <v>1009</v>
      </c>
      <c r="E1032" s="11" t="s">
        <v>661</v>
      </c>
      <c r="F1032" s="12">
        <v>1</v>
      </c>
    </row>
    <row r="1033" spans="2:6" hidden="1" x14ac:dyDescent="0.2">
      <c r="B1033" s="4">
        <v>2014</v>
      </c>
      <c r="C1033" s="11" t="s">
        <v>1008</v>
      </c>
      <c r="D1033" s="11" t="s">
        <v>1009</v>
      </c>
      <c r="E1033" s="11" t="s">
        <v>1025</v>
      </c>
      <c r="F1033" s="12">
        <v>0</v>
      </c>
    </row>
    <row r="1034" spans="2:6" hidden="1" x14ac:dyDescent="0.2">
      <c r="B1034" s="4">
        <v>2014</v>
      </c>
      <c r="C1034" s="11" t="s">
        <v>1008</v>
      </c>
      <c r="D1034" s="11" t="s">
        <v>1009</v>
      </c>
      <c r="E1034" s="11" t="s">
        <v>1026</v>
      </c>
      <c r="F1034" s="12">
        <v>0</v>
      </c>
    </row>
    <row r="1035" spans="2:6" hidden="1" x14ac:dyDescent="0.2">
      <c r="B1035" s="4">
        <v>2014</v>
      </c>
      <c r="C1035" s="11" t="s">
        <v>1008</v>
      </c>
      <c r="D1035" s="11" t="s">
        <v>1009</v>
      </c>
      <c r="E1035" s="11" t="s">
        <v>1027</v>
      </c>
      <c r="F1035" s="12">
        <v>4</v>
      </c>
    </row>
    <row r="1036" spans="2:6" hidden="1" x14ac:dyDescent="0.2">
      <c r="B1036" s="4">
        <v>2014</v>
      </c>
      <c r="C1036" s="11" t="s">
        <v>1008</v>
      </c>
      <c r="D1036" s="11" t="s">
        <v>1009</v>
      </c>
      <c r="E1036" s="11" t="s">
        <v>1028</v>
      </c>
      <c r="F1036" s="12">
        <v>5</v>
      </c>
    </row>
    <row r="1037" spans="2:6" hidden="1" x14ac:dyDescent="0.2">
      <c r="B1037" s="4">
        <v>2014</v>
      </c>
      <c r="C1037" s="11" t="s">
        <v>1008</v>
      </c>
      <c r="D1037" s="11" t="s">
        <v>1009</v>
      </c>
      <c r="E1037" s="11" t="s">
        <v>1029</v>
      </c>
      <c r="F1037" s="12">
        <v>1</v>
      </c>
    </row>
    <row r="1038" spans="2:6" hidden="1" x14ac:dyDescent="0.2">
      <c r="B1038" s="4">
        <v>2014</v>
      </c>
      <c r="C1038" s="11" t="s">
        <v>1008</v>
      </c>
      <c r="D1038" s="11" t="s">
        <v>1009</v>
      </c>
      <c r="E1038" s="11" t="s">
        <v>1030</v>
      </c>
      <c r="F1038" s="12">
        <v>35</v>
      </c>
    </row>
    <row r="1039" spans="2:6" hidden="1" x14ac:dyDescent="0.2">
      <c r="B1039" s="4">
        <v>2014</v>
      </c>
      <c r="C1039" s="11" t="s">
        <v>1008</v>
      </c>
      <c r="D1039" s="11" t="s">
        <v>1009</v>
      </c>
      <c r="E1039" s="11" t="s">
        <v>1031</v>
      </c>
      <c r="F1039" s="12">
        <v>4</v>
      </c>
    </row>
    <row r="1040" spans="2:6" hidden="1" x14ac:dyDescent="0.2">
      <c r="B1040" s="4">
        <v>2014</v>
      </c>
      <c r="C1040" s="11" t="s">
        <v>1008</v>
      </c>
      <c r="D1040" s="11" t="s">
        <v>1009</v>
      </c>
      <c r="E1040" s="11" t="s">
        <v>1032</v>
      </c>
      <c r="F1040" s="12">
        <v>0</v>
      </c>
    </row>
    <row r="1041" spans="2:6" hidden="1" x14ac:dyDescent="0.2">
      <c r="B1041" s="4">
        <v>2014</v>
      </c>
      <c r="C1041" s="11" t="s">
        <v>1008</v>
      </c>
      <c r="D1041" s="11" t="s">
        <v>1009</v>
      </c>
      <c r="E1041" s="11" t="s">
        <v>1033</v>
      </c>
      <c r="F1041" s="12">
        <v>0</v>
      </c>
    </row>
    <row r="1042" spans="2:6" hidden="1" x14ac:dyDescent="0.2">
      <c r="B1042" s="4">
        <v>2014</v>
      </c>
      <c r="C1042" s="11" t="s">
        <v>1008</v>
      </c>
      <c r="D1042" s="11" t="s">
        <v>585</v>
      </c>
      <c r="E1042" s="11" t="s">
        <v>585</v>
      </c>
      <c r="F1042" s="12">
        <v>20</v>
      </c>
    </row>
    <row r="1043" spans="2:6" hidden="1" x14ac:dyDescent="0.2">
      <c r="B1043" s="4">
        <v>2014</v>
      </c>
      <c r="C1043" s="11" t="s">
        <v>1008</v>
      </c>
      <c r="D1043" s="11" t="s">
        <v>585</v>
      </c>
      <c r="E1043" s="11" t="s">
        <v>184</v>
      </c>
      <c r="F1043" s="12">
        <v>0</v>
      </c>
    </row>
    <row r="1044" spans="2:6" hidden="1" x14ac:dyDescent="0.2">
      <c r="B1044" s="4">
        <v>2014</v>
      </c>
      <c r="C1044" s="11" t="s">
        <v>1008</v>
      </c>
      <c r="D1044" s="11" t="s">
        <v>585</v>
      </c>
      <c r="E1044" s="11" t="s">
        <v>1034</v>
      </c>
      <c r="F1044" s="12">
        <v>0</v>
      </c>
    </row>
    <row r="1045" spans="2:6" hidden="1" x14ac:dyDescent="0.2">
      <c r="B1045" s="4">
        <v>2014</v>
      </c>
      <c r="C1045" s="11" t="s">
        <v>1008</v>
      </c>
      <c r="D1045" s="11" t="s">
        <v>585</v>
      </c>
      <c r="E1045" s="11" t="s">
        <v>1035</v>
      </c>
      <c r="F1045" s="12">
        <v>0</v>
      </c>
    </row>
    <row r="1046" spans="2:6" hidden="1" x14ac:dyDescent="0.2">
      <c r="B1046" s="4">
        <v>2014</v>
      </c>
      <c r="C1046" s="11" t="s">
        <v>1008</v>
      </c>
      <c r="D1046" s="11" t="s">
        <v>585</v>
      </c>
      <c r="E1046" s="11" t="s">
        <v>233</v>
      </c>
      <c r="F1046" s="12">
        <v>0</v>
      </c>
    </row>
    <row r="1047" spans="2:6" hidden="1" x14ac:dyDescent="0.2">
      <c r="B1047" s="4">
        <v>2014</v>
      </c>
      <c r="C1047" s="11" t="s">
        <v>1008</v>
      </c>
      <c r="D1047" s="11" t="s">
        <v>585</v>
      </c>
      <c r="E1047" s="11" t="s">
        <v>1036</v>
      </c>
      <c r="F1047" s="12">
        <v>0</v>
      </c>
    </row>
    <row r="1048" spans="2:6" hidden="1" x14ac:dyDescent="0.2">
      <c r="B1048" s="4">
        <v>2014</v>
      </c>
      <c r="C1048" s="11" t="s">
        <v>1008</v>
      </c>
      <c r="D1048" s="11" t="s">
        <v>585</v>
      </c>
      <c r="E1048" s="11" t="s">
        <v>1037</v>
      </c>
      <c r="F1048" s="12">
        <v>0</v>
      </c>
    </row>
    <row r="1049" spans="2:6" hidden="1" x14ac:dyDescent="0.2">
      <c r="B1049" s="4">
        <v>2014</v>
      </c>
      <c r="C1049" s="11" t="s">
        <v>1008</v>
      </c>
      <c r="D1049" s="11" t="s">
        <v>585</v>
      </c>
      <c r="E1049" s="11" t="s">
        <v>1038</v>
      </c>
      <c r="F1049" s="12">
        <v>1</v>
      </c>
    </row>
    <row r="1050" spans="2:6" hidden="1" x14ac:dyDescent="0.2">
      <c r="B1050" s="4">
        <v>2014</v>
      </c>
      <c r="C1050" s="11" t="s">
        <v>1008</v>
      </c>
      <c r="D1050" s="11" t="s">
        <v>585</v>
      </c>
      <c r="E1050" s="11" t="s">
        <v>48</v>
      </c>
      <c r="F1050" s="12">
        <v>1</v>
      </c>
    </row>
    <row r="1051" spans="2:6" hidden="1" x14ac:dyDescent="0.2">
      <c r="B1051" s="4">
        <v>2014</v>
      </c>
      <c r="C1051" s="11" t="s">
        <v>1008</v>
      </c>
      <c r="D1051" s="11" t="s">
        <v>585</v>
      </c>
      <c r="E1051" s="11" t="s">
        <v>1039</v>
      </c>
      <c r="F1051" s="12">
        <v>2</v>
      </c>
    </row>
    <row r="1052" spans="2:6" hidden="1" x14ac:dyDescent="0.2">
      <c r="B1052" s="4">
        <v>2014</v>
      </c>
      <c r="C1052" s="11" t="s">
        <v>1008</v>
      </c>
      <c r="D1052" s="11" t="s">
        <v>585</v>
      </c>
      <c r="E1052" s="11" t="s">
        <v>1040</v>
      </c>
      <c r="F1052" s="12">
        <v>0</v>
      </c>
    </row>
    <row r="1053" spans="2:6" hidden="1" x14ac:dyDescent="0.2">
      <c r="B1053" s="4">
        <v>2014</v>
      </c>
      <c r="C1053" s="11" t="s">
        <v>1008</v>
      </c>
      <c r="D1053" s="11" t="s">
        <v>585</v>
      </c>
      <c r="E1053" s="11" t="s">
        <v>1041</v>
      </c>
      <c r="F1053" s="12">
        <v>2</v>
      </c>
    </row>
    <row r="1054" spans="2:6" hidden="1" x14ac:dyDescent="0.2">
      <c r="B1054" s="4">
        <v>2014</v>
      </c>
      <c r="C1054" s="11" t="s">
        <v>1008</v>
      </c>
      <c r="D1054" s="11" t="s">
        <v>585</v>
      </c>
      <c r="E1054" s="11" t="s">
        <v>1042</v>
      </c>
      <c r="F1054" s="12">
        <v>0</v>
      </c>
    </row>
    <row r="1055" spans="2:6" hidden="1" x14ac:dyDescent="0.2">
      <c r="B1055" s="4">
        <v>2014</v>
      </c>
      <c r="C1055" s="11" t="s">
        <v>1008</v>
      </c>
      <c r="D1055" s="11" t="s">
        <v>585</v>
      </c>
      <c r="E1055" s="11" t="s">
        <v>1043</v>
      </c>
      <c r="F1055" s="12">
        <v>0</v>
      </c>
    </row>
    <row r="1056" spans="2:6" hidden="1" x14ac:dyDescent="0.2">
      <c r="B1056" s="4">
        <v>2014</v>
      </c>
      <c r="C1056" s="11" t="s">
        <v>1008</v>
      </c>
      <c r="D1056" s="11" t="s">
        <v>585</v>
      </c>
      <c r="E1056" s="11" t="s">
        <v>1044</v>
      </c>
      <c r="F1056" s="12">
        <v>0</v>
      </c>
    </row>
    <row r="1057" spans="2:6" hidden="1" x14ac:dyDescent="0.2">
      <c r="B1057" s="4">
        <v>2014</v>
      </c>
      <c r="C1057" s="11" t="s">
        <v>1008</v>
      </c>
      <c r="D1057" s="11" t="s">
        <v>1045</v>
      </c>
      <c r="E1057" s="11" t="s">
        <v>1045</v>
      </c>
      <c r="F1057" s="12">
        <v>32</v>
      </c>
    </row>
    <row r="1058" spans="2:6" hidden="1" x14ac:dyDescent="0.2">
      <c r="B1058" s="4">
        <v>2014</v>
      </c>
      <c r="C1058" s="11" t="s">
        <v>1008</v>
      </c>
      <c r="D1058" s="11" t="s">
        <v>1045</v>
      </c>
      <c r="E1058" s="11" t="s">
        <v>1046</v>
      </c>
      <c r="F1058" s="12">
        <v>5</v>
      </c>
    </row>
    <row r="1059" spans="2:6" hidden="1" x14ac:dyDescent="0.2">
      <c r="B1059" s="4">
        <v>2014</v>
      </c>
      <c r="C1059" s="11" t="s">
        <v>1008</v>
      </c>
      <c r="D1059" s="11" t="s">
        <v>1045</v>
      </c>
      <c r="E1059" s="11" t="s">
        <v>1047</v>
      </c>
      <c r="F1059" s="12">
        <v>7</v>
      </c>
    </row>
    <row r="1060" spans="2:6" hidden="1" x14ac:dyDescent="0.2">
      <c r="B1060" s="4">
        <v>2014</v>
      </c>
      <c r="C1060" s="11" t="s">
        <v>1008</v>
      </c>
      <c r="D1060" s="11" t="s">
        <v>1045</v>
      </c>
      <c r="E1060" s="11" t="s">
        <v>1048</v>
      </c>
      <c r="F1060" s="12">
        <v>1</v>
      </c>
    </row>
    <row r="1061" spans="2:6" hidden="1" x14ac:dyDescent="0.2">
      <c r="B1061" s="4">
        <v>2014</v>
      </c>
      <c r="C1061" s="11" t="s">
        <v>1008</v>
      </c>
      <c r="D1061" s="11" t="s">
        <v>1045</v>
      </c>
      <c r="E1061" s="11" t="s">
        <v>1049</v>
      </c>
      <c r="F1061" s="12">
        <v>17</v>
      </c>
    </row>
    <row r="1062" spans="2:6" hidden="1" x14ac:dyDescent="0.2">
      <c r="B1062" s="4">
        <v>2014</v>
      </c>
      <c r="C1062" s="11" t="s">
        <v>1008</v>
      </c>
      <c r="D1062" s="11" t="s">
        <v>1045</v>
      </c>
      <c r="E1062" s="11" t="s">
        <v>1050</v>
      </c>
      <c r="F1062" s="12">
        <v>0</v>
      </c>
    </row>
    <row r="1063" spans="2:6" hidden="1" x14ac:dyDescent="0.2">
      <c r="B1063" s="4">
        <v>2014</v>
      </c>
      <c r="C1063" s="11" t="s">
        <v>1008</v>
      </c>
      <c r="D1063" s="11" t="s">
        <v>1051</v>
      </c>
      <c r="E1063" s="11" t="s">
        <v>1051</v>
      </c>
      <c r="F1063" s="12">
        <v>15</v>
      </c>
    </row>
    <row r="1064" spans="2:6" hidden="1" x14ac:dyDescent="0.2">
      <c r="B1064" s="4">
        <v>2014</v>
      </c>
      <c r="C1064" s="11" t="s">
        <v>1008</v>
      </c>
      <c r="D1064" s="11" t="s">
        <v>1051</v>
      </c>
      <c r="E1064" s="11" t="s">
        <v>1052</v>
      </c>
      <c r="F1064" s="12">
        <v>0</v>
      </c>
    </row>
    <row r="1065" spans="2:6" hidden="1" x14ac:dyDescent="0.2">
      <c r="B1065" s="4">
        <v>2014</v>
      </c>
      <c r="C1065" s="11" t="s">
        <v>1008</v>
      </c>
      <c r="D1065" s="11" t="s">
        <v>1051</v>
      </c>
      <c r="E1065" s="11" t="s">
        <v>1053</v>
      </c>
      <c r="F1065" s="12">
        <v>0</v>
      </c>
    </row>
    <row r="1066" spans="2:6" hidden="1" x14ac:dyDescent="0.2">
      <c r="B1066" s="4">
        <v>2014</v>
      </c>
      <c r="C1066" s="11" t="s">
        <v>1008</v>
      </c>
      <c r="D1066" s="11" t="s">
        <v>1051</v>
      </c>
      <c r="E1066" s="11" t="s">
        <v>1054</v>
      </c>
      <c r="F1066" s="12">
        <v>0</v>
      </c>
    </row>
    <row r="1067" spans="2:6" hidden="1" x14ac:dyDescent="0.2">
      <c r="B1067" s="4">
        <v>2014</v>
      </c>
      <c r="C1067" s="11" t="s">
        <v>1008</v>
      </c>
      <c r="D1067" s="11" t="s">
        <v>1051</v>
      </c>
      <c r="E1067" s="11" t="s">
        <v>1055</v>
      </c>
      <c r="F1067" s="12">
        <v>0</v>
      </c>
    </row>
    <row r="1068" spans="2:6" hidden="1" x14ac:dyDescent="0.2">
      <c r="B1068" s="4">
        <v>2014</v>
      </c>
      <c r="C1068" s="11" t="s">
        <v>1008</v>
      </c>
      <c r="D1068" s="11" t="s">
        <v>1051</v>
      </c>
      <c r="E1068" s="11" t="s">
        <v>1056</v>
      </c>
      <c r="F1068" s="12">
        <v>1</v>
      </c>
    </row>
    <row r="1069" spans="2:6" hidden="1" x14ac:dyDescent="0.2">
      <c r="B1069" s="4">
        <v>2014</v>
      </c>
      <c r="C1069" s="11" t="s">
        <v>1008</v>
      </c>
      <c r="D1069" s="11" t="s">
        <v>1051</v>
      </c>
      <c r="E1069" s="11" t="s">
        <v>1057</v>
      </c>
      <c r="F1069" s="12">
        <v>1</v>
      </c>
    </row>
    <row r="1070" spans="2:6" hidden="1" x14ac:dyDescent="0.2">
      <c r="B1070" s="4">
        <v>2014</v>
      </c>
      <c r="C1070" s="11" t="s">
        <v>1008</v>
      </c>
      <c r="D1070" s="11" t="s">
        <v>1051</v>
      </c>
      <c r="E1070" s="11" t="s">
        <v>1058</v>
      </c>
      <c r="F1070" s="12">
        <v>0</v>
      </c>
    </row>
    <row r="1071" spans="2:6" hidden="1" x14ac:dyDescent="0.2">
      <c r="B1071" s="4">
        <v>2014</v>
      </c>
      <c r="C1071" s="11" t="s">
        <v>1008</v>
      </c>
      <c r="D1071" s="11" t="s">
        <v>1051</v>
      </c>
      <c r="E1071" s="11" t="s">
        <v>1059</v>
      </c>
      <c r="F1071" s="12">
        <v>0</v>
      </c>
    </row>
    <row r="1072" spans="2:6" hidden="1" x14ac:dyDescent="0.2">
      <c r="B1072" s="4">
        <v>2014</v>
      </c>
      <c r="C1072" s="11" t="s">
        <v>1008</v>
      </c>
      <c r="D1072" s="11" t="s">
        <v>1051</v>
      </c>
      <c r="E1072" s="11" t="s">
        <v>1060</v>
      </c>
      <c r="F1072" s="12">
        <v>0</v>
      </c>
    </row>
    <row r="1073" spans="2:6" hidden="1" x14ac:dyDescent="0.2">
      <c r="B1073" s="4">
        <v>2014</v>
      </c>
      <c r="C1073" s="11" t="s">
        <v>1008</v>
      </c>
      <c r="D1073" s="11" t="s">
        <v>1051</v>
      </c>
      <c r="E1073" s="11" t="s">
        <v>1061</v>
      </c>
      <c r="F1073" s="12">
        <v>0</v>
      </c>
    </row>
    <row r="1074" spans="2:6" hidden="1" x14ac:dyDescent="0.2">
      <c r="B1074" s="4">
        <v>2014</v>
      </c>
      <c r="C1074" s="11" t="s">
        <v>1008</v>
      </c>
      <c r="D1074" s="11" t="s">
        <v>1051</v>
      </c>
      <c r="E1074" s="11" t="s">
        <v>1062</v>
      </c>
      <c r="F1074" s="12">
        <v>0</v>
      </c>
    </row>
    <row r="1075" spans="2:6" hidden="1" x14ac:dyDescent="0.2">
      <c r="B1075" s="4">
        <v>2014</v>
      </c>
      <c r="C1075" s="11" t="s">
        <v>1008</v>
      </c>
      <c r="D1075" s="11" t="s">
        <v>1051</v>
      </c>
      <c r="E1075" s="11" t="s">
        <v>1063</v>
      </c>
      <c r="F1075" s="12">
        <v>0</v>
      </c>
    </row>
    <row r="1076" spans="2:6" hidden="1" x14ac:dyDescent="0.2">
      <c r="B1076" s="4">
        <v>2014</v>
      </c>
      <c r="C1076" s="11" t="s">
        <v>1008</v>
      </c>
      <c r="D1076" s="11" t="s">
        <v>1051</v>
      </c>
      <c r="E1076" s="11" t="s">
        <v>1064</v>
      </c>
      <c r="F1076" s="12">
        <v>0</v>
      </c>
    </row>
    <row r="1077" spans="2:6" hidden="1" x14ac:dyDescent="0.2">
      <c r="B1077" s="4">
        <v>2014</v>
      </c>
      <c r="C1077" s="11" t="s">
        <v>1008</v>
      </c>
      <c r="D1077" s="11" t="s">
        <v>1051</v>
      </c>
      <c r="E1077" s="11" t="s">
        <v>1065</v>
      </c>
      <c r="F1077" s="12">
        <v>0</v>
      </c>
    </row>
    <row r="1078" spans="2:6" hidden="1" x14ac:dyDescent="0.2">
      <c r="B1078" s="4">
        <v>2014</v>
      </c>
      <c r="C1078" s="11" t="s">
        <v>1008</v>
      </c>
      <c r="D1078" s="11" t="s">
        <v>1051</v>
      </c>
      <c r="E1078" s="11" t="s">
        <v>1066</v>
      </c>
      <c r="F1078" s="12">
        <v>0</v>
      </c>
    </row>
    <row r="1079" spans="2:6" hidden="1" x14ac:dyDescent="0.2">
      <c r="B1079" s="4">
        <v>2014</v>
      </c>
      <c r="C1079" s="11" t="s">
        <v>1008</v>
      </c>
      <c r="D1079" s="11" t="s">
        <v>1051</v>
      </c>
      <c r="E1079" s="11" t="s">
        <v>1067</v>
      </c>
      <c r="F1079" s="12">
        <v>0</v>
      </c>
    </row>
    <row r="1080" spans="2:6" hidden="1" x14ac:dyDescent="0.2">
      <c r="B1080" s="4">
        <v>2014</v>
      </c>
      <c r="C1080" s="11" t="s">
        <v>1008</v>
      </c>
      <c r="D1080" s="11" t="s">
        <v>1051</v>
      </c>
      <c r="E1080" s="11" t="s">
        <v>1068</v>
      </c>
      <c r="F1080" s="12">
        <v>0</v>
      </c>
    </row>
    <row r="1081" spans="2:6" hidden="1" x14ac:dyDescent="0.2">
      <c r="B1081" s="4">
        <v>2014</v>
      </c>
      <c r="C1081" s="11" t="s">
        <v>1008</v>
      </c>
      <c r="D1081" s="11" t="s">
        <v>1051</v>
      </c>
      <c r="E1081" s="11" t="s">
        <v>1069</v>
      </c>
      <c r="F1081" s="12">
        <v>0</v>
      </c>
    </row>
    <row r="1082" spans="2:6" hidden="1" x14ac:dyDescent="0.2">
      <c r="B1082" s="4">
        <v>2014</v>
      </c>
      <c r="C1082" s="11" t="s">
        <v>1008</v>
      </c>
      <c r="D1082" s="11" t="s">
        <v>1051</v>
      </c>
      <c r="E1082" s="11" t="s">
        <v>1070</v>
      </c>
      <c r="F1082" s="12">
        <v>0</v>
      </c>
    </row>
    <row r="1083" spans="2:6" hidden="1" x14ac:dyDescent="0.2">
      <c r="B1083" s="4">
        <v>2014</v>
      </c>
      <c r="C1083" s="11" t="s">
        <v>1008</v>
      </c>
      <c r="D1083" s="11" t="s">
        <v>1051</v>
      </c>
      <c r="E1083" s="11" t="s">
        <v>1071</v>
      </c>
      <c r="F1083" s="12">
        <v>0</v>
      </c>
    </row>
    <row r="1084" spans="2:6" hidden="1" x14ac:dyDescent="0.2">
      <c r="B1084" s="4">
        <v>2014</v>
      </c>
      <c r="C1084" s="11" t="s">
        <v>1008</v>
      </c>
      <c r="D1084" s="11" t="s">
        <v>1051</v>
      </c>
      <c r="E1084" s="11" t="s">
        <v>1072</v>
      </c>
      <c r="F1084" s="12">
        <v>0</v>
      </c>
    </row>
    <row r="1085" spans="2:6" hidden="1" x14ac:dyDescent="0.2">
      <c r="B1085" s="4">
        <v>2014</v>
      </c>
      <c r="C1085" s="11" t="s">
        <v>1008</v>
      </c>
      <c r="D1085" s="11" t="s">
        <v>1051</v>
      </c>
      <c r="E1085" s="11" t="s">
        <v>623</v>
      </c>
      <c r="F1085" s="12">
        <v>2</v>
      </c>
    </row>
    <row r="1086" spans="2:6" hidden="1" x14ac:dyDescent="0.2">
      <c r="B1086" s="4">
        <v>2014</v>
      </c>
      <c r="C1086" s="11" t="s">
        <v>1008</v>
      </c>
      <c r="D1086" s="11" t="s">
        <v>1051</v>
      </c>
      <c r="E1086" s="11" t="s">
        <v>1073</v>
      </c>
      <c r="F1086" s="12">
        <v>0</v>
      </c>
    </row>
    <row r="1087" spans="2:6" hidden="1" x14ac:dyDescent="0.2">
      <c r="B1087" s="4">
        <v>2014</v>
      </c>
      <c r="C1087" s="11" t="s">
        <v>1008</v>
      </c>
      <c r="D1087" s="11" t="s">
        <v>1051</v>
      </c>
      <c r="E1087" s="11" t="s">
        <v>1074</v>
      </c>
      <c r="F1087" s="12">
        <v>0</v>
      </c>
    </row>
    <row r="1088" spans="2:6" hidden="1" x14ac:dyDescent="0.2">
      <c r="B1088" s="4">
        <v>2014</v>
      </c>
      <c r="C1088" s="11" t="s">
        <v>1008</v>
      </c>
      <c r="D1088" s="11" t="s">
        <v>1051</v>
      </c>
      <c r="E1088" s="11" t="s">
        <v>1075</v>
      </c>
      <c r="F1088" s="12">
        <v>0</v>
      </c>
    </row>
    <row r="1089" spans="2:6" hidden="1" x14ac:dyDescent="0.2">
      <c r="B1089" s="4">
        <v>2014</v>
      </c>
      <c r="C1089" s="11" t="s">
        <v>1008</v>
      </c>
      <c r="D1089" s="11" t="s">
        <v>1051</v>
      </c>
      <c r="E1089" s="11" t="s">
        <v>1076</v>
      </c>
      <c r="F1089" s="12">
        <v>0</v>
      </c>
    </row>
    <row r="1090" spans="2:6" hidden="1" x14ac:dyDescent="0.2">
      <c r="B1090" s="4">
        <v>2014</v>
      </c>
      <c r="C1090" s="11" t="s">
        <v>1008</v>
      </c>
      <c r="D1090" s="11" t="s">
        <v>1051</v>
      </c>
      <c r="E1090" s="11" t="s">
        <v>1077</v>
      </c>
      <c r="F1090" s="12">
        <v>0</v>
      </c>
    </row>
    <row r="1091" spans="2:6" hidden="1" x14ac:dyDescent="0.2">
      <c r="B1091" s="4">
        <v>2014</v>
      </c>
      <c r="C1091" s="11" t="s">
        <v>1008</v>
      </c>
      <c r="D1091" s="11" t="s">
        <v>1051</v>
      </c>
      <c r="E1091" s="11" t="s">
        <v>1078</v>
      </c>
      <c r="F1091" s="12">
        <v>0</v>
      </c>
    </row>
    <row r="1092" spans="2:6" hidden="1" x14ac:dyDescent="0.2">
      <c r="B1092" s="4">
        <v>2014</v>
      </c>
      <c r="C1092" s="11" t="s">
        <v>1008</v>
      </c>
      <c r="D1092" s="11" t="s">
        <v>1051</v>
      </c>
      <c r="E1092" s="11" t="s">
        <v>1079</v>
      </c>
      <c r="F1092" s="12">
        <v>0</v>
      </c>
    </row>
    <row r="1093" spans="2:6" hidden="1" x14ac:dyDescent="0.2">
      <c r="B1093" s="4">
        <v>2014</v>
      </c>
      <c r="C1093" s="11" t="s">
        <v>1008</v>
      </c>
      <c r="D1093" s="11" t="s">
        <v>1051</v>
      </c>
      <c r="E1093" s="11" t="s">
        <v>1080</v>
      </c>
      <c r="F1093" s="12">
        <v>0</v>
      </c>
    </row>
    <row r="1094" spans="2:6" hidden="1" x14ac:dyDescent="0.2">
      <c r="B1094" s="4">
        <v>2014</v>
      </c>
      <c r="C1094" s="11" t="s">
        <v>1008</v>
      </c>
      <c r="D1094" s="11" t="s">
        <v>1051</v>
      </c>
      <c r="E1094" s="11" t="s">
        <v>1081</v>
      </c>
      <c r="F1094" s="12">
        <v>0</v>
      </c>
    </row>
    <row r="1095" spans="2:6" hidden="1" x14ac:dyDescent="0.2">
      <c r="B1095" s="4">
        <v>2014</v>
      </c>
      <c r="C1095" s="11" t="s">
        <v>1008</v>
      </c>
      <c r="D1095" s="11" t="s">
        <v>1051</v>
      </c>
      <c r="E1095" s="11" t="s">
        <v>825</v>
      </c>
      <c r="F1095" s="12">
        <v>0</v>
      </c>
    </row>
    <row r="1096" spans="2:6" hidden="1" x14ac:dyDescent="0.2">
      <c r="B1096" s="4">
        <v>2014</v>
      </c>
      <c r="C1096" s="11" t="s">
        <v>1008</v>
      </c>
      <c r="D1096" s="11" t="s">
        <v>1051</v>
      </c>
      <c r="E1096" s="11" t="s">
        <v>1082</v>
      </c>
      <c r="F1096" s="12">
        <v>2</v>
      </c>
    </row>
    <row r="1097" spans="2:6" hidden="1" x14ac:dyDescent="0.2">
      <c r="B1097" s="4">
        <v>2014</v>
      </c>
      <c r="C1097" s="11" t="s">
        <v>1008</v>
      </c>
      <c r="D1097" s="11" t="s">
        <v>1008</v>
      </c>
      <c r="E1097" s="11" t="s">
        <v>1008</v>
      </c>
      <c r="F1097" s="12">
        <v>3</v>
      </c>
    </row>
    <row r="1098" spans="2:6" hidden="1" x14ac:dyDescent="0.2">
      <c r="B1098" s="4">
        <v>2014</v>
      </c>
      <c r="C1098" s="11" t="s">
        <v>1008</v>
      </c>
      <c r="D1098" s="11" t="s">
        <v>1008</v>
      </c>
      <c r="E1098" s="11" t="s">
        <v>1083</v>
      </c>
      <c r="F1098" s="12">
        <v>3</v>
      </c>
    </row>
    <row r="1099" spans="2:6" hidden="1" x14ac:dyDescent="0.2">
      <c r="B1099" s="4">
        <v>2014</v>
      </c>
      <c r="C1099" s="11" t="s">
        <v>1008</v>
      </c>
      <c r="D1099" s="11" t="s">
        <v>1008</v>
      </c>
      <c r="E1099" s="11" t="s">
        <v>1084</v>
      </c>
      <c r="F1099" s="12">
        <v>0</v>
      </c>
    </row>
    <row r="1100" spans="2:6" hidden="1" x14ac:dyDescent="0.2">
      <c r="B1100" s="4">
        <v>2014</v>
      </c>
      <c r="C1100" s="11" t="s">
        <v>1008</v>
      </c>
      <c r="D1100" s="11" t="s">
        <v>1008</v>
      </c>
      <c r="E1100" s="11" t="s">
        <v>1085</v>
      </c>
      <c r="F1100" s="12">
        <v>0</v>
      </c>
    </row>
    <row r="1101" spans="2:6" hidden="1" x14ac:dyDescent="0.2">
      <c r="B1101" s="4">
        <v>2014</v>
      </c>
      <c r="C1101" s="11" t="s">
        <v>1008</v>
      </c>
      <c r="D1101" s="11" t="s">
        <v>1086</v>
      </c>
      <c r="E1101" s="11" t="s">
        <v>1086</v>
      </c>
      <c r="F1101" s="12">
        <v>41</v>
      </c>
    </row>
    <row r="1102" spans="2:6" hidden="1" x14ac:dyDescent="0.2">
      <c r="B1102" s="4">
        <v>2014</v>
      </c>
      <c r="C1102" s="11" t="s">
        <v>1008</v>
      </c>
      <c r="D1102" s="11" t="s">
        <v>1086</v>
      </c>
      <c r="E1102" s="11" t="s">
        <v>1087</v>
      </c>
      <c r="F1102" s="12">
        <v>1</v>
      </c>
    </row>
    <row r="1103" spans="2:6" hidden="1" x14ac:dyDescent="0.2">
      <c r="B1103" s="4">
        <v>2014</v>
      </c>
      <c r="C1103" s="11" t="s">
        <v>1008</v>
      </c>
      <c r="D1103" s="11" t="s">
        <v>1086</v>
      </c>
      <c r="E1103" s="11" t="s">
        <v>1088</v>
      </c>
      <c r="F1103" s="12">
        <v>0</v>
      </c>
    </row>
    <row r="1104" spans="2:6" hidden="1" x14ac:dyDescent="0.2">
      <c r="B1104" s="4">
        <v>2014</v>
      </c>
      <c r="C1104" s="11" t="s">
        <v>1008</v>
      </c>
      <c r="D1104" s="11" t="s">
        <v>1086</v>
      </c>
      <c r="E1104" s="11" t="s">
        <v>1089</v>
      </c>
      <c r="F1104" s="12">
        <v>8</v>
      </c>
    </row>
    <row r="1105" spans="2:6" hidden="1" x14ac:dyDescent="0.2">
      <c r="B1105" s="4">
        <v>2014</v>
      </c>
      <c r="C1105" s="11" t="s">
        <v>1008</v>
      </c>
      <c r="D1105" s="11" t="s">
        <v>1086</v>
      </c>
      <c r="E1105" s="11" t="s">
        <v>1090</v>
      </c>
      <c r="F1105" s="12">
        <v>0</v>
      </c>
    </row>
    <row r="1106" spans="2:6" hidden="1" x14ac:dyDescent="0.2">
      <c r="B1106" s="4">
        <v>2014</v>
      </c>
      <c r="C1106" s="11" t="s">
        <v>1008</v>
      </c>
      <c r="D1106" s="11" t="s">
        <v>1086</v>
      </c>
      <c r="E1106" s="11" t="s">
        <v>1091</v>
      </c>
      <c r="F1106" s="12">
        <v>6</v>
      </c>
    </row>
    <row r="1107" spans="2:6" hidden="1" x14ac:dyDescent="0.2">
      <c r="B1107" s="4">
        <v>2014</v>
      </c>
      <c r="C1107" s="11" t="s">
        <v>1008</v>
      </c>
      <c r="D1107" s="11" t="s">
        <v>1086</v>
      </c>
      <c r="E1107" s="11" t="s">
        <v>1092</v>
      </c>
      <c r="F1107" s="12">
        <v>43</v>
      </c>
    </row>
    <row r="1108" spans="2:6" hidden="1" x14ac:dyDescent="0.2">
      <c r="B1108" s="4">
        <v>2014</v>
      </c>
      <c r="C1108" s="11" t="s">
        <v>1008</v>
      </c>
      <c r="D1108" s="11" t="s">
        <v>1086</v>
      </c>
      <c r="E1108" s="11" t="s">
        <v>1093</v>
      </c>
      <c r="F1108" s="12">
        <v>0</v>
      </c>
    </row>
    <row r="1109" spans="2:6" hidden="1" x14ac:dyDescent="0.2">
      <c r="B1109" s="4">
        <v>2014</v>
      </c>
      <c r="C1109" s="11" t="s">
        <v>1008</v>
      </c>
      <c r="D1109" s="11" t="s">
        <v>1094</v>
      </c>
      <c r="E1109" s="11" t="s">
        <v>1094</v>
      </c>
      <c r="F1109" s="12">
        <v>16</v>
      </c>
    </row>
    <row r="1110" spans="2:6" hidden="1" x14ac:dyDescent="0.2">
      <c r="B1110" s="4">
        <v>2014</v>
      </c>
      <c r="C1110" s="11" t="s">
        <v>1008</v>
      </c>
      <c r="D1110" s="11" t="s">
        <v>1094</v>
      </c>
      <c r="E1110" s="11" t="s">
        <v>271</v>
      </c>
      <c r="F1110" s="12">
        <v>0</v>
      </c>
    </row>
    <row r="1111" spans="2:6" hidden="1" x14ac:dyDescent="0.2">
      <c r="B1111" s="4">
        <v>2014</v>
      </c>
      <c r="C1111" s="11" t="s">
        <v>1008</v>
      </c>
      <c r="D1111" s="11" t="s">
        <v>1094</v>
      </c>
      <c r="E1111" s="11" t="s">
        <v>1095</v>
      </c>
      <c r="F1111" s="12">
        <v>0</v>
      </c>
    </row>
    <row r="1112" spans="2:6" hidden="1" x14ac:dyDescent="0.2">
      <c r="B1112" s="4">
        <v>2014</v>
      </c>
      <c r="C1112" s="11" t="s">
        <v>1008</v>
      </c>
      <c r="D1112" s="11" t="s">
        <v>1094</v>
      </c>
      <c r="E1112" s="11" t="s">
        <v>1096</v>
      </c>
      <c r="F1112" s="12">
        <v>2</v>
      </c>
    </row>
    <row r="1113" spans="2:6" hidden="1" x14ac:dyDescent="0.2">
      <c r="B1113" s="4">
        <v>2014</v>
      </c>
      <c r="C1113" s="11" t="s">
        <v>1008</v>
      </c>
      <c r="D1113" s="11" t="s">
        <v>1094</v>
      </c>
      <c r="E1113" s="11" t="s">
        <v>466</v>
      </c>
      <c r="F1113" s="12">
        <v>0</v>
      </c>
    </row>
    <row r="1114" spans="2:6" hidden="1" x14ac:dyDescent="0.2">
      <c r="B1114" s="4">
        <v>2014</v>
      </c>
      <c r="C1114" s="11" t="s">
        <v>1008</v>
      </c>
      <c r="D1114" s="11" t="s">
        <v>1094</v>
      </c>
      <c r="E1114" s="11" t="s">
        <v>822</v>
      </c>
      <c r="F1114" s="12">
        <v>2</v>
      </c>
    </row>
    <row r="1115" spans="2:6" hidden="1" x14ac:dyDescent="0.2">
      <c r="B1115" s="4">
        <v>2014</v>
      </c>
      <c r="C1115" s="11" t="s">
        <v>1008</v>
      </c>
      <c r="D1115" s="11" t="s">
        <v>1094</v>
      </c>
      <c r="E1115" s="11" t="s">
        <v>1097</v>
      </c>
      <c r="F1115" s="12">
        <v>0</v>
      </c>
    </row>
    <row r="1116" spans="2:6" hidden="1" x14ac:dyDescent="0.2">
      <c r="B1116" s="4">
        <v>2014</v>
      </c>
      <c r="C1116" s="11" t="s">
        <v>1008</v>
      </c>
      <c r="D1116" s="11" t="s">
        <v>1094</v>
      </c>
      <c r="E1116" s="11" t="s">
        <v>1098</v>
      </c>
      <c r="F1116" s="12">
        <v>1</v>
      </c>
    </row>
    <row r="1117" spans="2:6" hidden="1" x14ac:dyDescent="0.2">
      <c r="B1117" s="4">
        <v>2014</v>
      </c>
      <c r="C1117" s="11" t="s">
        <v>1008</v>
      </c>
      <c r="D1117" s="11" t="s">
        <v>1094</v>
      </c>
      <c r="E1117" s="11" t="s">
        <v>1099</v>
      </c>
      <c r="F1117" s="12">
        <v>0</v>
      </c>
    </row>
    <row r="1118" spans="2:6" hidden="1" x14ac:dyDescent="0.2">
      <c r="B1118" s="4">
        <v>2014</v>
      </c>
      <c r="C1118" s="11" t="s">
        <v>1008</v>
      </c>
      <c r="D1118" s="11" t="s">
        <v>825</v>
      </c>
      <c r="E1118" s="11" t="s">
        <v>1100</v>
      </c>
      <c r="F1118" s="12">
        <v>9</v>
      </c>
    </row>
    <row r="1119" spans="2:6" hidden="1" x14ac:dyDescent="0.2">
      <c r="B1119" s="4">
        <v>2014</v>
      </c>
      <c r="C1119" s="11" t="s">
        <v>1008</v>
      </c>
      <c r="D1119" s="11" t="s">
        <v>825</v>
      </c>
      <c r="E1119" s="11" t="s">
        <v>1101</v>
      </c>
      <c r="F1119" s="12">
        <v>0</v>
      </c>
    </row>
    <row r="1120" spans="2:6" hidden="1" x14ac:dyDescent="0.2">
      <c r="B1120" s="4">
        <v>2014</v>
      </c>
      <c r="C1120" s="11" t="s">
        <v>1008</v>
      </c>
      <c r="D1120" s="11" t="s">
        <v>825</v>
      </c>
      <c r="E1120" s="11" t="s">
        <v>1102</v>
      </c>
      <c r="F1120" s="12">
        <v>0</v>
      </c>
    </row>
    <row r="1121" spans="2:6" hidden="1" x14ac:dyDescent="0.2">
      <c r="B1121" s="4">
        <v>2014</v>
      </c>
      <c r="C1121" s="11" t="s">
        <v>1008</v>
      </c>
      <c r="D1121" s="11" t="s">
        <v>825</v>
      </c>
      <c r="E1121" s="11" t="s">
        <v>1103</v>
      </c>
      <c r="F1121" s="12">
        <v>2</v>
      </c>
    </row>
    <row r="1122" spans="2:6" hidden="1" x14ac:dyDescent="0.2">
      <c r="B1122" s="4">
        <v>2014</v>
      </c>
      <c r="C1122" s="11" t="s">
        <v>1008</v>
      </c>
      <c r="D1122" s="11" t="s">
        <v>825</v>
      </c>
      <c r="E1122" s="11" t="s">
        <v>1104</v>
      </c>
      <c r="F1122" s="12">
        <v>10</v>
      </c>
    </row>
    <row r="1123" spans="2:6" hidden="1" x14ac:dyDescent="0.2">
      <c r="B1123" s="4">
        <v>2014</v>
      </c>
      <c r="C1123" s="11" t="s">
        <v>1008</v>
      </c>
      <c r="D1123" s="11" t="s">
        <v>825</v>
      </c>
      <c r="E1123" s="11" t="s">
        <v>623</v>
      </c>
      <c r="F1123" s="12">
        <v>0</v>
      </c>
    </row>
    <row r="1124" spans="2:6" hidden="1" x14ac:dyDescent="0.2">
      <c r="B1124" s="4">
        <v>2014</v>
      </c>
      <c r="C1124" s="11" t="s">
        <v>1008</v>
      </c>
      <c r="D1124" s="11" t="s">
        <v>825</v>
      </c>
      <c r="E1124" s="11" t="s">
        <v>1105</v>
      </c>
      <c r="F1124" s="12">
        <v>0</v>
      </c>
    </row>
    <row r="1125" spans="2:6" hidden="1" x14ac:dyDescent="0.2">
      <c r="B1125" s="4">
        <v>2014</v>
      </c>
      <c r="C1125" s="11" t="s">
        <v>1008</v>
      </c>
      <c r="D1125" s="11" t="s">
        <v>825</v>
      </c>
      <c r="E1125" s="11" t="s">
        <v>1106</v>
      </c>
      <c r="F1125" s="12">
        <v>7</v>
      </c>
    </row>
    <row r="1126" spans="2:6" hidden="1" x14ac:dyDescent="0.2">
      <c r="B1126" s="4">
        <v>2014</v>
      </c>
      <c r="C1126" s="11" t="s">
        <v>1008</v>
      </c>
      <c r="D1126" s="11" t="s">
        <v>825</v>
      </c>
      <c r="E1126" s="11" t="s">
        <v>1107</v>
      </c>
      <c r="F1126" s="12">
        <v>0</v>
      </c>
    </row>
    <row r="1127" spans="2:6" hidden="1" x14ac:dyDescent="0.2">
      <c r="B1127" s="4">
        <v>2014</v>
      </c>
      <c r="C1127" s="11" t="s">
        <v>1008</v>
      </c>
      <c r="D1127" s="11" t="s">
        <v>825</v>
      </c>
      <c r="E1127" s="11" t="s">
        <v>825</v>
      </c>
      <c r="F1127" s="12">
        <v>6</v>
      </c>
    </row>
    <row r="1128" spans="2:6" hidden="1" x14ac:dyDescent="0.2">
      <c r="B1128" s="4">
        <v>2014</v>
      </c>
      <c r="C1128" s="11" t="s">
        <v>1008</v>
      </c>
      <c r="D1128" s="11" t="s">
        <v>1108</v>
      </c>
      <c r="E1128" s="11" t="s">
        <v>1108</v>
      </c>
      <c r="F1128" s="12">
        <v>10</v>
      </c>
    </row>
    <row r="1129" spans="2:6" hidden="1" x14ac:dyDescent="0.2">
      <c r="B1129" s="4">
        <v>2014</v>
      </c>
      <c r="C1129" s="11" t="s">
        <v>1008</v>
      </c>
      <c r="D1129" s="11" t="s">
        <v>1108</v>
      </c>
      <c r="E1129" s="11" t="s">
        <v>1109</v>
      </c>
      <c r="F1129" s="12">
        <v>1</v>
      </c>
    </row>
    <row r="1130" spans="2:6" hidden="1" x14ac:dyDescent="0.2">
      <c r="B1130" s="4">
        <v>2014</v>
      </c>
      <c r="C1130" s="11" t="s">
        <v>1008</v>
      </c>
      <c r="D1130" s="11" t="s">
        <v>1108</v>
      </c>
      <c r="E1130" s="11" t="s">
        <v>1110</v>
      </c>
      <c r="F1130" s="12">
        <v>1</v>
      </c>
    </row>
    <row r="1131" spans="2:6" hidden="1" x14ac:dyDescent="0.2">
      <c r="B1131" s="4">
        <v>2014</v>
      </c>
      <c r="C1131" s="11" t="s">
        <v>1008</v>
      </c>
      <c r="D1131" s="11" t="s">
        <v>1108</v>
      </c>
      <c r="E1131" s="11" t="s">
        <v>1111</v>
      </c>
      <c r="F1131" s="12">
        <v>5</v>
      </c>
    </row>
    <row r="1132" spans="2:6" hidden="1" x14ac:dyDescent="0.2">
      <c r="B1132" s="4">
        <v>2014</v>
      </c>
      <c r="C1132" s="11" t="s">
        <v>1008</v>
      </c>
      <c r="D1132" s="11" t="s">
        <v>1108</v>
      </c>
      <c r="E1132" s="11" t="s">
        <v>1112</v>
      </c>
      <c r="F1132" s="12">
        <v>0</v>
      </c>
    </row>
    <row r="1133" spans="2:6" hidden="1" x14ac:dyDescent="0.2">
      <c r="B1133" s="4">
        <v>2014</v>
      </c>
      <c r="C1133" s="11" t="s">
        <v>1008</v>
      </c>
      <c r="D1133" s="11" t="s">
        <v>1108</v>
      </c>
      <c r="E1133" s="11" t="s">
        <v>1113</v>
      </c>
      <c r="F1133" s="12">
        <v>0</v>
      </c>
    </row>
    <row r="1134" spans="2:6" hidden="1" x14ac:dyDescent="0.2">
      <c r="B1134" s="4">
        <v>2014</v>
      </c>
      <c r="C1134" s="11" t="s">
        <v>1008</v>
      </c>
      <c r="D1134" s="11" t="s">
        <v>1108</v>
      </c>
      <c r="E1134" s="11" t="s">
        <v>1114</v>
      </c>
      <c r="F1134" s="12">
        <v>0</v>
      </c>
    </row>
    <row r="1135" spans="2:6" hidden="1" x14ac:dyDescent="0.2">
      <c r="B1135" s="4">
        <v>2014</v>
      </c>
      <c r="C1135" s="11" t="s">
        <v>1008</v>
      </c>
      <c r="D1135" s="11" t="s">
        <v>1108</v>
      </c>
      <c r="E1135" s="11" t="s">
        <v>1115</v>
      </c>
      <c r="F1135" s="12">
        <v>2</v>
      </c>
    </row>
    <row r="1136" spans="2:6" hidden="1" x14ac:dyDescent="0.2">
      <c r="B1136" s="4">
        <v>2014</v>
      </c>
      <c r="C1136" s="11" t="s">
        <v>1008</v>
      </c>
      <c r="D1136" s="11" t="s">
        <v>1108</v>
      </c>
      <c r="E1136" s="11" t="s">
        <v>1116</v>
      </c>
      <c r="F1136" s="12">
        <v>0</v>
      </c>
    </row>
    <row r="1137" spans="2:6" hidden="1" x14ac:dyDescent="0.2">
      <c r="B1137" s="4">
        <v>2014</v>
      </c>
      <c r="C1137" s="11" t="s">
        <v>131</v>
      </c>
      <c r="D1137" s="11" t="s">
        <v>1117</v>
      </c>
      <c r="E1137" s="11" t="s">
        <v>1117</v>
      </c>
      <c r="F1137" s="12">
        <v>55</v>
      </c>
    </row>
    <row r="1138" spans="2:6" hidden="1" x14ac:dyDescent="0.2">
      <c r="B1138" s="4">
        <v>2014</v>
      </c>
      <c r="C1138" s="11" t="s">
        <v>131</v>
      </c>
      <c r="D1138" s="11" t="s">
        <v>1117</v>
      </c>
      <c r="E1138" s="11" t="s">
        <v>1118</v>
      </c>
      <c r="F1138" s="12">
        <v>5</v>
      </c>
    </row>
    <row r="1139" spans="2:6" hidden="1" x14ac:dyDescent="0.2">
      <c r="B1139" s="4">
        <v>2014</v>
      </c>
      <c r="C1139" s="11" t="s">
        <v>131</v>
      </c>
      <c r="D1139" s="11" t="s">
        <v>1117</v>
      </c>
      <c r="E1139" s="11" t="s">
        <v>1119</v>
      </c>
      <c r="F1139" s="12">
        <v>13</v>
      </c>
    </row>
    <row r="1140" spans="2:6" hidden="1" x14ac:dyDescent="0.2">
      <c r="B1140" s="4">
        <v>2014</v>
      </c>
      <c r="C1140" s="11" t="s">
        <v>131</v>
      </c>
      <c r="D1140" s="11" t="s">
        <v>1117</v>
      </c>
      <c r="E1140" s="11" t="s">
        <v>1120</v>
      </c>
      <c r="F1140" s="12">
        <v>60</v>
      </c>
    </row>
    <row r="1141" spans="2:6" hidden="1" x14ac:dyDescent="0.2">
      <c r="B1141" s="4">
        <v>2014</v>
      </c>
      <c r="C1141" s="11" t="s">
        <v>131</v>
      </c>
      <c r="D1141" s="11" t="s">
        <v>1117</v>
      </c>
      <c r="E1141" s="11" t="s">
        <v>697</v>
      </c>
      <c r="F1141" s="12">
        <v>3</v>
      </c>
    </row>
    <row r="1142" spans="2:6" hidden="1" x14ac:dyDescent="0.2">
      <c r="B1142" s="4">
        <v>2014</v>
      </c>
      <c r="C1142" s="11" t="s">
        <v>131</v>
      </c>
      <c r="D1142" s="11" t="s">
        <v>1117</v>
      </c>
      <c r="E1142" s="11" t="s">
        <v>1121</v>
      </c>
      <c r="F1142" s="12">
        <v>5</v>
      </c>
    </row>
    <row r="1143" spans="2:6" hidden="1" x14ac:dyDescent="0.2">
      <c r="B1143" s="4">
        <v>2014</v>
      </c>
      <c r="C1143" s="11" t="s">
        <v>131</v>
      </c>
      <c r="D1143" s="11" t="s">
        <v>1117</v>
      </c>
      <c r="E1143" s="11" t="s">
        <v>1122</v>
      </c>
      <c r="F1143" s="12">
        <v>8</v>
      </c>
    </row>
    <row r="1144" spans="2:6" hidden="1" x14ac:dyDescent="0.2">
      <c r="B1144" s="4">
        <v>2014</v>
      </c>
      <c r="C1144" s="11" t="s">
        <v>131</v>
      </c>
      <c r="D1144" s="11" t="s">
        <v>1117</v>
      </c>
      <c r="E1144" s="11" t="s">
        <v>1123</v>
      </c>
      <c r="F1144" s="12">
        <v>2</v>
      </c>
    </row>
    <row r="1145" spans="2:6" hidden="1" x14ac:dyDescent="0.2">
      <c r="B1145" s="4">
        <v>2014</v>
      </c>
      <c r="C1145" s="11" t="s">
        <v>131</v>
      </c>
      <c r="D1145" s="11" t="s">
        <v>1117</v>
      </c>
      <c r="E1145" s="11" t="s">
        <v>1124</v>
      </c>
      <c r="F1145" s="12">
        <v>5</v>
      </c>
    </row>
    <row r="1146" spans="2:6" hidden="1" x14ac:dyDescent="0.2">
      <c r="B1146" s="4">
        <v>2014</v>
      </c>
      <c r="C1146" s="11" t="s">
        <v>131</v>
      </c>
      <c r="D1146" s="11" t="s">
        <v>1117</v>
      </c>
      <c r="E1146" s="11" t="s">
        <v>1125</v>
      </c>
      <c r="F1146" s="12">
        <v>1</v>
      </c>
    </row>
    <row r="1147" spans="2:6" hidden="1" x14ac:dyDescent="0.2">
      <c r="B1147" s="4">
        <v>2014</v>
      </c>
      <c r="C1147" s="11" t="s">
        <v>131</v>
      </c>
      <c r="D1147" s="11" t="s">
        <v>1117</v>
      </c>
      <c r="E1147" s="11" t="s">
        <v>1126</v>
      </c>
      <c r="F1147" s="12">
        <v>48</v>
      </c>
    </row>
    <row r="1148" spans="2:6" hidden="1" x14ac:dyDescent="0.2">
      <c r="B1148" s="4">
        <v>2014</v>
      </c>
      <c r="C1148" s="11" t="s">
        <v>131</v>
      </c>
      <c r="D1148" s="11" t="s">
        <v>1127</v>
      </c>
      <c r="E1148" s="11" t="s">
        <v>1127</v>
      </c>
      <c r="F1148" s="12">
        <v>0</v>
      </c>
    </row>
    <row r="1149" spans="2:6" hidden="1" x14ac:dyDescent="0.2">
      <c r="B1149" s="4">
        <v>2014</v>
      </c>
      <c r="C1149" s="11" t="s">
        <v>131</v>
      </c>
      <c r="D1149" s="11" t="s">
        <v>1127</v>
      </c>
      <c r="E1149" s="11" t="s">
        <v>1128</v>
      </c>
      <c r="F1149" s="12">
        <v>3</v>
      </c>
    </row>
    <row r="1150" spans="2:6" hidden="1" x14ac:dyDescent="0.2">
      <c r="B1150" s="4">
        <v>2014</v>
      </c>
      <c r="C1150" s="11" t="s">
        <v>131</v>
      </c>
      <c r="D1150" s="11" t="s">
        <v>1127</v>
      </c>
      <c r="E1150" s="11" t="s">
        <v>1129</v>
      </c>
      <c r="F1150" s="12">
        <v>1</v>
      </c>
    </row>
    <row r="1151" spans="2:6" hidden="1" x14ac:dyDescent="0.2">
      <c r="B1151" s="4">
        <v>2014</v>
      </c>
      <c r="C1151" s="11" t="s">
        <v>131</v>
      </c>
      <c r="D1151" s="11" t="s">
        <v>1127</v>
      </c>
      <c r="E1151" s="11" t="s">
        <v>1130</v>
      </c>
      <c r="F1151" s="12">
        <v>17</v>
      </c>
    </row>
    <row r="1152" spans="2:6" hidden="1" x14ac:dyDescent="0.2">
      <c r="B1152" s="4">
        <v>2014</v>
      </c>
      <c r="C1152" s="11" t="s">
        <v>131</v>
      </c>
      <c r="D1152" s="11" t="s">
        <v>1127</v>
      </c>
      <c r="E1152" s="11" t="s">
        <v>1131</v>
      </c>
      <c r="F1152" s="12">
        <v>3</v>
      </c>
    </row>
    <row r="1153" spans="2:6" hidden="1" x14ac:dyDescent="0.2">
      <c r="B1153" s="4">
        <v>2014</v>
      </c>
      <c r="C1153" s="11" t="s">
        <v>131</v>
      </c>
      <c r="D1153" s="11" t="s">
        <v>1127</v>
      </c>
      <c r="E1153" s="11" t="s">
        <v>1132</v>
      </c>
      <c r="F1153" s="12">
        <v>2</v>
      </c>
    </row>
    <row r="1154" spans="2:6" hidden="1" x14ac:dyDescent="0.2">
      <c r="B1154" s="4">
        <v>2014</v>
      </c>
      <c r="C1154" s="11" t="s">
        <v>131</v>
      </c>
      <c r="D1154" s="11" t="s">
        <v>1127</v>
      </c>
      <c r="E1154" s="11" t="s">
        <v>1133</v>
      </c>
      <c r="F1154" s="12">
        <v>1</v>
      </c>
    </row>
    <row r="1155" spans="2:6" hidden="1" x14ac:dyDescent="0.2">
      <c r="B1155" s="4">
        <v>2014</v>
      </c>
      <c r="C1155" s="11" t="s">
        <v>131</v>
      </c>
      <c r="D1155" s="11" t="s">
        <v>1127</v>
      </c>
      <c r="E1155" s="11" t="s">
        <v>1134</v>
      </c>
      <c r="F1155" s="12">
        <v>4</v>
      </c>
    </row>
    <row r="1156" spans="2:6" hidden="1" x14ac:dyDescent="0.2">
      <c r="B1156" s="4">
        <v>2014</v>
      </c>
      <c r="C1156" s="11" t="s">
        <v>131</v>
      </c>
      <c r="D1156" s="11" t="s">
        <v>679</v>
      </c>
      <c r="E1156" s="11" t="s">
        <v>679</v>
      </c>
      <c r="F1156" s="12">
        <v>3</v>
      </c>
    </row>
    <row r="1157" spans="2:6" hidden="1" x14ac:dyDescent="0.2">
      <c r="B1157" s="4">
        <v>2014</v>
      </c>
      <c r="C1157" s="11" t="s">
        <v>131</v>
      </c>
      <c r="D1157" s="11" t="s">
        <v>679</v>
      </c>
      <c r="E1157" s="11" t="s">
        <v>652</v>
      </c>
      <c r="F1157" s="12">
        <v>0</v>
      </c>
    </row>
    <row r="1158" spans="2:6" hidden="1" x14ac:dyDescent="0.2">
      <c r="B1158" s="4">
        <v>2014</v>
      </c>
      <c r="C1158" s="11" t="s">
        <v>131</v>
      </c>
      <c r="D1158" s="11" t="s">
        <v>679</v>
      </c>
      <c r="E1158" s="11" t="s">
        <v>1135</v>
      </c>
      <c r="F1158" s="12">
        <v>0</v>
      </c>
    </row>
    <row r="1159" spans="2:6" hidden="1" x14ac:dyDescent="0.2">
      <c r="B1159" s="4">
        <v>2014</v>
      </c>
      <c r="C1159" s="11" t="s">
        <v>131</v>
      </c>
      <c r="D1159" s="11" t="s">
        <v>679</v>
      </c>
      <c r="E1159" s="11" t="s">
        <v>1136</v>
      </c>
      <c r="F1159" s="12">
        <v>0</v>
      </c>
    </row>
    <row r="1160" spans="2:6" hidden="1" x14ac:dyDescent="0.2">
      <c r="B1160" s="4">
        <v>2014</v>
      </c>
      <c r="C1160" s="11" t="s">
        <v>131</v>
      </c>
      <c r="D1160" s="11" t="s">
        <v>679</v>
      </c>
      <c r="E1160" s="11" t="s">
        <v>1137</v>
      </c>
      <c r="F1160" s="12">
        <v>0</v>
      </c>
    </row>
    <row r="1161" spans="2:6" hidden="1" x14ac:dyDescent="0.2">
      <c r="B1161" s="4">
        <v>2014</v>
      </c>
      <c r="C1161" s="11" t="s">
        <v>131</v>
      </c>
      <c r="D1161" s="11" t="s">
        <v>679</v>
      </c>
      <c r="E1161" s="11" t="s">
        <v>1138</v>
      </c>
      <c r="F1161" s="12">
        <v>0</v>
      </c>
    </row>
    <row r="1162" spans="2:6" hidden="1" x14ac:dyDescent="0.2">
      <c r="B1162" s="4">
        <v>2014</v>
      </c>
      <c r="C1162" s="11" t="s">
        <v>131</v>
      </c>
      <c r="D1162" s="11" t="s">
        <v>1139</v>
      </c>
      <c r="E1162" s="11" t="s">
        <v>1139</v>
      </c>
      <c r="F1162" s="12">
        <v>20</v>
      </c>
    </row>
    <row r="1163" spans="2:6" hidden="1" x14ac:dyDescent="0.2">
      <c r="B1163" s="4">
        <v>2014</v>
      </c>
      <c r="C1163" s="11" t="s">
        <v>131</v>
      </c>
      <c r="D1163" s="11" t="s">
        <v>1139</v>
      </c>
      <c r="E1163" s="11" t="s">
        <v>1140</v>
      </c>
      <c r="F1163" s="12">
        <v>2</v>
      </c>
    </row>
    <row r="1164" spans="2:6" hidden="1" x14ac:dyDescent="0.2">
      <c r="B1164" s="4">
        <v>2014</v>
      </c>
      <c r="C1164" s="11" t="s">
        <v>131</v>
      </c>
      <c r="D1164" s="11" t="s">
        <v>1139</v>
      </c>
      <c r="E1164" s="11" t="s">
        <v>978</v>
      </c>
      <c r="F1164" s="12">
        <v>2</v>
      </c>
    </row>
    <row r="1165" spans="2:6" hidden="1" x14ac:dyDescent="0.2">
      <c r="B1165" s="4">
        <v>2014</v>
      </c>
      <c r="C1165" s="11" t="s">
        <v>131</v>
      </c>
      <c r="D1165" s="11" t="s">
        <v>1062</v>
      </c>
      <c r="E1165" s="11" t="s">
        <v>1062</v>
      </c>
      <c r="F1165" s="12">
        <v>0</v>
      </c>
    </row>
    <row r="1166" spans="2:6" hidden="1" x14ac:dyDescent="0.2">
      <c r="B1166" s="4">
        <v>2014</v>
      </c>
      <c r="C1166" s="11" t="s">
        <v>131</v>
      </c>
      <c r="D1166" s="11" t="s">
        <v>1062</v>
      </c>
      <c r="E1166" s="11" t="s">
        <v>1141</v>
      </c>
      <c r="F1166" s="12">
        <v>0</v>
      </c>
    </row>
    <row r="1167" spans="2:6" hidden="1" x14ac:dyDescent="0.2">
      <c r="B1167" s="4">
        <v>2014</v>
      </c>
      <c r="C1167" s="11" t="s">
        <v>131</v>
      </c>
      <c r="D1167" s="11" t="s">
        <v>1062</v>
      </c>
      <c r="E1167" s="11" t="s">
        <v>1142</v>
      </c>
      <c r="F1167" s="12">
        <v>0</v>
      </c>
    </row>
    <row r="1168" spans="2:6" hidden="1" x14ac:dyDescent="0.2">
      <c r="B1168" s="4">
        <v>2014</v>
      </c>
      <c r="C1168" s="11" t="s">
        <v>131</v>
      </c>
      <c r="D1168" s="11" t="s">
        <v>1062</v>
      </c>
      <c r="E1168" s="11" t="s">
        <v>1143</v>
      </c>
      <c r="F1168" s="12">
        <v>0</v>
      </c>
    </row>
    <row r="1169" spans="2:6" hidden="1" x14ac:dyDescent="0.2">
      <c r="B1169" s="4">
        <v>2014</v>
      </c>
      <c r="C1169" s="11" t="s">
        <v>131</v>
      </c>
      <c r="D1169" s="11" t="s">
        <v>1144</v>
      </c>
      <c r="E1169" s="11" t="s">
        <v>1144</v>
      </c>
      <c r="F1169" s="12">
        <v>22</v>
      </c>
    </row>
    <row r="1170" spans="2:6" hidden="1" x14ac:dyDescent="0.2">
      <c r="B1170" s="4">
        <v>2014</v>
      </c>
      <c r="C1170" s="11" t="s">
        <v>131</v>
      </c>
      <c r="D1170" s="11" t="s">
        <v>1144</v>
      </c>
      <c r="E1170" s="11" t="s">
        <v>1145</v>
      </c>
      <c r="F1170" s="12">
        <v>0</v>
      </c>
    </row>
    <row r="1171" spans="2:6" hidden="1" x14ac:dyDescent="0.2">
      <c r="B1171" s="4">
        <v>2014</v>
      </c>
      <c r="C1171" s="11" t="s">
        <v>131</v>
      </c>
      <c r="D1171" s="11" t="s">
        <v>1144</v>
      </c>
      <c r="E1171" s="11" t="s">
        <v>1146</v>
      </c>
      <c r="F1171" s="12">
        <v>0</v>
      </c>
    </row>
    <row r="1172" spans="2:6" hidden="1" x14ac:dyDescent="0.2">
      <c r="B1172" s="4">
        <v>2014</v>
      </c>
      <c r="C1172" s="11" t="s">
        <v>131</v>
      </c>
      <c r="D1172" s="11" t="s">
        <v>1144</v>
      </c>
      <c r="E1172" s="11" t="s">
        <v>1147</v>
      </c>
      <c r="F1172" s="12">
        <v>0</v>
      </c>
    </row>
    <row r="1173" spans="2:6" hidden="1" x14ac:dyDescent="0.2">
      <c r="B1173" s="4">
        <v>2014</v>
      </c>
      <c r="C1173" s="11" t="s">
        <v>131</v>
      </c>
      <c r="D1173" s="11" t="s">
        <v>1144</v>
      </c>
      <c r="E1173" s="11" t="s">
        <v>1148</v>
      </c>
      <c r="F1173" s="12">
        <v>0</v>
      </c>
    </row>
    <row r="1174" spans="2:6" hidden="1" x14ac:dyDescent="0.2">
      <c r="B1174" s="4">
        <v>2014</v>
      </c>
      <c r="C1174" s="11" t="s">
        <v>131</v>
      </c>
      <c r="D1174" s="11" t="s">
        <v>1144</v>
      </c>
      <c r="E1174" s="11" t="s">
        <v>1149</v>
      </c>
      <c r="F1174" s="12">
        <v>0</v>
      </c>
    </row>
    <row r="1175" spans="2:6" hidden="1" x14ac:dyDescent="0.2">
      <c r="B1175" s="4">
        <v>2014</v>
      </c>
      <c r="C1175" s="11" t="s">
        <v>131</v>
      </c>
      <c r="D1175" s="11" t="s">
        <v>1144</v>
      </c>
      <c r="E1175" s="11" t="s">
        <v>1150</v>
      </c>
      <c r="F1175" s="12">
        <v>0</v>
      </c>
    </row>
    <row r="1176" spans="2:6" hidden="1" x14ac:dyDescent="0.2">
      <c r="B1176" s="4">
        <v>2014</v>
      </c>
      <c r="C1176" s="11" t="s">
        <v>131</v>
      </c>
      <c r="D1176" s="11" t="s">
        <v>1144</v>
      </c>
      <c r="E1176" s="11" t="s">
        <v>1151</v>
      </c>
      <c r="F1176" s="12">
        <v>0</v>
      </c>
    </row>
    <row r="1177" spans="2:6" hidden="1" x14ac:dyDescent="0.2">
      <c r="B1177" s="4">
        <v>2014</v>
      </c>
      <c r="C1177" s="11" t="s">
        <v>131</v>
      </c>
      <c r="D1177" s="11" t="s">
        <v>1144</v>
      </c>
      <c r="E1177" s="11" t="s">
        <v>1152</v>
      </c>
      <c r="F1177" s="12">
        <v>0</v>
      </c>
    </row>
    <row r="1178" spans="2:6" hidden="1" x14ac:dyDescent="0.2">
      <c r="B1178" s="4">
        <v>2014</v>
      </c>
      <c r="C1178" s="11" t="s">
        <v>131</v>
      </c>
      <c r="D1178" s="11" t="s">
        <v>1144</v>
      </c>
      <c r="E1178" s="11" t="s">
        <v>1153</v>
      </c>
      <c r="F1178" s="12">
        <v>0</v>
      </c>
    </row>
    <row r="1179" spans="2:6" hidden="1" x14ac:dyDescent="0.2">
      <c r="B1179" s="4">
        <v>2014</v>
      </c>
      <c r="C1179" s="11" t="s">
        <v>131</v>
      </c>
      <c r="D1179" s="11" t="s">
        <v>1154</v>
      </c>
      <c r="E1179" s="11" t="s">
        <v>1155</v>
      </c>
      <c r="F1179" s="12">
        <v>3</v>
      </c>
    </row>
    <row r="1180" spans="2:6" hidden="1" x14ac:dyDescent="0.2">
      <c r="B1180" s="4">
        <v>2014</v>
      </c>
      <c r="C1180" s="11" t="s">
        <v>131</v>
      </c>
      <c r="D1180" s="11" t="s">
        <v>1154</v>
      </c>
      <c r="E1180" s="11" t="s">
        <v>1156</v>
      </c>
      <c r="F1180" s="12">
        <v>9</v>
      </c>
    </row>
    <row r="1181" spans="2:6" hidden="1" x14ac:dyDescent="0.2">
      <c r="B1181" s="4">
        <v>2014</v>
      </c>
      <c r="C1181" s="11" t="s">
        <v>131</v>
      </c>
      <c r="D1181" s="11" t="s">
        <v>1154</v>
      </c>
      <c r="E1181" s="11" t="s">
        <v>1157</v>
      </c>
      <c r="F1181" s="12">
        <v>2</v>
      </c>
    </row>
    <row r="1182" spans="2:6" hidden="1" x14ac:dyDescent="0.2">
      <c r="B1182" s="4">
        <v>2014</v>
      </c>
      <c r="C1182" s="11" t="s">
        <v>131</v>
      </c>
      <c r="D1182" s="11" t="s">
        <v>1154</v>
      </c>
      <c r="E1182" s="11" t="s">
        <v>1154</v>
      </c>
      <c r="F1182" s="12">
        <v>15</v>
      </c>
    </row>
    <row r="1183" spans="2:6" hidden="1" x14ac:dyDescent="0.2">
      <c r="B1183" s="4">
        <v>2014</v>
      </c>
      <c r="C1183" s="11" t="s">
        <v>131</v>
      </c>
      <c r="D1183" s="11" t="s">
        <v>1154</v>
      </c>
      <c r="E1183" s="11" t="s">
        <v>1158</v>
      </c>
      <c r="F1183" s="12">
        <v>1</v>
      </c>
    </row>
    <row r="1184" spans="2:6" hidden="1" x14ac:dyDescent="0.2">
      <c r="B1184" s="4">
        <v>2014</v>
      </c>
      <c r="C1184" s="11" t="s">
        <v>131</v>
      </c>
      <c r="D1184" s="11" t="s">
        <v>1159</v>
      </c>
      <c r="E1184" s="11" t="s">
        <v>1160</v>
      </c>
      <c r="F1184" s="12">
        <v>6</v>
      </c>
    </row>
    <row r="1185" spans="2:6" hidden="1" x14ac:dyDescent="0.2">
      <c r="B1185" s="4">
        <v>2014</v>
      </c>
      <c r="C1185" s="11" t="s">
        <v>131</v>
      </c>
      <c r="D1185" s="11" t="s">
        <v>1159</v>
      </c>
      <c r="E1185" s="11" t="s">
        <v>1161</v>
      </c>
      <c r="F1185" s="12">
        <v>0</v>
      </c>
    </row>
    <row r="1186" spans="2:6" hidden="1" x14ac:dyDescent="0.2">
      <c r="B1186" s="4">
        <v>2014</v>
      </c>
      <c r="C1186" s="11" t="s">
        <v>131</v>
      </c>
      <c r="D1186" s="11" t="s">
        <v>1159</v>
      </c>
      <c r="E1186" s="11" t="s">
        <v>1162</v>
      </c>
      <c r="F1186" s="12">
        <v>1</v>
      </c>
    </row>
    <row r="1187" spans="2:6" hidden="1" x14ac:dyDescent="0.2">
      <c r="B1187" s="4">
        <v>2014</v>
      </c>
      <c r="C1187" s="11" t="s">
        <v>131</v>
      </c>
      <c r="D1187" s="11" t="s">
        <v>1159</v>
      </c>
      <c r="E1187" s="11" t="s">
        <v>1163</v>
      </c>
      <c r="F1187" s="12">
        <v>0</v>
      </c>
    </row>
    <row r="1188" spans="2:6" hidden="1" x14ac:dyDescent="0.2">
      <c r="B1188" s="4">
        <v>2014</v>
      </c>
      <c r="C1188" s="11" t="s">
        <v>131</v>
      </c>
      <c r="D1188" s="11" t="s">
        <v>1159</v>
      </c>
      <c r="E1188" s="11" t="s">
        <v>1164</v>
      </c>
      <c r="F1188" s="12">
        <v>0</v>
      </c>
    </row>
    <row r="1189" spans="2:6" hidden="1" x14ac:dyDescent="0.2">
      <c r="B1189" s="4">
        <v>2014</v>
      </c>
      <c r="C1189" s="11" t="s">
        <v>131</v>
      </c>
      <c r="D1189" s="11" t="s">
        <v>1159</v>
      </c>
      <c r="E1189" s="11" t="s">
        <v>1165</v>
      </c>
      <c r="F1189" s="12">
        <v>0</v>
      </c>
    </row>
    <row r="1190" spans="2:6" hidden="1" x14ac:dyDescent="0.2">
      <c r="B1190" s="4">
        <v>2014</v>
      </c>
      <c r="C1190" s="11" t="s">
        <v>131</v>
      </c>
      <c r="D1190" s="11" t="s">
        <v>1159</v>
      </c>
      <c r="E1190" s="11" t="s">
        <v>1166</v>
      </c>
      <c r="F1190" s="12">
        <v>0</v>
      </c>
    </row>
    <row r="1191" spans="2:6" hidden="1" x14ac:dyDescent="0.2">
      <c r="B1191" s="4">
        <v>2014</v>
      </c>
      <c r="C1191" s="11" t="s">
        <v>131</v>
      </c>
      <c r="D1191" s="11" t="s">
        <v>1159</v>
      </c>
      <c r="E1191" s="11" t="s">
        <v>1167</v>
      </c>
      <c r="F1191" s="12">
        <v>0</v>
      </c>
    </row>
    <row r="1192" spans="2:6" hidden="1" x14ac:dyDescent="0.2">
      <c r="B1192" s="4">
        <v>2014</v>
      </c>
      <c r="C1192" s="11" t="s">
        <v>131</v>
      </c>
      <c r="D1192" s="11" t="s">
        <v>1159</v>
      </c>
      <c r="E1192" s="11" t="s">
        <v>1159</v>
      </c>
      <c r="F1192" s="12">
        <v>4</v>
      </c>
    </row>
    <row r="1193" spans="2:6" hidden="1" x14ac:dyDescent="0.2">
      <c r="B1193" s="4">
        <v>2014</v>
      </c>
      <c r="C1193" s="11" t="s">
        <v>131</v>
      </c>
      <c r="D1193" s="11" t="s">
        <v>1159</v>
      </c>
      <c r="E1193" s="11" t="s">
        <v>1168</v>
      </c>
      <c r="F1193" s="12">
        <v>1</v>
      </c>
    </row>
    <row r="1194" spans="2:6" hidden="1" x14ac:dyDescent="0.2">
      <c r="B1194" s="4">
        <v>2014</v>
      </c>
      <c r="C1194" s="11" t="s">
        <v>131</v>
      </c>
      <c r="D1194" s="11" t="s">
        <v>1159</v>
      </c>
      <c r="E1194" s="11" t="s">
        <v>1169</v>
      </c>
      <c r="F1194" s="12">
        <v>0</v>
      </c>
    </row>
    <row r="1195" spans="2:6" hidden="1" x14ac:dyDescent="0.2">
      <c r="B1195" s="4">
        <v>2014</v>
      </c>
      <c r="C1195" s="11" t="s">
        <v>131</v>
      </c>
      <c r="D1195" s="11" t="s">
        <v>1159</v>
      </c>
      <c r="E1195" s="11" t="s">
        <v>1170</v>
      </c>
      <c r="F1195" s="12">
        <v>0</v>
      </c>
    </row>
    <row r="1196" spans="2:6" hidden="1" x14ac:dyDescent="0.2">
      <c r="B1196" s="4">
        <v>2014</v>
      </c>
      <c r="C1196" s="11" t="s">
        <v>131</v>
      </c>
      <c r="D1196" s="11" t="s">
        <v>1159</v>
      </c>
      <c r="E1196" s="11" t="s">
        <v>1171</v>
      </c>
      <c r="F1196" s="12">
        <v>0</v>
      </c>
    </row>
    <row r="1197" spans="2:6" hidden="1" x14ac:dyDescent="0.2">
      <c r="B1197" s="4">
        <v>2014</v>
      </c>
      <c r="C1197" s="11" t="s">
        <v>131</v>
      </c>
      <c r="D1197" s="11" t="s">
        <v>1172</v>
      </c>
      <c r="E1197" s="11" t="s">
        <v>1173</v>
      </c>
      <c r="F1197" s="12">
        <v>33</v>
      </c>
    </row>
    <row r="1198" spans="2:6" hidden="1" x14ac:dyDescent="0.2">
      <c r="B1198" s="4">
        <v>2014</v>
      </c>
      <c r="C1198" s="11" t="s">
        <v>131</v>
      </c>
      <c r="D1198" s="11" t="s">
        <v>1172</v>
      </c>
      <c r="E1198" s="11" t="s">
        <v>1174</v>
      </c>
      <c r="F1198" s="12">
        <v>1</v>
      </c>
    </row>
    <row r="1199" spans="2:6" hidden="1" x14ac:dyDescent="0.2">
      <c r="B1199" s="4">
        <v>2014</v>
      </c>
      <c r="C1199" s="11" t="s">
        <v>131</v>
      </c>
      <c r="D1199" s="11" t="s">
        <v>1172</v>
      </c>
      <c r="E1199" s="11" t="s">
        <v>1175</v>
      </c>
      <c r="F1199" s="12">
        <v>2</v>
      </c>
    </row>
    <row r="1200" spans="2:6" hidden="1" x14ac:dyDescent="0.2">
      <c r="B1200" s="4">
        <v>2014</v>
      </c>
      <c r="C1200" s="11" t="s">
        <v>131</v>
      </c>
      <c r="D1200" s="11" t="s">
        <v>1172</v>
      </c>
      <c r="E1200" s="11" t="s">
        <v>1176</v>
      </c>
      <c r="F1200" s="12">
        <v>2</v>
      </c>
    </row>
    <row r="1201" spans="2:6" hidden="1" x14ac:dyDescent="0.2">
      <c r="B1201" s="4">
        <v>2014</v>
      </c>
      <c r="C1201" s="11" t="s">
        <v>131</v>
      </c>
      <c r="D1201" s="11" t="s">
        <v>1172</v>
      </c>
      <c r="E1201" s="11" t="s">
        <v>1177</v>
      </c>
      <c r="F1201" s="12">
        <v>0</v>
      </c>
    </row>
    <row r="1202" spans="2:6" hidden="1" x14ac:dyDescent="0.2">
      <c r="B1202" s="4">
        <v>2014</v>
      </c>
      <c r="C1202" s="11" t="s">
        <v>131</v>
      </c>
      <c r="D1202" s="11" t="s">
        <v>1172</v>
      </c>
      <c r="E1202" s="11" t="s">
        <v>1178</v>
      </c>
      <c r="F1202" s="12">
        <v>0</v>
      </c>
    </row>
    <row r="1203" spans="2:6" hidden="1" x14ac:dyDescent="0.2">
      <c r="B1203" s="4">
        <v>2014</v>
      </c>
      <c r="C1203" s="11" t="s">
        <v>131</v>
      </c>
      <c r="D1203" s="11" t="s">
        <v>1172</v>
      </c>
      <c r="E1203" s="11" t="s">
        <v>1179</v>
      </c>
      <c r="F1203" s="12">
        <v>0</v>
      </c>
    </row>
    <row r="1204" spans="2:6" hidden="1" x14ac:dyDescent="0.2">
      <c r="B1204" s="4">
        <v>2014</v>
      </c>
      <c r="C1204" s="11" t="s">
        <v>131</v>
      </c>
      <c r="D1204" s="11" t="s">
        <v>1172</v>
      </c>
      <c r="E1204" s="11" t="s">
        <v>1180</v>
      </c>
      <c r="F1204" s="12">
        <v>0</v>
      </c>
    </row>
    <row r="1205" spans="2:6" hidden="1" x14ac:dyDescent="0.2">
      <c r="B1205" s="4">
        <v>2014</v>
      </c>
      <c r="C1205" s="11" t="s">
        <v>131</v>
      </c>
      <c r="D1205" s="11" t="s">
        <v>1181</v>
      </c>
      <c r="E1205" s="11" t="s">
        <v>1181</v>
      </c>
      <c r="F1205" s="12">
        <v>0</v>
      </c>
    </row>
    <row r="1206" spans="2:6" hidden="1" x14ac:dyDescent="0.2">
      <c r="B1206" s="4">
        <v>2014</v>
      </c>
      <c r="C1206" s="11" t="s">
        <v>131</v>
      </c>
      <c r="D1206" s="11" t="s">
        <v>1181</v>
      </c>
      <c r="E1206" s="11" t="s">
        <v>1182</v>
      </c>
      <c r="F1206" s="12">
        <v>0</v>
      </c>
    </row>
    <row r="1207" spans="2:6" hidden="1" x14ac:dyDescent="0.2">
      <c r="B1207" s="4">
        <v>2014</v>
      </c>
      <c r="C1207" s="11" t="s">
        <v>131</v>
      </c>
      <c r="D1207" s="11" t="s">
        <v>1181</v>
      </c>
      <c r="E1207" s="11" t="s">
        <v>1183</v>
      </c>
      <c r="F1207" s="12">
        <v>0</v>
      </c>
    </row>
    <row r="1208" spans="2:6" hidden="1" x14ac:dyDescent="0.2">
      <c r="B1208" s="4">
        <v>2014</v>
      </c>
      <c r="C1208" s="11" t="s">
        <v>131</v>
      </c>
      <c r="D1208" s="11" t="s">
        <v>1181</v>
      </c>
      <c r="E1208" s="11" t="s">
        <v>1184</v>
      </c>
      <c r="F1208" s="12">
        <v>0</v>
      </c>
    </row>
    <row r="1209" spans="2:6" hidden="1" x14ac:dyDescent="0.2">
      <c r="B1209" s="4">
        <v>2014</v>
      </c>
      <c r="C1209" s="11" t="s">
        <v>131</v>
      </c>
      <c r="D1209" s="11" t="s">
        <v>1181</v>
      </c>
      <c r="E1209" s="11" t="s">
        <v>728</v>
      </c>
      <c r="F1209" s="12">
        <v>0</v>
      </c>
    </row>
    <row r="1210" spans="2:6" hidden="1" x14ac:dyDescent="0.2">
      <c r="B1210" s="4">
        <v>2014</v>
      </c>
      <c r="C1210" s="11" t="s">
        <v>131</v>
      </c>
      <c r="D1210" s="11" t="s">
        <v>1181</v>
      </c>
      <c r="E1210" s="11" t="s">
        <v>1185</v>
      </c>
      <c r="F1210" s="12">
        <v>2</v>
      </c>
    </row>
    <row r="1211" spans="2:6" hidden="1" x14ac:dyDescent="0.2">
      <c r="B1211" s="4">
        <v>2014</v>
      </c>
      <c r="C1211" s="11" t="s">
        <v>131</v>
      </c>
      <c r="D1211" s="11" t="s">
        <v>1181</v>
      </c>
      <c r="E1211" s="11" t="s">
        <v>1186</v>
      </c>
      <c r="F1211" s="12">
        <v>0</v>
      </c>
    </row>
    <row r="1212" spans="2:6" hidden="1" x14ac:dyDescent="0.2">
      <c r="B1212" s="4">
        <v>2014</v>
      </c>
      <c r="C1212" s="11" t="s">
        <v>131</v>
      </c>
      <c r="D1212" s="11" t="s">
        <v>1181</v>
      </c>
      <c r="E1212" s="11" t="s">
        <v>1187</v>
      </c>
      <c r="F1212" s="12">
        <v>0</v>
      </c>
    </row>
    <row r="1213" spans="2:6" hidden="1" x14ac:dyDescent="0.2">
      <c r="B1213" s="4">
        <v>2014</v>
      </c>
      <c r="C1213" s="11" t="s">
        <v>131</v>
      </c>
      <c r="D1213" s="11" t="s">
        <v>1188</v>
      </c>
      <c r="E1213" s="11" t="s">
        <v>1189</v>
      </c>
      <c r="F1213" s="12">
        <v>4</v>
      </c>
    </row>
    <row r="1214" spans="2:6" hidden="1" x14ac:dyDescent="0.2">
      <c r="B1214" s="4">
        <v>2014</v>
      </c>
      <c r="C1214" s="11" t="s">
        <v>131</v>
      </c>
      <c r="D1214" s="11" t="s">
        <v>1188</v>
      </c>
      <c r="E1214" s="11" t="s">
        <v>227</v>
      </c>
      <c r="F1214" s="12">
        <v>4</v>
      </c>
    </row>
    <row r="1215" spans="2:6" hidden="1" x14ac:dyDescent="0.2">
      <c r="B1215" s="4">
        <v>2014</v>
      </c>
      <c r="C1215" s="11" t="s">
        <v>131</v>
      </c>
      <c r="D1215" s="11" t="s">
        <v>1188</v>
      </c>
      <c r="E1215" s="11" t="s">
        <v>1190</v>
      </c>
      <c r="F1215" s="12">
        <v>0</v>
      </c>
    </row>
    <row r="1216" spans="2:6" hidden="1" x14ac:dyDescent="0.2">
      <c r="B1216" s="4">
        <v>2014</v>
      </c>
      <c r="C1216" s="11" t="s">
        <v>131</v>
      </c>
      <c r="D1216" s="11" t="s">
        <v>1188</v>
      </c>
      <c r="E1216" s="11" t="s">
        <v>1191</v>
      </c>
      <c r="F1216" s="12">
        <v>0</v>
      </c>
    </row>
    <row r="1217" spans="2:6" hidden="1" x14ac:dyDescent="0.2">
      <c r="B1217" s="4">
        <v>2014</v>
      </c>
      <c r="C1217" s="11" t="s">
        <v>131</v>
      </c>
      <c r="D1217" s="11" t="s">
        <v>1192</v>
      </c>
      <c r="E1217" s="11" t="s">
        <v>1192</v>
      </c>
      <c r="F1217" s="12">
        <v>10</v>
      </c>
    </row>
    <row r="1218" spans="2:6" hidden="1" x14ac:dyDescent="0.2">
      <c r="B1218" s="4">
        <v>2014</v>
      </c>
      <c r="C1218" s="11" t="s">
        <v>131</v>
      </c>
      <c r="D1218" s="11" t="s">
        <v>1192</v>
      </c>
      <c r="E1218" s="11" t="s">
        <v>1193</v>
      </c>
      <c r="F1218" s="12">
        <v>0</v>
      </c>
    </row>
    <row r="1219" spans="2:6" hidden="1" x14ac:dyDescent="0.2">
      <c r="B1219" s="4">
        <v>2014</v>
      </c>
      <c r="C1219" s="11" t="s">
        <v>131</v>
      </c>
      <c r="D1219" s="11" t="s">
        <v>1192</v>
      </c>
      <c r="E1219" s="11" t="s">
        <v>1194</v>
      </c>
      <c r="F1219" s="12">
        <v>0</v>
      </c>
    </row>
    <row r="1220" spans="2:6" hidden="1" x14ac:dyDescent="0.2">
      <c r="B1220" s="4">
        <v>2014</v>
      </c>
      <c r="C1220" s="11" t="s">
        <v>1195</v>
      </c>
      <c r="D1220" s="11" t="s">
        <v>1196</v>
      </c>
      <c r="E1220" s="11" t="s">
        <v>1196</v>
      </c>
      <c r="F1220" s="12">
        <v>286</v>
      </c>
    </row>
    <row r="1221" spans="2:6" hidden="1" x14ac:dyDescent="0.2">
      <c r="B1221" s="4">
        <v>2014</v>
      </c>
      <c r="C1221" s="11" t="s">
        <v>1195</v>
      </c>
      <c r="D1221" s="11" t="s">
        <v>1196</v>
      </c>
      <c r="E1221" s="11" t="s">
        <v>1197</v>
      </c>
      <c r="F1221" s="12">
        <v>4</v>
      </c>
    </row>
    <row r="1222" spans="2:6" hidden="1" x14ac:dyDescent="0.2">
      <c r="B1222" s="4">
        <v>2014</v>
      </c>
      <c r="C1222" s="11" t="s">
        <v>1195</v>
      </c>
      <c r="D1222" s="11" t="s">
        <v>1196</v>
      </c>
      <c r="E1222" s="11" t="s">
        <v>1198</v>
      </c>
      <c r="F1222" s="12">
        <v>3</v>
      </c>
    </row>
    <row r="1223" spans="2:6" hidden="1" x14ac:dyDescent="0.2">
      <c r="B1223" s="4">
        <v>2014</v>
      </c>
      <c r="C1223" s="11" t="s">
        <v>1195</v>
      </c>
      <c r="D1223" s="11" t="s">
        <v>1196</v>
      </c>
      <c r="E1223" s="11" t="s">
        <v>1199</v>
      </c>
      <c r="F1223" s="12">
        <v>0</v>
      </c>
    </row>
    <row r="1224" spans="2:6" hidden="1" x14ac:dyDescent="0.2">
      <c r="B1224" s="4">
        <v>2014</v>
      </c>
      <c r="C1224" s="11" t="s">
        <v>1195</v>
      </c>
      <c r="D1224" s="11" t="s">
        <v>1196</v>
      </c>
      <c r="E1224" s="11" t="s">
        <v>1200</v>
      </c>
      <c r="F1224" s="12">
        <v>61</v>
      </c>
    </row>
    <row r="1225" spans="2:6" hidden="1" x14ac:dyDescent="0.2">
      <c r="B1225" s="4">
        <v>2014</v>
      </c>
      <c r="C1225" s="11" t="s">
        <v>1195</v>
      </c>
      <c r="D1225" s="11" t="s">
        <v>1196</v>
      </c>
      <c r="E1225" s="11" t="s">
        <v>1201</v>
      </c>
      <c r="F1225" s="12">
        <v>35</v>
      </c>
    </row>
    <row r="1226" spans="2:6" hidden="1" x14ac:dyDescent="0.2">
      <c r="B1226" s="4">
        <v>2014</v>
      </c>
      <c r="C1226" s="11" t="s">
        <v>1195</v>
      </c>
      <c r="D1226" s="11" t="s">
        <v>1196</v>
      </c>
      <c r="E1226" s="11" t="s">
        <v>1202</v>
      </c>
      <c r="F1226" s="12">
        <v>4</v>
      </c>
    </row>
    <row r="1227" spans="2:6" hidden="1" x14ac:dyDescent="0.2">
      <c r="B1227" s="4">
        <v>2014</v>
      </c>
      <c r="C1227" s="11" t="s">
        <v>1195</v>
      </c>
      <c r="D1227" s="11" t="s">
        <v>1196</v>
      </c>
      <c r="E1227" s="11" t="s">
        <v>1203</v>
      </c>
      <c r="F1227" s="12">
        <v>6</v>
      </c>
    </row>
    <row r="1228" spans="2:6" hidden="1" x14ac:dyDescent="0.2">
      <c r="B1228" s="4">
        <v>2014</v>
      </c>
      <c r="C1228" s="11" t="s">
        <v>1195</v>
      </c>
      <c r="D1228" s="11" t="s">
        <v>1196</v>
      </c>
      <c r="E1228" s="11" t="s">
        <v>1204</v>
      </c>
      <c r="F1228" s="12">
        <v>0</v>
      </c>
    </row>
    <row r="1229" spans="2:6" hidden="1" x14ac:dyDescent="0.2">
      <c r="B1229" s="4">
        <v>2014</v>
      </c>
      <c r="C1229" s="11" t="s">
        <v>1195</v>
      </c>
      <c r="D1229" s="11" t="s">
        <v>1196</v>
      </c>
      <c r="E1229" s="11" t="s">
        <v>1205</v>
      </c>
      <c r="F1229" s="12">
        <v>2</v>
      </c>
    </row>
    <row r="1230" spans="2:6" hidden="1" x14ac:dyDescent="0.2">
      <c r="B1230" s="4">
        <v>2014</v>
      </c>
      <c r="C1230" s="11" t="s">
        <v>1195</v>
      </c>
      <c r="D1230" s="11" t="s">
        <v>1196</v>
      </c>
      <c r="E1230" s="11" t="s">
        <v>1206</v>
      </c>
      <c r="F1230" s="12">
        <v>0</v>
      </c>
    </row>
    <row r="1231" spans="2:6" hidden="1" x14ac:dyDescent="0.2">
      <c r="B1231" s="4">
        <v>2014</v>
      </c>
      <c r="C1231" s="11" t="s">
        <v>1195</v>
      </c>
      <c r="D1231" s="11" t="s">
        <v>1196</v>
      </c>
      <c r="E1231" s="11" t="s">
        <v>1207</v>
      </c>
      <c r="F1231" s="12">
        <v>6</v>
      </c>
    </row>
    <row r="1232" spans="2:6" hidden="1" x14ac:dyDescent="0.2">
      <c r="B1232" s="4">
        <v>2014</v>
      </c>
      <c r="C1232" s="11" t="s">
        <v>1195</v>
      </c>
      <c r="D1232" s="11" t="s">
        <v>1196</v>
      </c>
      <c r="E1232" s="11" t="s">
        <v>1208</v>
      </c>
      <c r="F1232" s="12">
        <v>14</v>
      </c>
    </row>
    <row r="1233" spans="2:6" hidden="1" x14ac:dyDescent="0.2">
      <c r="B1233" s="4">
        <v>2014</v>
      </c>
      <c r="C1233" s="11" t="s">
        <v>1195</v>
      </c>
      <c r="D1233" s="11" t="s">
        <v>1196</v>
      </c>
      <c r="E1233" s="11" t="s">
        <v>113</v>
      </c>
      <c r="F1233" s="12">
        <v>23</v>
      </c>
    </row>
    <row r="1234" spans="2:6" hidden="1" x14ac:dyDescent="0.2">
      <c r="B1234" s="4">
        <v>2014</v>
      </c>
      <c r="C1234" s="11" t="s">
        <v>1195</v>
      </c>
      <c r="D1234" s="11" t="s">
        <v>1196</v>
      </c>
      <c r="E1234" s="11" t="s">
        <v>1209</v>
      </c>
      <c r="F1234" s="12">
        <v>4</v>
      </c>
    </row>
    <row r="1235" spans="2:6" hidden="1" x14ac:dyDescent="0.2">
      <c r="B1235" s="4">
        <v>2014</v>
      </c>
      <c r="C1235" s="11" t="s">
        <v>1195</v>
      </c>
      <c r="D1235" s="11" t="s">
        <v>1196</v>
      </c>
      <c r="E1235" s="11" t="s">
        <v>1210</v>
      </c>
      <c r="F1235" s="12">
        <v>22</v>
      </c>
    </row>
    <row r="1236" spans="2:6" hidden="1" x14ac:dyDescent="0.2">
      <c r="B1236" s="4">
        <v>2014</v>
      </c>
      <c r="C1236" s="11" t="s">
        <v>1195</v>
      </c>
      <c r="D1236" s="11" t="s">
        <v>1196</v>
      </c>
      <c r="E1236" s="11" t="s">
        <v>1211</v>
      </c>
      <c r="F1236" s="12">
        <v>1</v>
      </c>
    </row>
    <row r="1237" spans="2:6" hidden="1" x14ac:dyDescent="0.2">
      <c r="B1237" s="4">
        <v>2014</v>
      </c>
      <c r="C1237" s="11" t="s">
        <v>1195</v>
      </c>
      <c r="D1237" s="11" t="s">
        <v>1196</v>
      </c>
      <c r="E1237" s="11" t="s">
        <v>1212</v>
      </c>
      <c r="F1237" s="12">
        <v>8</v>
      </c>
    </row>
    <row r="1238" spans="2:6" hidden="1" x14ac:dyDescent="0.2">
      <c r="B1238" s="4">
        <v>2014</v>
      </c>
      <c r="C1238" s="11" t="s">
        <v>1195</v>
      </c>
      <c r="D1238" s="11" t="s">
        <v>1196</v>
      </c>
      <c r="E1238" s="11" t="s">
        <v>1213</v>
      </c>
      <c r="F1238" s="12">
        <v>0</v>
      </c>
    </row>
    <row r="1239" spans="2:6" hidden="1" x14ac:dyDescent="0.2">
      <c r="B1239" s="4">
        <v>2014</v>
      </c>
      <c r="C1239" s="11" t="s">
        <v>1195</v>
      </c>
      <c r="D1239" s="11" t="s">
        <v>1196</v>
      </c>
      <c r="E1239" s="11" t="s">
        <v>1214</v>
      </c>
      <c r="F1239" s="12">
        <v>4</v>
      </c>
    </row>
    <row r="1240" spans="2:6" hidden="1" x14ac:dyDescent="0.2">
      <c r="B1240" s="4">
        <v>2014</v>
      </c>
      <c r="C1240" s="11" t="s">
        <v>1195</v>
      </c>
      <c r="D1240" s="11" t="s">
        <v>1215</v>
      </c>
      <c r="E1240" s="11" t="s">
        <v>1215</v>
      </c>
      <c r="F1240" s="12">
        <v>14</v>
      </c>
    </row>
    <row r="1241" spans="2:6" hidden="1" x14ac:dyDescent="0.2">
      <c r="B1241" s="4">
        <v>2014</v>
      </c>
      <c r="C1241" s="11" t="s">
        <v>1195</v>
      </c>
      <c r="D1241" s="11" t="s">
        <v>1215</v>
      </c>
      <c r="E1241" s="11" t="s">
        <v>1216</v>
      </c>
      <c r="F1241" s="12">
        <v>0</v>
      </c>
    </row>
    <row r="1242" spans="2:6" hidden="1" x14ac:dyDescent="0.2">
      <c r="B1242" s="4">
        <v>2014</v>
      </c>
      <c r="C1242" s="11" t="s">
        <v>1195</v>
      </c>
      <c r="D1242" s="11" t="s">
        <v>1215</v>
      </c>
      <c r="E1242" s="11" t="s">
        <v>1217</v>
      </c>
      <c r="F1242" s="12">
        <v>0</v>
      </c>
    </row>
    <row r="1243" spans="2:6" hidden="1" x14ac:dyDescent="0.2">
      <c r="B1243" s="4">
        <v>2014</v>
      </c>
      <c r="C1243" s="11" t="s">
        <v>1195</v>
      </c>
      <c r="D1243" s="11" t="s">
        <v>1215</v>
      </c>
      <c r="E1243" s="11" t="s">
        <v>1218</v>
      </c>
      <c r="F1243" s="12">
        <v>1</v>
      </c>
    </row>
    <row r="1244" spans="2:6" hidden="1" x14ac:dyDescent="0.2">
      <c r="B1244" s="4">
        <v>2014</v>
      </c>
      <c r="C1244" s="11" t="s">
        <v>1195</v>
      </c>
      <c r="D1244" s="11" t="s">
        <v>1215</v>
      </c>
      <c r="E1244" s="11" t="s">
        <v>1219</v>
      </c>
      <c r="F1244" s="12">
        <v>2</v>
      </c>
    </row>
    <row r="1245" spans="2:6" hidden="1" x14ac:dyDescent="0.2">
      <c r="B1245" s="4">
        <v>2014</v>
      </c>
      <c r="C1245" s="11" t="s">
        <v>1195</v>
      </c>
      <c r="D1245" s="11" t="s">
        <v>1215</v>
      </c>
      <c r="E1245" s="11" t="s">
        <v>978</v>
      </c>
      <c r="F1245" s="12">
        <v>0</v>
      </c>
    </row>
    <row r="1246" spans="2:6" hidden="1" x14ac:dyDescent="0.2">
      <c r="B1246" s="4">
        <v>2014</v>
      </c>
      <c r="C1246" s="11" t="s">
        <v>1195</v>
      </c>
      <c r="D1246" s="11" t="s">
        <v>1195</v>
      </c>
      <c r="E1246" s="11" t="s">
        <v>1195</v>
      </c>
      <c r="F1246" s="12">
        <v>28</v>
      </c>
    </row>
    <row r="1247" spans="2:6" hidden="1" x14ac:dyDescent="0.2">
      <c r="B1247" s="4">
        <v>2014</v>
      </c>
      <c r="C1247" s="11" t="s">
        <v>1195</v>
      </c>
      <c r="D1247" s="11" t="s">
        <v>1195</v>
      </c>
      <c r="E1247" s="11" t="s">
        <v>1220</v>
      </c>
      <c r="F1247" s="12">
        <v>0</v>
      </c>
    </row>
    <row r="1248" spans="2:6" hidden="1" x14ac:dyDescent="0.2">
      <c r="B1248" s="4">
        <v>2014</v>
      </c>
      <c r="C1248" s="11" t="s">
        <v>1195</v>
      </c>
      <c r="D1248" s="11" t="s">
        <v>1195</v>
      </c>
      <c r="E1248" s="11" t="s">
        <v>1221</v>
      </c>
      <c r="F1248" s="12">
        <v>4</v>
      </c>
    </row>
    <row r="1249" spans="2:6" hidden="1" x14ac:dyDescent="0.2">
      <c r="B1249" s="4">
        <v>2014</v>
      </c>
      <c r="C1249" s="11" t="s">
        <v>1195</v>
      </c>
      <c r="D1249" s="11" t="s">
        <v>1195</v>
      </c>
      <c r="E1249" s="11" t="s">
        <v>1222</v>
      </c>
      <c r="F1249" s="12">
        <v>5</v>
      </c>
    </row>
    <row r="1250" spans="2:6" hidden="1" x14ac:dyDescent="0.2">
      <c r="B1250" s="4">
        <v>2014</v>
      </c>
      <c r="C1250" s="11" t="s">
        <v>1195</v>
      </c>
      <c r="D1250" s="11" t="s">
        <v>1195</v>
      </c>
      <c r="E1250" s="11" t="s">
        <v>1223</v>
      </c>
      <c r="F1250" s="12">
        <v>3</v>
      </c>
    </row>
    <row r="1251" spans="2:6" hidden="1" x14ac:dyDescent="0.2">
      <c r="B1251" s="4">
        <v>2014</v>
      </c>
      <c r="C1251" s="11" t="s">
        <v>1195</v>
      </c>
      <c r="D1251" s="11" t="s">
        <v>1195</v>
      </c>
      <c r="E1251" s="11" t="s">
        <v>1224</v>
      </c>
      <c r="F1251" s="12">
        <v>1</v>
      </c>
    </row>
    <row r="1252" spans="2:6" hidden="1" x14ac:dyDescent="0.2">
      <c r="B1252" s="4">
        <v>2014</v>
      </c>
      <c r="C1252" s="11" t="s">
        <v>1195</v>
      </c>
      <c r="D1252" s="11" t="s">
        <v>1195</v>
      </c>
      <c r="E1252" s="11" t="s">
        <v>1225</v>
      </c>
      <c r="F1252" s="12">
        <v>3</v>
      </c>
    </row>
    <row r="1253" spans="2:6" hidden="1" x14ac:dyDescent="0.2">
      <c r="B1253" s="4">
        <v>2014</v>
      </c>
      <c r="C1253" s="11" t="s">
        <v>1195</v>
      </c>
      <c r="D1253" s="11" t="s">
        <v>1195</v>
      </c>
      <c r="E1253" s="11" t="s">
        <v>1226</v>
      </c>
      <c r="F1253" s="12">
        <v>15</v>
      </c>
    </row>
    <row r="1254" spans="2:6" hidden="1" x14ac:dyDescent="0.2">
      <c r="B1254" s="4">
        <v>2014</v>
      </c>
      <c r="C1254" s="11" t="s">
        <v>1195</v>
      </c>
      <c r="D1254" s="11" t="s">
        <v>1195</v>
      </c>
      <c r="E1254" s="11" t="s">
        <v>1227</v>
      </c>
      <c r="F1254" s="12">
        <v>1</v>
      </c>
    </row>
    <row r="1255" spans="2:6" hidden="1" x14ac:dyDescent="0.2">
      <c r="B1255" s="4">
        <v>2014</v>
      </c>
      <c r="C1255" s="11" t="s">
        <v>1195</v>
      </c>
      <c r="D1255" s="11" t="s">
        <v>1195</v>
      </c>
      <c r="E1255" s="11" t="s">
        <v>979</v>
      </c>
      <c r="F1255" s="12">
        <v>1</v>
      </c>
    </row>
    <row r="1256" spans="2:6" hidden="1" x14ac:dyDescent="0.2">
      <c r="B1256" s="4">
        <v>2014</v>
      </c>
      <c r="C1256" s="11" t="s">
        <v>1195</v>
      </c>
      <c r="D1256" s="11" t="s">
        <v>1195</v>
      </c>
      <c r="E1256" s="11" t="s">
        <v>1158</v>
      </c>
      <c r="F1256" s="12">
        <v>29</v>
      </c>
    </row>
    <row r="1257" spans="2:6" hidden="1" x14ac:dyDescent="0.2">
      <c r="B1257" s="4">
        <v>2014</v>
      </c>
      <c r="C1257" s="11" t="s">
        <v>1195</v>
      </c>
      <c r="D1257" s="11" t="s">
        <v>1195</v>
      </c>
      <c r="E1257" s="11" t="s">
        <v>1228</v>
      </c>
      <c r="F1257" s="12">
        <v>2</v>
      </c>
    </row>
    <row r="1258" spans="2:6" hidden="1" x14ac:dyDescent="0.2">
      <c r="B1258" s="4">
        <v>2014</v>
      </c>
      <c r="C1258" s="11" t="s">
        <v>1229</v>
      </c>
      <c r="D1258" s="11" t="s">
        <v>1229</v>
      </c>
      <c r="E1258" s="11" t="s">
        <v>1229</v>
      </c>
      <c r="F1258" s="12">
        <v>289</v>
      </c>
    </row>
    <row r="1259" spans="2:6" hidden="1" x14ac:dyDescent="0.2">
      <c r="B1259" s="4">
        <v>2014</v>
      </c>
      <c r="C1259" s="11" t="s">
        <v>1229</v>
      </c>
      <c r="D1259" s="11" t="s">
        <v>1229</v>
      </c>
      <c r="E1259" s="11" t="s">
        <v>1230</v>
      </c>
      <c r="F1259" s="12">
        <v>10</v>
      </c>
    </row>
    <row r="1260" spans="2:6" hidden="1" x14ac:dyDescent="0.2">
      <c r="B1260" s="4">
        <v>2014</v>
      </c>
      <c r="C1260" s="11" t="s">
        <v>1229</v>
      </c>
      <c r="D1260" s="11" t="s">
        <v>1229</v>
      </c>
      <c r="E1260" s="11" t="s">
        <v>1231</v>
      </c>
      <c r="F1260" s="12">
        <v>193</v>
      </c>
    </row>
    <row r="1261" spans="2:6" hidden="1" x14ac:dyDescent="0.2">
      <c r="B1261" s="4">
        <v>2014</v>
      </c>
      <c r="C1261" s="11" t="s">
        <v>1229</v>
      </c>
      <c r="D1261" s="11" t="s">
        <v>1229</v>
      </c>
      <c r="E1261" s="11" t="s">
        <v>1232</v>
      </c>
      <c r="F1261" s="12">
        <v>31</v>
      </c>
    </row>
    <row r="1262" spans="2:6" hidden="1" x14ac:dyDescent="0.2">
      <c r="B1262" s="4">
        <v>2014</v>
      </c>
      <c r="C1262" s="11" t="s">
        <v>1229</v>
      </c>
      <c r="D1262" s="11" t="s">
        <v>1229</v>
      </c>
      <c r="E1262" s="11" t="s">
        <v>1233</v>
      </c>
      <c r="F1262" s="12">
        <v>101</v>
      </c>
    </row>
    <row r="1263" spans="2:6" hidden="1" x14ac:dyDescent="0.2">
      <c r="B1263" s="4">
        <v>2014</v>
      </c>
      <c r="C1263" s="11" t="s">
        <v>1229</v>
      </c>
      <c r="D1263" s="11" t="s">
        <v>1229</v>
      </c>
      <c r="E1263" s="11" t="s">
        <v>1234</v>
      </c>
      <c r="F1263" s="12">
        <v>203</v>
      </c>
    </row>
    <row r="1264" spans="2:6" hidden="1" x14ac:dyDescent="0.2">
      <c r="B1264" s="4">
        <v>2014</v>
      </c>
      <c r="C1264" s="11" t="s">
        <v>1229</v>
      </c>
      <c r="D1264" s="11" t="s">
        <v>1229</v>
      </c>
      <c r="E1264" s="11" t="s">
        <v>1235</v>
      </c>
      <c r="F1264" s="12">
        <v>18</v>
      </c>
    </row>
    <row r="1265" spans="2:6" hidden="1" x14ac:dyDescent="0.2">
      <c r="B1265" s="4">
        <v>2014</v>
      </c>
      <c r="C1265" s="11" t="s">
        <v>1229</v>
      </c>
      <c r="D1265" s="11" t="s">
        <v>1229</v>
      </c>
      <c r="E1265" s="11" t="s">
        <v>1236</v>
      </c>
      <c r="F1265" s="12">
        <v>45</v>
      </c>
    </row>
    <row r="1266" spans="2:6" hidden="1" x14ac:dyDescent="0.2">
      <c r="B1266" s="4">
        <v>2014</v>
      </c>
      <c r="C1266" s="11" t="s">
        <v>1229</v>
      </c>
      <c r="D1266" s="11" t="s">
        <v>1229</v>
      </c>
      <c r="E1266" s="11" t="s">
        <v>1237</v>
      </c>
      <c r="F1266" s="12">
        <v>27</v>
      </c>
    </row>
    <row r="1267" spans="2:6" hidden="1" x14ac:dyDescent="0.2">
      <c r="B1267" s="4">
        <v>2014</v>
      </c>
      <c r="C1267" s="11" t="s">
        <v>1229</v>
      </c>
      <c r="D1267" s="11" t="s">
        <v>1229</v>
      </c>
      <c r="E1267" s="11" t="s">
        <v>1036</v>
      </c>
      <c r="F1267" s="12">
        <v>209</v>
      </c>
    </row>
    <row r="1268" spans="2:6" hidden="1" x14ac:dyDescent="0.2">
      <c r="B1268" s="4">
        <v>2014</v>
      </c>
      <c r="C1268" s="11" t="s">
        <v>1229</v>
      </c>
      <c r="D1268" s="11" t="s">
        <v>1229</v>
      </c>
      <c r="E1268" s="11" t="s">
        <v>1238</v>
      </c>
      <c r="F1268" s="12">
        <v>99</v>
      </c>
    </row>
    <row r="1269" spans="2:6" hidden="1" x14ac:dyDescent="0.2">
      <c r="B1269" s="4">
        <v>2014</v>
      </c>
      <c r="C1269" s="11" t="s">
        <v>1229</v>
      </c>
      <c r="D1269" s="11" t="s">
        <v>1229</v>
      </c>
      <c r="E1269" s="11" t="s">
        <v>129</v>
      </c>
      <c r="F1269" s="12">
        <v>118</v>
      </c>
    </row>
    <row r="1270" spans="2:6" hidden="1" x14ac:dyDescent="0.2">
      <c r="B1270" s="4">
        <v>2014</v>
      </c>
      <c r="C1270" s="11" t="s">
        <v>1229</v>
      </c>
      <c r="D1270" s="11" t="s">
        <v>1229</v>
      </c>
      <c r="E1270" s="11" t="s">
        <v>1239</v>
      </c>
      <c r="F1270" s="12">
        <v>77</v>
      </c>
    </row>
    <row r="1271" spans="2:6" hidden="1" x14ac:dyDescent="0.2">
      <c r="B1271" s="4">
        <v>2014</v>
      </c>
      <c r="C1271" s="11" t="s">
        <v>1229</v>
      </c>
      <c r="D1271" s="11" t="s">
        <v>1229</v>
      </c>
      <c r="E1271" s="11" t="s">
        <v>1240</v>
      </c>
      <c r="F1271" s="12">
        <v>29</v>
      </c>
    </row>
    <row r="1272" spans="2:6" hidden="1" x14ac:dyDescent="0.2">
      <c r="B1272" s="4">
        <v>2014</v>
      </c>
      <c r="C1272" s="11" t="s">
        <v>1229</v>
      </c>
      <c r="D1272" s="11" t="s">
        <v>1229</v>
      </c>
      <c r="E1272" s="11" t="s">
        <v>1201</v>
      </c>
      <c r="F1272" s="12">
        <v>229</v>
      </c>
    </row>
    <row r="1273" spans="2:6" hidden="1" x14ac:dyDescent="0.2">
      <c r="B1273" s="4">
        <v>2014</v>
      </c>
      <c r="C1273" s="11" t="s">
        <v>1229</v>
      </c>
      <c r="D1273" s="11" t="s">
        <v>1229</v>
      </c>
      <c r="E1273" s="11" t="s">
        <v>1241</v>
      </c>
      <c r="F1273" s="12">
        <v>78</v>
      </c>
    </row>
    <row r="1274" spans="2:6" hidden="1" x14ac:dyDescent="0.2">
      <c r="B1274" s="4">
        <v>2014</v>
      </c>
      <c r="C1274" s="11" t="s">
        <v>1229</v>
      </c>
      <c r="D1274" s="11" t="s">
        <v>1229</v>
      </c>
      <c r="E1274" s="11" t="s">
        <v>1242</v>
      </c>
      <c r="F1274" s="12">
        <v>327</v>
      </c>
    </row>
    <row r="1275" spans="2:6" hidden="1" x14ac:dyDescent="0.2">
      <c r="B1275" s="4">
        <v>2014</v>
      </c>
      <c r="C1275" s="11" t="s">
        <v>1229</v>
      </c>
      <c r="D1275" s="11" t="s">
        <v>1229</v>
      </c>
      <c r="E1275" s="11" t="s">
        <v>1243</v>
      </c>
      <c r="F1275" s="12">
        <v>35</v>
      </c>
    </row>
    <row r="1276" spans="2:6" hidden="1" x14ac:dyDescent="0.2">
      <c r="B1276" s="4">
        <v>2014</v>
      </c>
      <c r="C1276" s="11" t="s">
        <v>1229</v>
      </c>
      <c r="D1276" s="11" t="s">
        <v>1229</v>
      </c>
      <c r="E1276" s="11" t="s">
        <v>1244</v>
      </c>
      <c r="F1276" s="12">
        <v>105</v>
      </c>
    </row>
    <row r="1277" spans="2:6" hidden="1" x14ac:dyDescent="0.2">
      <c r="B1277" s="4">
        <v>2014</v>
      </c>
      <c r="C1277" s="11" t="s">
        <v>1229</v>
      </c>
      <c r="D1277" s="11" t="s">
        <v>1229</v>
      </c>
      <c r="E1277" s="11" t="s">
        <v>1245</v>
      </c>
      <c r="F1277" s="12">
        <v>46</v>
      </c>
    </row>
    <row r="1278" spans="2:6" hidden="1" x14ac:dyDescent="0.2">
      <c r="B1278" s="4">
        <v>2014</v>
      </c>
      <c r="C1278" s="11" t="s">
        <v>1229</v>
      </c>
      <c r="D1278" s="11" t="s">
        <v>1229</v>
      </c>
      <c r="E1278" s="11" t="s">
        <v>216</v>
      </c>
      <c r="F1278" s="12">
        <v>29</v>
      </c>
    </row>
    <row r="1279" spans="2:6" hidden="1" x14ac:dyDescent="0.2">
      <c r="B1279" s="4">
        <v>2014</v>
      </c>
      <c r="C1279" s="11" t="s">
        <v>1229</v>
      </c>
      <c r="D1279" s="11" t="s">
        <v>1229</v>
      </c>
      <c r="E1279" s="11" t="s">
        <v>377</v>
      </c>
      <c r="F1279" s="12">
        <v>94</v>
      </c>
    </row>
    <row r="1280" spans="2:6" hidden="1" x14ac:dyDescent="0.2">
      <c r="B1280" s="4">
        <v>2014</v>
      </c>
      <c r="C1280" s="11" t="s">
        <v>1229</v>
      </c>
      <c r="D1280" s="11" t="s">
        <v>1229</v>
      </c>
      <c r="E1280" s="11" t="s">
        <v>1246</v>
      </c>
      <c r="F1280" s="12">
        <v>70</v>
      </c>
    </row>
    <row r="1281" spans="2:6" hidden="1" x14ac:dyDescent="0.2">
      <c r="B1281" s="4">
        <v>2014</v>
      </c>
      <c r="C1281" s="11" t="s">
        <v>1229</v>
      </c>
      <c r="D1281" s="11" t="s">
        <v>1229</v>
      </c>
      <c r="E1281" s="11" t="s">
        <v>1247</v>
      </c>
      <c r="F1281" s="12">
        <v>5</v>
      </c>
    </row>
    <row r="1282" spans="2:6" hidden="1" x14ac:dyDescent="0.2">
      <c r="B1282" s="4">
        <v>2014</v>
      </c>
      <c r="C1282" s="11" t="s">
        <v>1229</v>
      </c>
      <c r="D1282" s="11" t="s">
        <v>1229</v>
      </c>
      <c r="E1282" s="11" t="s">
        <v>1248</v>
      </c>
      <c r="F1282" s="12">
        <v>111</v>
      </c>
    </row>
    <row r="1283" spans="2:6" hidden="1" x14ac:dyDescent="0.2">
      <c r="B1283" s="4">
        <v>2014</v>
      </c>
      <c r="C1283" s="11" t="s">
        <v>1229</v>
      </c>
      <c r="D1283" s="11" t="s">
        <v>1229</v>
      </c>
      <c r="E1283" s="11" t="s">
        <v>1249</v>
      </c>
      <c r="F1283" s="12">
        <v>17</v>
      </c>
    </row>
    <row r="1284" spans="2:6" hidden="1" x14ac:dyDescent="0.2">
      <c r="B1284" s="4">
        <v>2014</v>
      </c>
      <c r="C1284" s="11" t="s">
        <v>1229</v>
      </c>
      <c r="D1284" s="11" t="s">
        <v>1229</v>
      </c>
      <c r="E1284" s="11" t="s">
        <v>1250</v>
      </c>
      <c r="F1284" s="12">
        <v>16</v>
      </c>
    </row>
    <row r="1285" spans="2:6" hidden="1" x14ac:dyDescent="0.2">
      <c r="B1285" s="4">
        <v>2014</v>
      </c>
      <c r="C1285" s="11" t="s">
        <v>1229</v>
      </c>
      <c r="D1285" s="11" t="s">
        <v>1229</v>
      </c>
      <c r="E1285" s="11" t="s">
        <v>1251</v>
      </c>
      <c r="F1285" s="12">
        <v>43</v>
      </c>
    </row>
    <row r="1286" spans="2:6" hidden="1" x14ac:dyDescent="0.2">
      <c r="B1286" s="4">
        <v>2014</v>
      </c>
      <c r="C1286" s="11" t="s">
        <v>1229</v>
      </c>
      <c r="D1286" s="11" t="s">
        <v>1229</v>
      </c>
      <c r="E1286" s="11" t="s">
        <v>1252</v>
      </c>
      <c r="F1286" s="12">
        <v>4</v>
      </c>
    </row>
    <row r="1287" spans="2:6" hidden="1" x14ac:dyDescent="0.2">
      <c r="B1287" s="4">
        <v>2014</v>
      </c>
      <c r="C1287" s="11" t="s">
        <v>1229</v>
      </c>
      <c r="D1287" s="11" t="s">
        <v>1229</v>
      </c>
      <c r="E1287" s="11" t="s">
        <v>1253</v>
      </c>
      <c r="F1287" s="12">
        <v>35</v>
      </c>
    </row>
    <row r="1288" spans="2:6" hidden="1" x14ac:dyDescent="0.2">
      <c r="B1288" s="4">
        <v>2014</v>
      </c>
      <c r="C1288" s="11" t="s">
        <v>1229</v>
      </c>
      <c r="D1288" s="11" t="s">
        <v>1229</v>
      </c>
      <c r="E1288" s="11" t="s">
        <v>876</v>
      </c>
      <c r="F1288" s="12">
        <v>21</v>
      </c>
    </row>
    <row r="1289" spans="2:6" hidden="1" x14ac:dyDescent="0.2">
      <c r="B1289" s="4">
        <v>2014</v>
      </c>
      <c r="C1289" s="11" t="s">
        <v>1229</v>
      </c>
      <c r="D1289" s="11" t="s">
        <v>1229</v>
      </c>
      <c r="E1289" s="11" t="s">
        <v>1254</v>
      </c>
      <c r="F1289" s="12">
        <v>316</v>
      </c>
    </row>
    <row r="1290" spans="2:6" hidden="1" x14ac:dyDescent="0.2">
      <c r="B1290" s="4">
        <v>2014</v>
      </c>
      <c r="C1290" s="11" t="s">
        <v>1229</v>
      </c>
      <c r="D1290" s="11" t="s">
        <v>1229</v>
      </c>
      <c r="E1290" s="11" t="s">
        <v>1255</v>
      </c>
      <c r="F1290" s="12">
        <v>342</v>
      </c>
    </row>
    <row r="1291" spans="2:6" hidden="1" x14ac:dyDescent="0.2">
      <c r="B1291" s="4">
        <v>2014</v>
      </c>
      <c r="C1291" s="11" t="s">
        <v>1229</v>
      </c>
      <c r="D1291" s="11" t="s">
        <v>1229</v>
      </c>
      <c r="E1291" s="11" t="s">
        <v>177</v>
      </c>
      <c r="F1291" s="12">
        <v>55</v>
      </c>
    </row>
    <row r="1292" spans="2:6" hidden="1" x14ac:dyDescent="0.2">
      <c r="B1292" s="4">
        <v>2014</v>
      </c>
      <c r="C1292" s="11" t="s">
        <v>1229</v>
      </c>
      <c r="D1292" s="11" t="s">
        <v>1229</v>
      </c>
      <c r="E1292" s="11" t="s">
        <v>1256</v>
      </c>
      <c r="F1292" s="12">
        <v>265</v>
      </c>
    </row>
    <row r="1293" spans="2:6" hidden="1" x14ac:dyDescent="0.2">
      <c r="B1293" s="4">
        <v>2014</v>
      </c>
      <c r="C1293" s="11" t="s">
        <v>1229</v>
      </c>
      <c r="D1293" s="11" t="s">
        <v>1229</v>
      </c>
      <c r="E1293" s="11" t="s">
        <v>513</v>
      </c>
      <c r="F1293" s="12">
        <v>82</v>
      </c>
    </row>
    <row r="1294" spans="2:6" hidden="1" x14ac:dyDescent="0.2">
      <c r="B1294" s="4">
        <v>2014</v>
      </c>
      <c r="C1294" s="11" t="s">
        <v>1229</v>
      </c>
      <c r="D1294" s="11" t="s">
        <v>1229</v>
      </c>
      <c r="E1294" s="11" t="s">
        <v>1257</v>
      </c>
      <c r="F1294" s="12">
        <v>196</v>
      </c>
    </row>
    <row r="1295" spans="2:6" hidden="1" x14ac:dyDescent="0.2">
      <c r="B1295" s="4">
        <v>2014</v>
      </c>
      <c r="C1295" s="11" t="s">
        <v>1229</v>
      </c>
      <c r="D1295" s="11" t="s">
        <v>1229</v>
      </c>
      <c r="E1295" s="11" t="s">
        <v>1258</v>
      </c>
      <c r="F1295" s="12">
        <v>7</v>
      </c>
    </row>
    <row r="1296" spans="2:6" hidden="1" x14ac:dyDescent="0.2">
      <c r="B1296" s="4">
        <v>2014</v>
      </c>
      <c r="C1296" s="11" t="s">
        <v>1229</v>
      </c>
      <c r="D1296" s="11" t="s">
        <v>1229</v>
      </c>
      <c r="E1296" s="11" t="s">
        <v>113</v>
      </c>
      <c r="F1296" s="12">
        <v>16</v>
      </c>
    </row>
    <row r="1297" spans="2:6" hidden="1" x14ac:dyDescent="0.2">
      <c r="B1297" s="4">
        <v>2014</v>
      </c>
      <c r="C1297" s="11" t="s">
        <v>1229</v>
      </c>
      <c r="D1297" s="11" t="s">
        <v>1229</v>
      </c>
      <c r="E1297" s="11" t="s">
        <v>1259</v>
      </c>
      <c r="F1297" s="12">
        <v>53</v>
      </c>
    </row>
    <row r="1298" spans="2:6" hidden="1" x14ac:dyDescent="0.2">
      <c r="B1298" s="4">
        <v>2014</v>
      </c>
      <c r="C1298" s="11" t="s">
        <v>1229</v>
      </c>
      <c r="D1298" s="11" t="s">
        <v>1229</v>
      </c>
      <c r="E1298" s="11" t="s">
        <v>1260</v>
      </c>
      <c r="F1298" s="12">
        <v>95</v>
      </c>
    </row>
    <row r="1299" spans="2:6" hidden="1" x14ac:dyDescent="0.2">
      <c r="B1299" s="4">
        <v>2014</v>
      </c>
      <c r="C1299" s="11" t="s">
        <v>1229</v>
      </c>
      <c r="D1299" s="11" t="s">
        <v>1229</v>
      </c>
      <c r="E1299" s="11" t="s">
        <v>1261</v>
      </c>
      <c r="F1299" s="12">
        <v>81</v>
      </c>
    </row>
    <row r="1300" spans="2:6" hidden="1" x14ac:dyDescent="0.2">
      <c r="B1300" s="4">
        <v>2014</v>
      </c>
      <c r="C1300" s="11" t="s">
        <v>1229</v>
      </c>
      <c r="D1300" s="11" t="s">
        <v>1229</v>
      </c>
      <c r="E1300" s="11" t="s">
        <v>1262</v>
      </c>
      <c r="F1300" s="12">
        <v>125</v>
      </c>
    </row>
    <row r="1301" spans="2:6" hidden="1" x14ac:dyDescent="0.2">
      <c r="B1301" s="4">
        <v>2014</v>
      </c>
      <c r="C1301" s="11" t="s">
        <v>1229</v>
      </c>
      <c r="D1301" s="11" t="s">
        <v>1263</v>
      </c>
      <c r="E1301" s="11" t="s">
        <v>1263</v>
      </c>
      <c r="F1301" s="12">
        <v>97</v>
      </c>
    </row>
    <row r="1302" spans="2:6" hidden="1" x14ac:dyDescent="0.2">
      <c r="B1302" s="4">
        <v>2014</v>
      </c>
      <c r="C1302" s="11" t="s">
        <v>1229</v>
      </c>
      <c r="D1302" s="11" t="s">
        <v>1263</v>
      </c>
      <c r="E1302" s="11" t="s">
        <v>1264</v>
      </c>
      <c r="F1302" s="12">
        <v>17</v>
      </c>
    </row>
    <row r="1303" spans="2:6" hidden="1" x14ac:dyDescent="0.2">
      <c r="B1303" s="4">
        <v>2014</v>
      </c>
      <c r="C1303" s="11" t="s">
        <v>1229</v>
      </c>
      <c r="D1303" s="11" t="s">
        <v>1263</v>
      </c>
      <c r="E1303" s="11" t="s">
        <v>1265</v>
      </c>
      <c r="F1303" s="12">
        <v>2</v>
      </c>
    </row>
    <row r="1304" spans="2:6" hidden="1" x14ac:dyDescent="0.2">
      <c r="B1304" s="4">
        <v>2014</v>
      </c>
      <c r="C1304" s="11" t="s">
        <v>1229</v>
      </c>
      <c r="D1304" s="11" t="s">
        <v>1263</v>
      </c>
      <c r="E1304" s="11" t="s">
        <v>1266</v>
      </c>
      <c r="F1304" s="12">
        <v>2</v>
      </c>
    </row>
    <row r="1305" spans="2:6" hidden="1" x14ac:dyDescent="0.2">
      <c r="B1305" s="4">
        <v>2014</v>
      </c>
      <c r="C1305" s="11" t="s">
        <v>1229</v>
      </c>
      <c r="D1305" s="11" t="s">
        <v>1263</v>
      </c>
      <c r="E1305" s="11" t="s">
        <v>1267</v>
      </c>
      <c r="F1305" s="12">
        <v>1</v>
      </c>
    </row>
    <row r="1306" spans="2:6" hidden="1" x14ac:dyDescent="0.2">
      <c r="B1306" s="4">
        <v>2014</v>
      </c>
      <c r="C1306" s="11" t="s">
        <v>1229</v>
      </c>
      <c r="D1306" s="11" t="s">
        <v>1268</v>
      </c>
      <c r="E1306" s="11" t="s">
        <v>1268</v>
      </c>
      <c r="F1306" s="12">
        <v>0</v>
      </c>
    </row>
    <row r="1307" spans="2:6" hidden="1" x14ac:dyDescent="0.2">
      <c r="B1307" s="4">
        <v>2014</v>
      </c>
      <c r="C1307" s="11" t="s">
        <v>1229</v>
      </c>
      <c r="D1307" s="11" t="s">
        <v>1268</v>
      </c>
      <c r="E1307" s="11" t="s">
        <v>1269</v>
      </c>
      <c r="F1307" s="12">
        <v>0</v>
      </c>
    </row>
    <row r="1308" spans="2:6" hidden="1" x14ac:dyDescent="0.2">
      <c r="B1308" s="4">
        <v>2014</v>
      </c>
      <c r="C1308" s="11" t="s">
        <v>1229</v>
      </c>
      <c r="D1308" s="11" t="s">
        <v>1268</v>
      </c>
      <c r="E1308" s="11" t="s">
        <v>1270</v>
      </c>
      <c r="F1308" s="12">
        <v>0</v>
      </c>
    </row>
    <row r="1309" spans="2:6" hidden="1" x14ac:dyDescent="0.2">
      <c r="B1309" s="4">
        <v>2014</v>
      </c>
      <c r="C1309" s="11" t="s">
        <v>1229</v>
      </c>
      <c r="D1309" s="11" t="s">
        <v>1268</v>
      </c>
      <c r="E1309" s="11" t="s">
        <v>1271</v>
      </c>
      <c r="F1309" s="12">
        <v>0</v>
      </c>
    </row>
    <row r="1310" spans="2:6" hidden="1" x14ac:dyDescent="0.2">
      <c r="B1310" s="4">
        <v>2014</v>
      </c>
      <c r="C1310" s="11" t="s">
        <v>1229</v>
      </c>
      <c r="D1310" s="11" t="s">
        <v>1268</v>
      </c>
      <c r="E1310" s="11" t="s">
        <v>1272</v>
      </c>
      <c r="F1310" s="12">
        <v>0</v>
      </c>
    </row>
    <row r="1311" spans="2:6" hidden="1" x14ac:dyDescent="0.2">
      <c r="B1311" s="4">
        <v>2014</v>
      </c>
      <c r="C1311" s="11" t="s">
        <v>1229</v>
      </c>
      <c r="D1311" s="11" t="s">
        <v>1273</v>
      </c>
      <c r="E1311" s="11" t="s">
        <v>1273</v>
      </c>
      <c r="F1311" s="12">
        <v>1</v>
      </c>
    </row>
    <row r="1312" spans="2:6" hidden="1" x14ac:dyDescent="0.2">
      <c r="B1312" s="4">
        <v>2014</v>
      </c>
      <c r="C1312" s="11" t="s">
        <v>1229</v>
      </c>
      <c r="D1312" s="11" t="s">
        <v>1273</v>
      </c>
      <c r="E1312" s="11" t="s">
        <v>1274</v>
      </c>
      <c r="F1312" s="12">
        <v>0</v>
      </c>
    </row>
    <row r="1313" spans="2:6" hidden="1" x14ac:dyDescent="0.2">
      <c r="B1313" s="4">
        <v>2014</v>
      </c>
      <c r="C1313" s="11" t="s">
        <v>1229</v>
      </c>
      <c r="D1313" s="11" t="s">
        <v>1273</v>
      </c>
      <c r="E1313" s="11" t="s">
        <v>1275</v>
      </c>
      <c r="F1313" s="12">
        <v>0</v>
      </c>
    </row>
    <row r="1314" spans="2:6" hidden="1" x14ac:dyDescent="0.2">
      <c r="B1314" s="4">
        <v>2014</v>
      </c>
      <c r="C1314" s="11" t="s">
        <v>1229</v>
      </c>
      <c r="D1314" s="11" t="s">
        <v>1273</v>
      </c>
      <c r="E1314" s="11" t="s">
        <v>1276</v>
      </c>
      <c r="F1314" s="12">
        <v>0</v>
      </c>
    </row>
    <row r="1315" spans="2:6" hidden="1" x14ac:dyDescent="0.2">
      <c r="B1315" s="4">
        <v>2014</v>
      </c>
      <c r="C1315" s="11" t="s">
        <v>1229</v>
      </c>
      <c r="D1315" s="11" t="s">
        <v>1273</v>
      </c>
      <c r="E1315" s="11" t="s">
        <v>1277</v>
      </c>
      <c r="F1315" s="12">
        <v>1</v>
      </c>
    </row>
    <row r="1316" spans="2:6" hidden="1" x14ac:dyDescent="0.2">
      <c r="B1316" s="4">
        <v>2014</v>
      </c>
      <c r="C1316" s="11" t="s">
        <v>1229</v>
      </c>
      <c r="D1316" s="11" t="s">
        <v>1273</v>
      </c>
      <c r="E1316" s="11" t="s">
        <v>946</v>
      </c>
      <c r="F1316" s="12">
        <v>0</v>
      </c>
    </row>
    <row r="1317" spans="2:6" hidden="1" x14ac:dyDescent="0.2">
      <c r="B1317" s="4">
        <v>2014</v>
      </c>
      <c r="C1317" s="11" t="s">
        <v>1229</v>
      </c>
      <c r="D1317" s="11" t="s">
        <v>1273</v>
      </c>
      <c r="E1317" s="11" t="s">
        <v>1278</v>
      </c>
      <c r="F1317" s="12">
        <v>1</v>
      </c>
    </row>
    <row r="1318" spans="2:6" hidden="1" x14ac:dyDescent="0.2">
      <c r="B1318" s="4">
        <v>2014</v>
      </c>
      <c r="C1318" s="11" t="s">
        <v>1229</v>
      </c>
      <c r="D1318" s="11" t="s">
        <v>1279</v>
      </c>
      <c r="E1318" s="11" t="s">
        <v>1280</v>
      </c>
      <c r="F1318" s="12">
        <v>42</v>
      </c>
    </row>
    <row r="1319" spans="2:6" hidden="1" x14ac:dyDescent="0.2">
      <c r="B1319" s="4">
        <v>2014</v>
      </c>
      <c r="C1319" s="11" t="s">
        <v>1229</v>
      </c>
      <c r="D1319" s="11" t="s">
        <v>1279</v>
      </c>
      <c r="E1319" s="11" t="s">
        <v>1281</v>
      </c>
      <c r="F1319" s="12">
        <v>0</v>
      </c>
    </row>
    <row r="1320" spans="2:6" hidden="1" x14ac:dyDescent="0.2">
      <c r="B1320" s="4">
        <v>2014</v>
      </c>
      <c r="C1320" s="11" t="s">
        <v>1229</v>
      </c>
      <c r="D1320" s="11" t="s">
        <v>1279</v>
      </c>
      <c r="E1320" s="11" t="s">
        <v>1282</v>
      </c>
      <c r="F1320" s="12">
        <v>3</v>
      </c>
    </row>
    <row r="1321" spans="2:6" hidden="1" x14ac:dyDescent="0.2">
      <c r="B1321" s="4">
        <v>2014</v>
      </c>
      <c r="C1321" s="11" t="s">
        <v>1229</v>
      </c>
      <c r="D1321" s="11" t="s">
        <v>1279</v>
      </c>
      <c r="E1321" s="11" t="s">
        <v>1283</v>
      </c>
      <c r="F1321" s="12">
        <v>1</v>
      </c>
    </row>
    <row r="1322" spans="2:6" hidden="1" x14ac:dyDescent="0.2">
      <c r="B1322" s="4">
        <v>2014</v>
      </c>
      <c r="C1322" s="11" t="s">
        <v>1229</v>
      </c>
      <c r="D1322" s="11" t="s">
        <v>1279</v>
      </c>
      <c r="E1322" s="11" t="s">
        <v>1013</v>
      </c>
      <c r="F1322" s="12">
        <v>0</v>
      </c>
    </row>
    <row r="1323" spans="2:6" hidden="1" x14ac:dyDescent="0.2">
      <c r="B1323" s="4">
        <v>2014</v>
      </c>
      <c r="C1323" s="11" t="s">
        <v>1229</v>
      </c>
      <c r="D1323" s="11" t="s">
        <v>1279</v>
      </c>
      <c r="E1323" s="11" t="s">
        <v>1284</v>
      </c>
      <c r="F1323" s="12">
        <v>0</v>
      </c>
    </row>
    <row r="1324" spans="2:6" hidden="1" x14ac:dyDescent="0.2">
      <c r="B1324" s="4">
        <v>2014</v>
      </c>
      <c r="C1324" s="11" t="s">
        <v>1229</v>
      </c>
      <c r="D1324" s="11" t="s">
        <v>1279</v>
      </c>
      <c r="E1324" s="11" t="s">
        <v>1285</v>
      </c>
      <c r="F1324" s="12">
        <v>6</v>
      </c>
    </row>
    <row r="1325" spans="2:6" hidden="1" x14ac:dyDescent="0.2">
      <c r="B1325" s="4">
        <v>2014</v>
      </c>
      <c r="C1325" s="11" t="s">
        <v>1229</v>
      </c>
      <c r="D1325" s="11" t="s">
        <v>1279</v>
      </c>
      <c r="E1325" s="11" t="s">
        <v>1286</v>
      </c>
      <c r="F1325" s="12">
        <v>10</v>
      </c>
    </row>
    <row r="1326" spans="2:6" hidden="1" x14ac:dyDescent="0.2">
      <c r="B1326" s="4">
        <v>2014</v>
      </c>
      <c r="C1326" s="11" t="s">
        <v>1229</v>
      </c>
      <c r="D1326" s="11" t="s">
        <v>1279</v>
      </c>
      <c r="E1326" s="11" t="s">
        <v>1287</v>
      </c>
      <c r="F1326" s="12">
        <v>94</v>
      </c>
    </row>
    <row r="1327" spans="2:6" hidden="1" x14ac:dyDescent="0.2">
      <c r="B1327" s="4">
        <v>2014</v>
      </c>
      <c r="C1327" s="11" t="s">
        <v>1229</v>
      </c>
      <c r="D1327" s="11" t="s">
        <v>1279</v>
      </c>
      <c r="E1327" s="11" t="s">
        <v>1288</v>
      </c>
      <c r="F1327" s="12">
        <v>5</v>
      </c>
    </row>
    <row r="1328" spans="2:6" hidden="1" x14ac:dyDescent="0.2">
      <c r="B1328" s="4">
        <v>2014</v>
      </c>
      <c r="C1328" s="11" t="s">
        <v>1229</v>
      </c>
      <c r="D1328" s="11" t="s">
        <v>1279</v>
      </c>
      <c r="E1328" s="11" t="s">
        <v>1289</v>
      </c>
      <c r="F1328" s="12">
        <v>0</v>
      </c>
    </row>
    <row r="1329" spans="2:6" hidden="1" x14ac:dyDescent="0.2">
      <c r="B1329" s="4">
        <v>2014</v>
      </c>
      <c r="C1329" s="11" t="s">
        <v>1229</v>
      </c>
      <c r="D1329" s="11" t="s">
        <v>1279</v>
      </c>
      <c r="E1329" s="11" t="s">
        <v>1290</v>
      </c>
      <c r="F1329" s="12">
        <v>3</v>
      </c>
    </row>
    <row r="1330" spans="2:6" hidden="1" x14ac:dyDescent="0.2">
      <c r="B1330" s="4">
        <v>2014</v>
      </c>
      <c r="C1330" s="11" t="s">
        <v>1229</v>
      </c>
      <c r="D1330" s="11" t="s">
        <v>1279</v>
      </c>
      <c r="E1330" s="11" t="s">
        <v>363</v>
      </c>
      <c r="F1330" s="12">
        <v>0</v>
      </c>
    </row>
    <row r="1331" spans="2:6" hidden="1" x14ac:dyDescent="0.2">
      <c r="B1331" s="4">
        <v>2014</v>
      </c>
      <c r="C1331" s="11" t="s">
        <v>1229</v>
      </c>
      <c r="D1331" s="11" t="s">
        <v>1279</v>
      </c>
      <c r="E1331" s="11" t="s">
        <v>177</v>
      </c>
      <c r="F1331" s="12">
        <v>6</v>
      </c>
    </row>
    <row r="1332" spans="2:6" hidden="1" x14ac:dyDescent="0.2">
      <c r="B1332" s="4">
        <v>2014</v>
      </c>
      <c r="C1332" s="11" t="s">
        <v>1229</v>
      </c>
      <c r="D1332" s="11" t="s">
        <v>1279</v>
      </c>
      <c r="E1332" s="11" t="s">
        <v>1291</v>
      </c>
      <c r="F1332" s="12">
        <v>0</v>
      </c>
    </row>
    <row r="1333" spans="2:6" hidden="1" x14ac:dyDescent="0.2">
      <c r="B1333" s="4">
        <v>2014</v>
      </c>
      <c r="C1333" s="11" t="s">
        <v>1229</v>
      </c>
      <c r="D1333" s="11" t="s">
        <v>1279</v>
      </c>
      <c r="E1333" s="11" t="s">
        <v>1292</v>
      </c>
      <c r="F1333" s="12">
        <v>0</v>
      </c>
    </row>
    <row r="1334" spans="2:6" hidden="1" x14ac:dyDescent="0.2">
      <c r="B1334" s="4">
        <v>2014</v>
      </c>
      <c r="C1334" s="11" t="s">
        <v>1229</v>
      </c>
      <c r="D1334" s="11" t="s">
        <v>1293</v>
      </c>
      <c r="E1334" s="11" t="s">
        <v>1293</v>
      </c>
      <c r="F1334" s="12">
        <v>125</v>
      </c>
    </row>
    <row r="1335" spans="2:6" hidden="1" x14ac:dyDescent="0.2">
      <c r="B1335" s="4">
        <v>2014</v>
      </c>
      <c r="C1335" s="11" t="s">
        <v>1229</v>
      </c>
      <c r="D1335" s="11" t="s">
        <v>1293</v>
      </c>
      <c r="E1335" s="11" t="s">
        <v>1294</v>
      </c>
      <c r="F1335" s="12">
        <v>0</v>
      </c>
    </row>
    <row r="1336" spans="2:6" hidden="1" x14ac:dyDescent="0.2">
      <c r="B1336" s="4">
        <v>2014</v>
      </c>
      <c r="C1336" s="11" t="s">
        <v>1229</v>
      </c>
      <c r="D1336" s="11" t="s">
        <v>1293</v>
      </c>
      <c r="E1336" s="11" t="s">
        <v>1295</v>
      </c>
      <c r="F1336" s="12">
        <v>0</v>
      </c>
    </row>
    <row r="1337" spans="2:6" hidden="1" x14ac:dyDescent="0.2">
      <c r="B1337" s="4">
        <v>2014</v>
      </c>
      <c r="C1337" s="11" t="s">
        <v>1229</v>
      </c>
      <c r="D1337" s="11" t="s">
        <v>1293</v>
      </c>
      <c r="E1337" s="11" t="s">
        <v>1296</v>
      </c>
      <c r="F1337" s="12">
        <v>4</v>
      </c>
    </row>
    <row r="1338" spans="2:6" hidden="1" x14ac:dyDescent="0.2">
      <c r="B1338" s="4">
        <v>2014</v>
      </c>
      <c r="C1338" s="11" t="s">
        <v>1229</v>
      </c>
      <c r="D1338" s="11" t="s">
        <v>1293</v>
      </c>
      <c r="E1338" s="11" t="s">
        <v>673</v>
      </c>
      <c r="F1338" s="12">
        <v>62</v>
      </c>
    </row>
    <row r="1339" spans="2:6" hidden="1" x14ac:dyDescent="0.2">
      <c r="B1339" s="4">
        <v>2014</v>
      </c>
      <c r="C1339" s="11" t="s">
        <v>1229</v>
      </c>
      <c r="D1339" s="11" t="s">
        <v>1293</v>
      </c>
      <c r="E1339" s="11" t="s">
        <v>1297</v>
      </c>
      <c r="F1339" s="12">
        <v>0</v>
      </c>
    </row>
    <row r="1340" spans="2:6" hidden="1" x14ac:dyDescent="0.2">
      <c r="B1340" s="4">
        <v>2014</v>
      </c>
      <c r="C1340" s="11" t="s">
        <v>1229</v>
      </c>
      <c r="D1340" s="11" t="s">
        <v>1293</v>
      </c>
      <c r="E1340" s="11" t="s">
        <v>1298</v>
      </c>
      <c r="F1340" s="12">
        <v>0</v>
      </c>
    </row>
    <row r="1341" spans="2:6" hidden="1" x14ac:dyDescent="0.2">
      <c r="B1341" s="4">
        <v>2014</v>
      </c>
      <c r="C1341" s="11" t="s">
        <v>1229</v>
      </c>
      <c r="D1341" s="11" t="s">
        <v>1293</v>
      </c>
      <c r="E1341" s="11" t="s">
        <v>1299</v>
      </c>
      <c r="F1341" s="12">
        <v>0</v>
      </c>
    </row>
    <row r="1342" spans="2:6" hidden="1" x14ac:dyDescent="0.2">
      <c r="B1342" s="4">
        <v>2014</v>
      </c>
      <c r="C1342" s="11" t="s">
        <v>1229</v>
      </c>
      <c r="D1342" s="11" t="s">
        <v>1293</v>
      </c>
      <c r="E1342" s="11" t="s">
        <v>1300</v>
      </c>
      <c r="F1342" s="12">
        <v>0</v>
      </c>
    </row>
    <row r="1343" spans="2:6" hidden="1" x14ac:dyDescent="0.2">
      <c r="B1343" s="4">
        <v>2014</v>
      </c>
      <c r="C1343" s="11" t="s">
        <v>1229</v>
      </c>
      <c r="D1343" s="11" t="s">
        <v>1293</v>
      </c>
      <c r="E1343" s="11" t="s">
        <v>1301</v>
      </c>
      <c r="F1343" s="12">
        <v>0</v>
      </c>
    </row>
    <row r="1344" spans="2:6" hidden="1" x14ac:dyDescent="0.2">
      <c r="B1344" s="4">
        <v>2014</v>
      </c>
      <c r="C1344" s="11" t="s">
        <v>1229</v>
      </c>
      <c r="D1344" s="11" t="s">
        <v>1293</v>
      </c>
      <c r="E1344" s="11" t="s">
        <v>1302</v>
      </c>
      <c r="F1344" s="12">
        <v>0</v>
      </c>
    </row>
    <row r="1345" spans="2:6" hidden="1" x14ac:dyDescent="0.2">
      <c r="B1345" s="4">
        <v>2014</v>
      </c>
      <c r="C1345" s="11" t="s">
        <v>1229</v>
      </c>
      <c r="D1345" s="11" t="s">
        <v>1293</v>
      </c>
      <c r="E1345" s="11" t="s">
        <v>1303</v>
      </c>
      <c r="F1345" s="12">
        <v>0</v>
      </c>
    </row>
    <row r="1346" spans="2:6" hidden="1" x14ac:dyDescent="0.2">
      <c r="B1346" s="4">
        <v>2014</v>
      </c>
      <c r="C1346" s="11" t="s">
        <v>1229</v>
      </c>
      <c r="D1346" s="11" t="s">
        <v>1304</v>
      </c>
      <c r="E1346" s="11" t="s">
        <v>1305</v>
      </c>
      <c r="F1346" s="12">
        <v>2</v>
      </c>
    </row>
    <row r="1347" spans="2:6" hidden="1" x14ac:dyDescent="0.2">
      <c r="B1347" s="4">
        <v>2014</v>
      </c>
      <c r="C1347" s="11" t="s">
        <v>1229</v>
      </c>
      <c r="D1347" s="11" t="s">
        <v>1304</v>
      </c>
      <c r="E1347" s="11" t="s">
        <v>1306</v>
      </c>
      <c r="F1347" s="12">
        <v>2</v>
      </c>
    </row>
    <row r="1348" spans="2:6" hidden="1" x14ac:dyDescent="0.2">
      <c r="B1348" s="4">
        <v>2014</v>
      </c>
      <c r="C1348" s="11" t="s">
        <v>1229</v>
      </c>
      <c r="D1348" s="11" t="s">
        <v>1304</v>
      </c>
      <c r="E1348" s="11" t="s">
        <v>1307</v>
      </c>
      <c r="F1348" s="12">
        <v>0</v>
      </c>
    </row>
    <row r="1349" spans="2:6" hidden="1" x14ac:dyDescent="0.2">
      <c r="B1349" s="4">
        <v>2014</v>
      </c>
      <c r="C1349" s="11" t="s">
        <v>1229</v>
      </c>
      <c r="D1349" s="11" t="s">
        <v>1304</v>
      </c>
      <c r="E1349" s="11" t="s">
        <v>1308</v>
      </c>
      <c r="F1349" s="12">
        <v>0</v>
      </c>
    </row>
    <row r="1350" spans="2:6" hidden="1" x14ac:dyDescent="0.2">
      <c r="B1350" s="4">
        <v>2014</v>
      </c>
      <c r="C1350" s="11" t="s">
        <v>1229</v>
      </c>
      <c r="D1350" s="11" t="s">
        <v>1304</v>
      </c>
      <c r="E1350" s="11" t="s">
        <v>1309</v>
      </c>
      <c r="F1350" s="12">
        <v>2</v>
      </c>
    </row>
    <row r="1351" spans="2:6" hidden="1" x14ac:dyDescent="0.2">
      <c r="B1351" s="4">
        <v>2014</v>
      </c>
      <c r="C1351" s="11" t="s">
        <v>1229</v>
      </c>
      <c r="D1351" s="11" t="s">
        <v>1304</v>
      </c>
      <c r="E1351" s="11" t="s">
        <v>814</v>
      </c>
      <c r="F1351" s="12">
        <v>0</v>
      </c>
    </row>
    <row r="1352" spans="2:6" hidden="1" x14ac:dyDescent="0.2">
      <c r="B1352" s="4">
        <v>2014</v>
      </c>
      <c r="C1352" s="11" t="s">
        <v>1229</v>
      </c>
      <c r="D1352" s="11" t="s">
        <v>1304</v>
      </c>
      <c r="E1352" s="11" t="s">
        <v>1310</v>
      </c>
      <c r="F1352" s="12">
        <v>1</v>
      </c>
    </row>
    <row r="1353" spans="2:6" hidden="1" x14ac:dyDescent="0.2">
      <c r="B1353" s="4">
        <v>2014</v>
      </c>
      <c r="C1353" s="11" t="s">
        <v>1229</v>
      </c>
      <c r="D1353" s="11" t="s">
        <v>1304</v>
      </c>
      <c r="E1353" s="11" t="s">
        <v>1311</v>
      </c>
      <c r="F1353" s="12">
        <v>0</v>
      </c>
    </row>
    <row r="1354" spans="2:6" hidden="1" x14ac:dyDescent="0.2">
      <c r="B1354" s="4">
        <v>2014</v>
      </c>
      <c r="C1354" s="11" t="s">
        <v>1229</v>
      </c>
      <c r="D1354" s="11" t="s">
        <v>1304</v>
      </c>
      <c r="E1354" s="11" t="s">
        <v>1304</v>
      </c>
      <c r="F1354" s="12">
        <v>2</v>
      </c>
    </row>
    <row r="1355" spans="2:6" hidden="1" x14ac:dyDescent="0.2">
      <c r="B1355" s="4">
        <v>2014</v>
      </c>
      <c r="C1355" s="11" t="s">
        <v>1229</v>
      </c>
      <c r="D1355" s="11" t="s">
        <v>1304</v>
      </c>
      <c r="E1355" s="11" t="s">
        <v>1312</v>
      </c>
      <c r="F1355" s="12">
        <v>0</v>
      </c>
    </row>
    <row r="1356" spans="2:6" hidden="1" x14ac:dyDescent="0.2">
      <c r="B1356" s="4">
        <v>2014</v>
      </c>
      <c r="C1356" s="11" t="s">
        <v>1229</v>
      </c>
      <c r="D1356" s="11" t="s">
        <v>1304</v>
      </c>
      <c r="E1356" s="11" t="s">
        <v>1313</v>
      </c>
      <c r="F1356" s="12">
        <v>0</v>
      </c>
    </row>
    <row r="1357" spans="2:6" hidden="1" x14ac:dyDescent="0.2">
      <c r="B1357" s="4">
        <v>2014</v>
      </c>
      <c r="C1357" s="11" t="s">
        <v>1229</v>
      </c>
      <c r="D1357" s="11" t="s">
        <v>1304</v>
      </c>
      <c r="E1357" s="11" t="s">
        <v>1314</v>
      </c>
      <c r="F1357" s="12">
        <v>0</v>
      </c>
    </row>
    <row r="1358" spans="2:6" hidden="1" x14ac:dyDescent="0.2">
      <c r="B1358" s="4">
        <v>2014</v>
      </c>
      <c r="C1358" s="11" t="s">
        <v>1229</v>
      </c>
      <c r="D1358" s="11" t="s">
        <v>1304</v>
      </c>
      <c r="E1358" s="11" t="s">
        <v>1315</v>
      </c>
      <c r="F1358" s="12">
        <v>0</v>
      </c>
    </row>
    <row r="1359" spans="2:6" hidden="1" x14ac:dyDescent="0.2">
      <c r="B1359" s="4">
        <v>2014</v>
      </c>
      <c r="C1359" s="11" t="s">
        <v>1229</v>
      </c>
      <c r="D1359" s="11" t="s">
        <v>1304</v>
      </c>
      <c r="E1359" s="11" t="s">
        <v>1316</v>
      </c>
      <c r="F1359" s="12">
        <v>2</v>
      </c>
    </row>
    <row r="1360" spans="2:6" hidden="1" x14ac:dyDescent="0.2">
      <c r="B1360" s="4">
        <v>2014</v>
      </c>
      <c r="C1360" s="11" t="s">
        <v>1229</v>
      </c>
      <c r="D1360" s="11" t="s">
        <v>1304</v>
      </c>
      <c r="E1360" s="11" t="s">
        <v>1317</v>
      </c>
      <c r="F1360" s="12">
        <v>0</v>
      </c>
    </row>
    <row r="1361" spans="2:6" hidden="1" x14ac:dyDescent="0.2">
      <c r="B1361" s="4">
        <v>2014</v>
      </c>
      <c r="C1361" s="11" t="s">
        <v>1229</v>
      </c>
      <c r="D1361" s="11" t="s">
        <v>1304</v>
      </c>
      <c r="E1361" s="11" t="s">
        <v>363</v>
      </c>
      <c r="F1361" s="12">
        <v>15</v>
      </c>
    </row>
    <row r="1362" spans="2:6" hidden="1" x14ac:dyDescent="0.2">
      <c r="B1362" s="4">
        <v>2014</v>
      </c>
      <c r="C1362" s="11" t="s">
        <v>1229</v>
      </c>
      <c r="D1362" s="11" t="s">
        <v>1304</v>
      </c>
      <c r="E1362" s="11" t="s">
        <v>1318</v>
      </c>
      <c r="F1362" s="12">
        <v>2</v>
      </c>
    </row>
    <row r="1363" spans="2:6" hidden="1" x14ac:dyDescent="0.2">
      <c r="B1363" s="4">
        <v>2014</v>
      </c>
      <c r="C1363" s="11" t="s">
        <v>1229</v>
      </c>
      <c r="D1363" s="11" t="s">
        <v>1304</v>
      </c>
      <c r="E1363" s="11" t="s">
        <v>1319</v>
      </c>
      <c r="F1363" s="12">
        <v>0</v>
      </c>
    </row>
    <row r="1364" spans="2:6" hidden="1" x14ac:dyDescent="0.2">
      <c r="B1364" s="4">
        <v>2014</v>
      </c>
      <c r="C1364" s="11" t="s">
        <v>1229</v>
      </c>
      <c r="D1364" s="11" t="s">
        <v>1304</v>
      </c>
      <c r="E1364" s="11" t="s">
        <v>1320</v>
      </c>
      <c r="F1364" s="12">
        <v>0</v>
      </c>
    </row>
    <row r="1365" spans="2:6" hidden="1" x14ac:dyDescent="0.2">
      <c r="B1365" s="4">
        <v>2014</v>
      </c>
      <c r="C1365" s="11" t="s">
        <v>1229</v>
      </c>
      <c r="D1365" s="11" t="s">
        <v>1304</v>
      </c>
      <c r="E1365" s="11" t="s">
        <v>1321</v>
      </c>
      <c r="F1365" s="12">
        <v>3</v>
      </c>
    </row>
    <row r="1366" spans="2:6" hidden="1" x14ac:dyDescent="0.2">
      <c r="B1366" s="4">
        <v>2014</v>
      </c>
      <c r="C1366" s="11" t="s">
        <v>1229</v>
      </c>
      <c r="D1366" s="11" t="s">
        <v>1304</v>
      </c>
      <c r="E1366" s="11" t="s">
        <v>1322</v>
      </c>
      <c r="F1366" s="12">
        <v>0</v>
      </c>
    </row>
    <row r="1367" spans="2:6" hidden="1" x14ac:dyDescent="0.2">
      <c r="B1367" s="4">
        <v>2014</v>
      </c>
      <c r="C1367" s="11" t="s">
        <v>1229</v>
      </c>
      <c r="D1367" s="11" t="s">
        <v>1304</v>
      </c>
      <c r="E1367" s="11" t="s">
        <v>1323</v>
      </c>
      <c r="F1367" s="12">
        <v>0</v>
      </c>
    </row>
    <row r="1368" spans="2:6" hidden="1" x14ac:dyDescent="0.2">
      <c r="B1368" s="4">
        <v>2014</v>
      </c>
      <c r="C1368" s="11" t="s">
        <v>1229</v>
      </c>
      <c r="D1368" s="11" t="s">
        <v>1304</v>
      </c>
      <c r="E1368" s="11" t="s">
        <v>1324</v>
      </c>
      <c r="F1368" s="12">
        <v>0</v>
      </c>
    </row>
    <row r="1369" spans="2:6" hidden="1" x14ac:dyDescent="0.2">
      <c r="B1369" s="4">
        <v>2014</v>
      </c>
      <c r="C1369" s="11" t="s">
        <v>1229</v>
      </c>
      <c r="D1369" s="11" t="s">
        <v>1304</v>
      </c>
      <c r="E1369" s="11" t="s">
        <v>1325</v>
      </c>
      <c r="F1369" s="12">
        <v>2</v>
      </c>
    </row>
    <row r="1370" spans="2:6" hidden="1" x14ac:dyDescent="0.2">
      <c r="B1370" s="4">
        <v>2014</v>
      </c>
      <c r="C1370" s="11" t="s">
        <v>1229</v>
      </c>
      <c r="D1370" s="11" t="s">
        <v>1304</v>
      </c>
      <c r="E1370" s="11" t="s">
        <v>1326</v>
      </c>
      <c r="F1370" s="12">
        <v>0</v>
      </c>
    </row>
    <row r="1371" spans="2:6" hidden="1" x14ac:dyDescent="0.2">
      <c r="B1371" s="4">
        <v>2014</v>
      </c>
      <c r="C1371" s="11" t="s">
        <v>1229</v>
      </c>
      <c r="D1371" s="11" t="s">
        <v>1304</v>
      </c>
      <c r="E1371" s="11" t="s">
        <v>1327</v>
      </c>
      <c r="F1371" s="12">
        <v>0</v>
      </c>
    </row>
    <row r="1372" spans="2:6" hidden="1" x14ac:dyDescent="0.2">
      <c r="B1372" s="4">
        <v>2014</v>
      </c>
      <c r="C1372" s="11" t="s">
        <v>1229</v>
      </c>
      <c r="D1372" s="11" t="s">
        <v>1304</v>
      </c>
      <c r="E1372" s="11" t="s">
        <v>1328</v>
      </c>
      <c r="F1372" s="12">
        <v>4</v>
      </c>
    </row>
    <row r="1373" spans="2:6" hidden="1" x14ac:dyDescent="0.2">
      <c r="B1373" s="4">
        <v>2014</v>
      </c>
      <c r="C1373" s="11" t="s">
        <v>1229</v>
      </c>
      <c r="D1373" s="11" t="s">
        <v>1304</v>
      </c>
      <c r="E1373" s="11" t="s">
        <v>1329</v>
      </c>
      <c r="F1373" s="12">
        <v>4</v>
      </c>
    </row>
    <row r="1374" spans="2:6" hidden="1" x14ac:dyDescent="0.2">
      <c r="B1374" s="4">
        <v>2014</v>
      </c>
      <c r="C1374" s="11" t="s">
        <v>1229</v>
      </c>
      <c r="D1374" s="11" t="s">
        <v>1304</v>
      </c>
      <c r="E1374" s="11" t="s">
        <v>1330</v>
      </c>
      <c r="F1374" s="12">
        <v>0</v>
      </c>
    </row>
    <row r="1375" spans="2:6" hidden="1" x14ac:dyDescent="0.2">
      <c r="B1375" s="4">
        <v>2014</v>
      </c>
      <c r="C1375" s="11" t="s">
        <v>1229</v>
      </c>
      <c r="D1375" s="11" t="s">
        <v>1304</v>
      </c>
      <c r="E1375" s="11" t="s">
        <v>1331</v>
      </c>
      <c r="F1375" s="12">
        <v>0</v>
      </c>
    </row>
    <row r="1376" spans="2:6" hidden="1" x14ac:dyDescent="0.2">
      <c r="B1376" s="4">
        <v>2014</v>
      </c>
      <c r="C1376" s="11" t="s">
        <v>1229</v>
      </c>
      <c r="D1376" s="11" t="s">
        <v>1304</v>
      </c>
      <c r="E1376" s="11" t="s">
        <v>1332</v>
      </c>
      <c r="F1376" s="12">
        <v>2</v>
      </c>
    </row>
    <row r="1377" spans="2:6" hidden="1" x14ac:dyDescent="0.2">
      <c r="B1377" s="4">
        <v>2014</v>
      </c>
      <c r="C1377" s="11" t="s">
        <v>1229</v>
      </c>
      <c r="D1377" s="11" t="s">
        <v>1304</v>
      </c>
      <c r="E1377" s="11" t="s">
        <v>1333</v>
      </c>
      <c r="F1377" s="12">
        <v>0</v>
      </c>
    </row>
    <row r="1378" spans="2:6" hidden="1" x14ac:dyDescent="0.2">
      <c r="B1378" s="4">
        <v>2014</v>
      </c>
      <c r="C1378" s="11" t="s">
        <v>1229</v>
      </c>
      <c r="D1378" s="11" t="s">
        <v>1334</v>
      </c>
      <c r="E1378" s="11" t="s">
        <v>1335</v>
      </c>
      <c r="F1378" s="12">
        <v>150</v>
      </c>
    </row>
    <row r="1379" spans="2:6" hidden="1" x14ac:dyDescent="0.2">
      <c r="B1379" s="4">
        <v>2014</v>
      </c>
      <c r="C1379" s="11" t="s">
        <v>1229</v>
      </c>
      <c r="D1379" s="11" t="s">
        <v>1334</v>
      </c>
      <c r="E1379" s="11" t="s">
        <v>1336</v>
      </c>
      <c r="F1379" s="12">
        <v>5</v>
      </c>
    </row>
    <row r="1380" spans="2:6" hidden="1" x14ac:dyDescent="0.2">
      <c r="B1380" s="4">
        <v>2014</v>
      </c>
      <c r="C1380" s="11" t="s">
        <v>1229</v>
      </c>
      <c r="D1380" s="11" t="s">
        <v>1334</v>
      </c>
      <c r="E1380" s="11" t="s">
        <v>1337</v>
      </c>
      <c r="F1380" s="12">
        <v>0</v>
      </c>
    </row>
    <row r="1381" spans="2:6" hidden="1" x14ac:dyDescent="0.2">
      <c r="B1381" s="4">
        <v>2014</v>
      </c>
      <c r="C1381" s="11" t="s">
        <v>1229</v>
      </c>
      <c r="D1381" s="11" t="s">
        <v>1334</v>
      </c>
      <c r="E1381" s="11" t="s">
        <v>1338</v>
      </c>
      <c r="F1381" s="12">
        <v>0</v>
      </c>
    </row>
    <row r="1382" spans="2:6" hidden="1" x14ac:dyDescent="0.2">
      <c r="B1382" s="4">
        <v>2014</v>
      </c>
      <c r="C1382" s="11" t="s">
        <v>1229</v>
      </c>
      <c r="D1382" s="11" t="s">
        <v>1334</v>
      </c>
      <c r="E1382" s="11" t="s">
        <v>1339</v>
      </c>
      <c r="F1382" s="12">
        <v>8</v>
      </c>
    </row>
    <row r="1383" spans="2:6" hidden="1" x14ac:dyDescent="0.2">
      <c r="B1383" s="4">
        <v>2014</v>
      </c>
      <c r="C1383" s="11" t="s">
        <v>1229</v>
      </c>
      <c r="D1383" s="11" t="s">
        <v>1334</v>
      </c>
      <c r="E1383" s="11" t="s">
        <v>1334</v>
      </c>
      <c r="F1383" s="12">
        <v>24</v>
      </c>
    </row>
    <row r="1384" spans="2:6" hidden="1" x14ac:dyDescent="0.2">
      <c r="B1384" s="4">
        <v>2014</v>
      </c>
      <c r="C1384" s="11" t="s">
        <v>1229</v>
      </c>
      <c r="D1384" s="11" t="s">
        <v>1334</v>
      </c>
      <c r="E1384" s="11" t="s">
        <v>530</v>
      </c>
      <c r="F1384" s="12">
        <v>0</v>
      </c>
    </row>
    <row r="1385" spans="2:6" hidden="1" x14ac:dyDescent="0.2">
      <c r="B1385" s="4">
        <v>2014</v>
      </c>
      <c r="C1385" s="11" t="s">
        <v>1229</v>
      </c>
      <c r="D1385" s="11" t="s">
        <v>1334</v>
      </c>
      <c r="E1385" s="11" t="s">
        <v>1340</v>
      </c>
      <c r="F1385" s="12">
        <v>0</v>
      </c>
    </row>
    <row r="1386" spans="2:6" hidden="1" x14ac:dyDescent="0.2">
      <c r="B1386" s="4">
        <v>2014</v>
      </c>
      <c r="C1386" s="11" t="s">
        <v>1229</v>
      </c>
      <c r="D1386" s="11" t="s">
        <v>1334</v>
      </c>
      <c r="E1386" s="11" t="s">
        <v>1341</v>
      </c>
      <c r="F1386" s="12">
        <v>0</v>
      </c>
    </row>
    <row r="1387" spans="2:6" hidden="1" x14ac:dyDescent="0.2">
      <c r="B1387" s="4">
        <v>2014</v>
      </c>
      <c r="C1387" s="11" t="s">
        <v>1229</v>
      </c>
      <c r="D1387" s="11" t="s">
        <v>1334</v>
      </c>
      <c r="E1387" s="11" t="s">
        <v>1342</v>
      </c>
      <c r="F1387" s="12">
        <v>32</v>
      </c>
    </row>
    <row r="1388" spans="2:6" hidden="1" x14ac:dyDescent="0.2">
      <c r="B1388" s="4">
        <v>2014</v>
      </c>
      <c r="C1388" s="11" t="s">
        <v>1229</v>
      </c>
      <c r="D1388" s="11" t="s">
        <v>1334</v>
      </c>
      <c r="E1388" s="11" t="s">
        <v>1343</v>
      </c>
      <c r="F1388" s="12">
        <v>18</v>
      </c>
    </row>
    <row r="1389" spans="2:6" hidden="1" x14ac:dyDescent="0.2">
      <c r="B1389" s="4">
        <v>2014</v>
      </c>
      <c r="C1389" s="11" t="s">
        <v>1229</v>
      </c>
      <c r="D1389" s="11" t="s">
        <v>1334</v>
      </c>
      <c r="E1389" s="11" t="s">
        <v>1344</v>
      </c>
      <c r="F1389" s="12">
        <v>2</v>
      </c>
    </row>
    <row r="1390" spans="2:6" hidden="1" x14ac:dyDescent="0.2">
      <c r="B1390" s="4">
        <v>2014</v>
      </c>
      <c r="C1390" s="11" t="s">
        <v>1229</v>
      </c>
      <c r="D1390" s="11" t="s">
        <v>1345</v>
      </c>
      <c r="E1390" s="11" t="s">
        <v>1345</v>
      </c>
      <c r="F1390" s="12">
        <v>1</v>
      </c>
    </row>
    <row r="1391" spans="2:6" hidden="1" x14ac:dyDescent="0.2">
      <c r="B1391" s="4">
        <v>2014</v>
      </c>
      <c r="C1391" s="11" t="s">
        <v>1229</v>
      </c>
      <c r="D1391" s="11" t="s">
        <v>1345</v>
      </c>
      <c r="E1391" s="11" t="s">
        <v>1346</v>
      </c>
      <c r="F1391" s="12">
        <v>0</v>
      </c>
    </row>
    <row r="1392" spans="2:6" hidden="1" x14ac:dyDescent="0.2">
      <c r="B1392" s="4">
        <v>2014</v>
      </c>
      <c r="C1392" s="11" t="s">
        <v>1229</v>
      </c>
      <c r="D1392" s="11" t="s">
        <v>1345</v>
      </c>
      <c r="E1392" s="11" t="s">
        <v>1347</v>
      </c>
      <c r="F1392" s="12">
        <v>0</v>
      </c>
    </row>
    <row r="1393" spans="2:6" hidden="1" x14ac:dyDescent="0.2">
      <c r="B1393" s="4">
        <v>2014</v>
      </c>
      <c r="C1393" s="11" t="s">
        <v>1229</v>
      </c>
      <c r="D1393" s="11" t="s">
        <v>1345</v>
      </c>
      <c r="E1393" s="11" t="s">
        <v>1348</v>
      </c>
      <c r="F1393" s="12">
        <v>0</v>
      </c>
    </row>
    <row r="1394" spans="2:6" hidden="1" x14ac:dyDescent="0.2">
      <c r="B1394" s="4">
        <v>2014</v>
      </c>
      <c r="C1394" s="11" t="s">
        <v>1229</v>
      </c>
      <c r="D1394" s="11" t="s">
        <v>1345</v>
      </c>
      <c r="E1394" s="11" t="s">
        <v>1349</v>
      </c>
      <c r="F1394" s="12">
        <v>0</v>
      </c>
    </row>
    <row r="1395" spans="2:6" hidden="1" x14ac:dyDescent="0.2">
      <c r="B1395" s="4">
        <v>2014</v>
      </c>
      <c r="C1395" s="11" t="s">
        <v>1229</v>
      </c>
      <c r="D1395" s="11" t="s">
        <v>1345</v>
      </c>
      <c r="E1395" s="11" t="s">
        <v>1350</v>
      </c>
      <c r="F1395" s="12">
        <v>3</v>
      </c>
    </row>
    <row r="1396" spans="2:6" hidden="1" x14ac:dyDescent="0.2">
      <c r="B1396" s="4">
        <v>2014</v>
      </c>
      <c r="C1396" s="11" t="s">
        <v>1229</v>
      </c>
      <c r="D1396" s="11" t="s">
        <v>1082</v>
      </c>
      <c r="E1396" s="11" t="s">
        <v>1082</v>
      </c>
      <c r="F1396" s="12">
        <v>0</v>
      </c>
    </row>
    <row r="1397" spans="2:6" hidden="1" x14ac:dyDescent="0.2">
      <c r="B1397" s="4">
        <v>2014</v>
      </c>
      <c r="C1397" s="11" t="s">
        <v>1229</v>
      </c>
      <c r="D1397" s="11" t="s">
        <v>1082</v>
      </c>
      <c r="E1397" s="11" t="s">
        <v>1351</v>
      </c>
      <c r="F1397" s="12">
        <v>0</v>
      </c>
    </row>
    <row r="1398" spans="2:6" hidden="1" x14ac:dyDescent="0.2">
      <c r="B1398" s="4">
        <v>2014</v>
      </c>
      <c r="C1398" s="11" t="s">
        <v>1229</v>
      </c>
      <c r="D1398" s="11" t="s">
        <v>1082</v>
      </c>
      <c r="E1398" s="11" t="s">
        <v>1352</v>
      </c>
      <c r="F1398" s="12">
        <v>5</v>
      </c>
    </row>
    <row r="1399" spans="2:6" hidden="1" x14ac:dyDescent="0.2">
      <c r="B1399" s="4">
        <v>2014</v>
      </c>
      <c r="C1399" s="11" t="s">
        <v>1229</v>
      </c>
      <c r="D1399" s="11" t="s">
        <v>1082</v>
      </c>
      <c r="E1399" s="11" t="s">
        <v>1353</v>
      </c>
      <c r="F1399" s="12">
        <v>0</v>
      </c>
    </row>
    <row r="1400" spans="2:6" hidden="1" x14ac:dyDescent="0.2">
      <c r="B1400" s="4">
        <v>2014</v>
      </c>
      <c r="C1400" s="11" t="s">
        <v>1229</v>
      </c>
      <c r="D1400" s="11" t="s">
        <v>1082</v>
      </c>
      <c r="E1400" s="11" t="s">
        <v>1354</v>
      </c>
      <c r="F1400" s="12">
        <v>0</v>
      </c>
    </row>
    <row r="1401" spans="2:6" hidden="1" x14ac:dyDescent="0.2">
      <c r="B1401" s="4">
        <v>2014</v>
      </c>
      <c r="C1401" s="11" t="s">
        <v>1229</v>
      </c>
      <c r="D1401" s="11" t="s">
        <v>1082</v>
      </c>
      <c r="E1401" s="11" t="s">
        <v>1355</v>
      </c>
      <c r="F1401" s="12">
        <v>0</v>
      </c>
    </row>
    <row r="1402" spans="2:6" hidden="1" x14ac:dyDescent="0.2">
      <c r="B1402" s="4">
        <v>2014</v>
      </c>
      <c r="C1402" s="11" t="s">
        <v>1229</v>
      </c>
      <c r="D1402" s="11" t="s">
        <v>1082</v>
      </c>
      <c r="E1402" s="11" t="s">
        <v>1356</v>
      </c>
      <c r="F1402" s="12">
        <v>0</v>
      </c>
    </row>
    <row r="1403" spans="2:6" hidden="1" x14ac:dyDescent="0.2">
      <c r="B1403" s="4">
        <v>2014</v>
      </c>
      <c r="C1403" s="11" t="s">
        <v>1229</v>
      </c>
      <c r="D1403" s="11" t="s">
        <v>1082</v>
      </c>
      <c r="E1403" s="11" t="s">
        <v>1357</v>
      </c>
      <c r="F1403" s="12">
        <v>0</v>
      </c>
    </row>
    <row r="1404" spans="2:6" hidden="1" x14ac:dyDescent="0.2">
      <c r="B1404" s="4">
        <v>2014</v>
      </c>
      <c r="C1404" s="11" t="s">
        <v>1229</v>
      </c>
      <c r="D1404" s="11" t="s">
        <v>1082</v>
      </c>
      <c r="E1404" s="11" t="s">
        <v>1358</v>
      </c>
      <c r="F1404" s="12">
        <v>0</v>
      </c>
    </row>
    <row r="1405" spans="2:6" hidden="1" x14ac:dyDescent="0.2">
      <c r="B1405" s="4">
        <v>2014</v>
      </c>
      <c r="C1405" s="11" t="s">
        <v>1229</v>
      </c>
      <c r="D1405" s="11" t="s">
        <v>1082</v>
      </c>
      <c r="E1405" s="11" t="s">
        <v>233</v>
      </c>
      <c r="F1405" s="12">
        <v>0</v>
      </c>
    </row>
    <row r="1406" spans="2:6" hidden="1" x14ac:dyDescent="0.2">
      <c r="B1406" s="4">
        <v>2014</v>
      </c>
      <c r="C1406" s="11" t="s">
        <v>1229</v>
      </c>
      <c r="D1406" s="11" t="s">
        <v>1082</v>
      </c>
      <c r="E1406" s="11" t="s">
        <v>1359</v>
      </c>
      <c r="F1406" s="12">
        <v>0</v>
      </c>
    </row>
    <row r="1407" spans="2:6" hidden="1" x14ac:dyDescent="0.2">
      <c r="B1407" s="4">
        <v>2014</v>
      </c>
      <c r="C1407" s="11" t="s">
        <v>1229</v>
      </c>
      <c r="D1407" s="11" t="s">
        <v>1082</v>
      </c>
      <c r="E1407" s="11" t="s">
        <v>1360</v>
      </c>
      <c r="F1407" s="12">
        <v>0</v>
      </c>
    </row>
    <row r="1408" spans="2:6" hidden="1" x14ac:dyDescent="0.2">
      <c r="B1408" s="4">
        <v>2014</v>
      </c>
      <c r="C1408" s="11" t="s">
        <v>1229</v>
      </c>
      <c r="D1408" s="11" t="s">
        <v>1082</v>
      </c>
      <c r="E1408" s="11" t="s">
        <v>1361</v>
      </c>
      <c r="F1408" s="12">
        <v>0</v>
      </c>
    </row>
    <row r="1409" spans="2:6" hidden="1" x14ac:dyDescent="0.2">
      <c r="B1409" s="4">
        <v>2014</v>
      </c>
      <c r="C1409" s="11" t="s">
        <v>1229</v>
      </c>
      <c r="D1409" s="11" t="s">
        <v>1082</v>
      </c>
      <c r="E1409" s="11" t="s">
        <v>1362</v>
      </c>
      <c r="F1409" s="12">
        <v>0</v>
      </c>
    </row>
    <row r="1410" spans="2:6" hidden="1" x14ac:dyDescent="0.2">
      <c r="B1410" s="4">
        <v>2014</v>
      </c>
      <c r="C1410" s="11" t="s">
        <v>1229</v>
      </c>
      <c r="D1410" s="11" t="s">
        <v>1082</v>
      </c>
      <c r="E1410" s="11" t="s">
        <v>1363</v>
      </c>
      <c r="F1410" s="12">
        <v>0</v>
      </c>
    </row>
    <row r="1411" spans="2:6" hidden="1" x14ac:dyDescent="0.2">
      <c r="B1411" s="4">
        <v>2014</v>
      </c>
      <c r="C1411" s="11" t="s">
        <v>1229</v>
      </c>
      <c r="D1411" s="11" t="s">
        <v>1082</v>
      </c>
      <c r="E1411" s="11" t="s">
        <v>1364</v>
      </c>
      <c r="F1411" s="12">
        <v>0</v>
      </c>
    </row>
    <row r="1412" spans="2:6" hidden="1" x14ac:dyDescent="0.2">
      <c r="B1412" s="4">
        <v>2014</v>
      </c>
      <c r="C1412" s="11" t="s">
        <v>1229</v>
      </c>
      <c r="D1412" s="11" t="s">
        <v>1082</v>
      </c>
      <c r="E1412" s="11" t="s">
        <v>1365</v>
      </c>
      <c r="F1412" s="12">
        <v>0</v>
      </c>
    </row>
    <row r="1413" spans="2:6" hidden="1" x14ac:dyDescent="0.2">
      <c r="B1413" s="4">
        <v>2014</v>
      </c>
      <c r="C1413" s="11" t="s">
        <v>1229</v>
      </c>
      <c r="D1413" s="11" t="s">
        <v>1082</v>
      </c>
      <c r="E1413" s="11" t="s">
        <v>1314</v>
      </c>
      <c r="F1413" s="12">
        <v>0</v>
      </c>
    </row>
    <row r="1414" spans="2:6" hidden="1" x14ac:dyDescent="0.2">
      <c r="B1414" s="4">
        <v>2014</v>
      </c>
      <c r="C1414" s="11" t="s">
        <v>1229</v>
      </c>
      <c r="D1414" s="11" t="s">
        <v>1082</v>
      </c>
      <c r="E1414" s="11" t="s">
        <v>1366</v>
      </c>
      <c r="F1414" s="12">
        <v>0</v>
      </c>
    </row>
    <row r="1415" spans="2:6" hidden="1" x14ac:dyDescent="0.2">
      <c r="B1415" s="4">
        <v>2014</v>
      </c>
      <c r="C1415" s="11" t="s">
        <v>1229</v>
      </c>
      <c r="D1415" s="11" t="s">
        <v>1082</v>
      </c>
      <c r="E1415" s="11" t="s">
        <v>1367</v>
      </c>
      <c r="F1415" s="12">
        <v>0</v>
      </c>
    </row>
    <row r="1416" spans="2:6" hidden="1" x14ac:dyDescent="0.2">
      <c r="B1416" s="4">
        <v>2014</v>
      </c>
      <c r="C1416" s="11" t="s">
        <v>1229</v>
      </c>
      <c r="D1416" s="11" t="s">
        <v>1082</v>
      </c>
      <c r="E1416" s="11" t="s">
        <v>377</v>
      </c>
      <c r="F1416" s="12">
        <v>0</v>
      </c>
    </row>
    <row r="1417" spans="2:6" hidden="1" x14ac:dyDescent="0.2">
      <c r="B1417" s="4">
        <v>2014</v>
      </c>
      <c r="C1417" s="11" t="s">
        <v>1229</v>
      </c>
      <c r="D1417" s="11" t="s">
        <v>1082</v>
      </c>
      <c r="E1417" s="11" t="s">
        <v>1368</v>
      </c>
      <c r="F1417" s="12">
        <v>0</v>
      </c>
    </row>
    <row r="1418" spans="2:6" hidden="1" x14ac:dyDescent="0.2">
      <c r="B1418" s="4">
        <v>2014</v>
      </c>
      <c r="C1418" s="11" t="s">
        <v>1229</v>
      </c>
      <c r="D1418" s="11" t="s">
        <v>1082</v>
      </c>
      <c r="E1418" s="11" t="s">
        <v>1369</v>
      </c>
      <c r="F1418" s="12">
        <v>0</v>
      </c>
    </row>
    <row r="1419" spans="2:6" hidden="1" x14ac:dyDescent="0.2">
      <c r="B1419" s="4">
        <v>2014</v>
      </c>
      <c r="C1419" s="11" t="s">
        <v>1229</v>
      </c>
      <c r="D1419" s="11" t="s">
        <v>1082</v>
      </c>
      <c r="E1419" s="11" t="s">
        <v>1370</v>
      </c>
      <c r="F1419" s="12">
        <v>0</v>
      </c>
    </row>
    <row r="1420" spans="2:6" hidden="1" x14ac:dyDescent="0.2">
      <c r="B1420" s="4">
        <v>2014</v>
      </c>
      <c r="C1420" s="11" t="s">
        <v>1229</v>
      </c>
      <c r="D1420" s="11" t="s">
        <v>1082</v>
      </c>
      <c r="E1420" s="11" t="s">
        <v>1371</v>
      </c>
      <c r="F1420" s="12">
        <v>0</v>
      </c>
    </row>
    <row r="1421" spans="2:6" hidden="1" x14ac:dyDescent="0.2">
      <c r="B1421" s="4">
        <v>2014</v>
      </c>
      <c r="C1421" s="11" t="s">
        <v>1229</v>
      </c>
      <c r="D1421" s="11" t="s">
        <v>1082</v>
      </c>
      <c r="E1421" s="11" t="s">
        <v>1372</v>
      </c>
      <c r="F1421" s="12">
        <v>0</v>
      </c>
    </row>
    <row r="1422" spans="2:6" hidden="1" x14ac:dyDescent="0.2">
      <c r="B1422" s="4">
        <v>2014</v>
      </c>
      <c r="C1422" s="11" t="s">
        <v>1229</v>
      </c>
      <c r="D1422" s="11" t="s">
        <v>1082</v>
      </c>
      <c r="E1422" s="11" t="s">
        <v>1373</v>
      </c>
      <c r="F1422" s="12">
        <v>0</v>
      </c>
    </row>
    <row r="1423" spans="2:6" hidden="1" x14ac:dyDescent="0.2">
      <c r="B1423" s="4">
        <v>2014</v>
      </c>
      <c r="C1423" s="11" t="s">
        <v>1229</v>
      </c>
      <c r="D1423" s="11" t="s">
        <v>1082</v>
      </c>
      <c r="E1423" s="11" t="s">
        <v>1374</v>
      </c>
      <c r="F1423" s="12">
        <v>6</v>
      </c>
    </row>
    <row r="1424" spans="2:6" hidden="1" x14ac:dyDescent="0.2">
      <c r="B1424" s="4">
        <v>2014</v>
      </c>
      <c r="C1424" s="11" t="s">
        <v>1229</v>
      </c>
      <c r="D1424" s="11" t="s">
        <v>1082</v>
      </c>
      <c r="E1424" s="11" t="s">
        <v>1375</v>
      </c>
      <c r="F1424" s="12">
        <v>0</v>
      </c>
    </row>
    <row r="1425" spans="2:13" hidden="1" x14ac:dyDescent="0.2">
      <c r="B1425" s="4">
        <v>2014</v>
      </c>
      <c r="C1425" s="11" t="s">
        <v>1229</v>
      </c>
      <c r="D1425" s="11" t="s">
        <v>1082</v>
      </c>
      <c r="E1425" s="11" t="s">
        <v>1376</v>
      </c>
      <c r="F1425" s="12">
        <v>0</v>
      </c>
    </row>
    <row r="1426" spans="2:13" hidden="1" x14ac:dyDescent="0.2">
      <c r="B1426" s="4">
        <v>2014</v>
      </c>
      <c r="C1426" s="11" t="s">
        <v>1229</v>
      </c>
      <c r="D1426" s="11" t="s">
        <v>1082</v>
      </c>
      <c r="E1426" s="11" t="s">
        <v>1377</v>
      </c>
      <c r="F1426" s="12">
        <v>0</v>
      </c>
    </row>
    <row r="1427" spans="2:13" hidden="1" x14ac:dyDescent="0.2">
      <c r="B1427" s="4">
        <v>2014</v>
      </c>
      <c r="C1427" s="11" t="s">
        <v>1229</v>
      </c>
      <c r="D1427" s="11" t="s">
        <v>1082</v>
      </c>
      <c r="E1427" s="11" t="s">
        <v>1378</v>
      </c>
      <c r="F1427" s="12">
        <v>0</v>
      </c>
    </row>
    <row r="1428" spans="2:13" hidden="1" x14ac:dyDescent="0.2">
      <c r="B1428" s="4">
        <v>2014</v>
      </c>
      <c r="C1428" s="11" t="s">
        <v>1229</v>
      </c>
      <c r="D1428" s="11" t="s">
        <v>1082</v>
      </c>
      <c r="E1428" s="11" t="s">
        <v>1379</v>
      </c>
      <c r="F1428" s="12">
        <v>0</v>
      </c>
    </row>
    <row r="1429" spans="2:13" x14ac:dyDescent="0.2">
      <c r="B1429" s="4">
        <v>2014</v>
      </c>
      <c r="C1429" s="11" t="s">
        <v>1380</v>
      </c>
      <c r="D1429" s="11" t="s">
        <v>1381</v>
      </c>
      <c r="E1429" s="11" t="s">
        <v>0</v>
      </c>
      <c r="F1429" s="12">
        <v>67</v>
      </c>
      <c r="L1429">
        <v>972</v>
      </c>
      <c r="M1429" s="6">
        <f>+(L1429-L1436)/L1436</f>
        <v>-0.13982300884955753</v>
      </c>
    </row>
    <row r="1430" spans="2:13" hidden="1" x14ac:dyDescent="0.2">
      <c r="B1430" s="4">
        <v>2014</v>
      </c>
      <c r="C1430" s="11" t="s">
        <v>1380</v>
      </c>
      <c r="D1430" s="11" t="s">
        <v>1381</v>
      </c>
      <c r="E1430" s="11" t="s">
        <v>1382</v>
      </c>
      <c r="F1430" s="12">
        <v>0</v>
      </c>
    </row>
    <row r="1431" spans="2:13" hidden="1" x14ac:dyDescent="0.2">
      <c r="B1431" s="4">
        <v>2014</v>
      </c>
      <c r="C1431" s="11" t="s">
        <v>1380</v>
      </c>
      <c r="D1431" s="11" t="s">
        <v>1381</v>
      </c>
      <c r="E1431" s="11" t="s">
        <v>1383</v>
      </c>
      <c r="F1431" s="12">
        <v>1</v>
      </c>
    </row>
    <row r="1432" spans="2:13" hidden="1" x14ac:dyDescent="0.2">
      <c r="B1432" s="4">
        <v>2014</v>
      </c>
      <c r="C1432" s="11" t="s">
        <v>1380</v>
      </c>
      <c r="D1432" s="11" t="s">
        <v>1381</v>
      </c>
      <c r="E1432" s="11" t="s">
        <v>1384</v>
      </c>
      <c r="F1432" s="12">
        <v>0</v>
      </c>
    </row>
    <row r="1433" spans="2:13" hidden="1" x14ac:dyDescent="0.2">
      <c r="B1433" s="4">
        <v>2014</v>
      </c>
      <c r="C1433" s="11" t="s">
        <v>1380</v>
      </c>
      <c r="D1433" s="11" t="s">
        <v>1381</v>
      </c>
      <c r="E1433" s="11" t="s">
        <v>1385</v>
      </c>
      <c r="F1433" s="12">
        <v>0</v>
      </c>
    </row>
    <row r="1434" spans="2:13" hidden="1" x14ac:dyDescent="0.2">
      <c r="B1434" s="4">
        <v>2014</v>
      </c>
      <c r="C1434" s="11" t="s">
        <v>1380</v>
      </c>
      <c r="D1434" s="11" t="s">
        <v>1381</v>
      </c>
      <c r="E1434" s="11" t="s">
        <v>1386</v>
      </c>
      <c r="F1434" s="12">
        <v>3</v>
      </c>
    </row>
    <row r="1435" spans="2:13" hidden="1" x14ac:dyDescent="0.2">
      <c r="B1435" s="4">
        <v>2014</v>
      </c>
      <c r="C1435" s="11" t="s">
        <v>1380</v>
      </c>
      <c r="D1435" s="11" t="s">
        <v>1381</v>
      </c>
      <c r="E1435" s="11" t="s">
        <v>1387</v>
      </c>
      <c r="F1435" s="12">
        <v>2</v>
      </c>
    </row>
    <row r="1436" spans="2:13" x14ac:dyDescent="0.2">
      <c r="B1436" s="4">
        <v>2014</v>
      </c>
      <c r="C1436" s="11" t="s">
        <v>1380</v>
      </c>
      <c r="D1436" s="11" t="s">
        <v>1381</v>
      </c>
      <c r="E1436" s="11" t="s">
        <v>1</v>
      </c>
      <c r="F1436" s="12">
        <v>6</v>
      </c>
      <c r="L1436">
        <v>1130</v>
      </c>
      <c r="M1436" s="6">
        <f>+(L1436-L1438)/L1438</f>
        <v>0.14256825075834176</v>
      </c>
    </row>
    <row r="1437" spans="2:13" hidden="1" x14ac:dyDescent="0.2">
      <c r="B1437" s="4">
        <v>2014</v>
      </c>
      <c r="C1437" s="11" t="s">
        <v>1380</v>
      </c>
      <c r="D1437" s="11" t="s">
        <v>1381</v>
      </c>
      <c r="E1437" s="11" t="s">
        <v>1388</v>
      </c>
      <c r="F1437" s="12">
        <v>0</v>
      </c>
    </row>
    <row r="1438" spans="2:13" x14ac:dyDescent="0.2">
      <c r="B1438" s="4">
        <v>2014</v>
      </c>
      <c r="C1438" s="11" t="s">
        <v>1380</v>
      </c>
      <c r="D1438" s="11" t="s">
        <v>1381</v>
      </c>
      <c r="E1438" s="11" t="s">
        <v>2</v>
      </c>
      <c r="F1438" s="12">
        <v>9</v>
      </c>
      <c r="L1438">
        <v>989</v>
      </c>
    </row>
    <row r="1439" spans="2:13" x14ac:dyDescent="0.2">
      <c r="B1439" s="4">
        <v>2014</v>
      </c>
      <c r="C1439" s="11" t="s">
        <v>1380</v>
      </c>
      <c r="D1439" s="11" t="s">
        <v>1381</v>
      </c>
      <c r="E1439" s="11" t="s">
        <v>3</v>
      </c>
      <c r="F1439" s="12">
        <v>10</v>
      </c>
    </row>
    <row r="1440" spans="2:13" hidden="1" x14ac:dyDescent="0.2">
      <c r="B1440" s="4">
        <v>2014</v>
      </c>
      <c r="C1440" s="11" t="s">
        <v>1380</v>
      </c>
      <c r="D1440" s="11" t="s">
        <v>1389</v>
      </c>
      <c r="E1440" s="11" t="s">
        <v>1390</v>
      </c>
      <c r="F1440" s="12">
        <v>11</v>
      </c>
    </row>
    <row r="1441" spans="2:6" hidden="1" x14ac:dyDescent="0.2">
      <c r="B1441" s="4">
        <v>2014</v>
      </c>
      <c r="C1441" s="11" t="s">
        <v>1380</v>
      </c>
      <c r="D1441" s="11" t="s">
        <v>1389</v>
      </c>
      <c r="E1441" s="11" t="s">
        <v>1391</v>
      </c>
      <c r="F1441" s="12">
        <v>0</v>
      </c>
    </row>
    <row r="1442" spans="2:6" hidden="1" x14ac:dyDescent="0.2">
      <c r="B1442" s="4">
        <v>2014</v>
      </c>
      <c r="C1442" s="11" t="s">
        <v>1380</v>
      </c>
      <c r="D1442" s="11" t="s">
        <v>1389</v>
      </c>
      <c r="E1442" s="11" t="s">
        <v>1392</v>
      </c>
      <c r="F1442" s="12">
        <v>0</v>
      </c>
    </row>
    <row r="1443" spans="2:6" hidden="1" x14ac:dyDescent="0.2">
      <c r="B1443" s="4">
        <v>2014</v>
      </c>
      <c r="C1443" s="11" t="s">
        <v>1380</v>
      </c>
      <c r="D1443" s="11" t="s">
        <v>1389</v>
      </c>
      <c r="E1443" s="11" t="s">
        <v>1202</v>
      </c>
      <c r="F1443" s="12">
        <v>2</v>
      </c>
    </row>
    <row r="1444" spans="2:6" hidden="1" x14ac:dyDescent="0.2">
      <c r="B1444" s="4">
        <v>2014</v>
      </c>
      <c r="C1444" s="11" t="s">
        <v>1380</v>
      </c>
      <c r="D1444" s="11" t="s">
        <v>1389</v>
      </c>
      <c r="E1444" s="11" t="s">
        <v>217</v>
      </c>
      <c r="F1444" s="12">
        <v>0</v>
      </c>
    </row>
    <row r="1445" spans="2:6" hidden="1" x14ac:dyDescent="0.2">
      <c r="B1445" s="4">
        <v>2014</v>
      </c>
      <c r="C1445" s="11" t="s">
        <v>1380</v>
      </c>
      <c r="D1445" s="11" t="s">
        <v>1389</v>
      </c>
      <c r="E1445" s="11" t="s">
        <v>1393</v>
      </c>
      <c r="F1445" s="12">
        <v>0</v>
      </c>
    </row>
    <row r="1446" spans="2:6" hidden="1" x14ac:dyDescent="0.2">
      <c r="B1446" s="4">
        <v>2014</v>
      </c>
      <c r="C1446" s="11" t="s">
        <v>1380</v>
      </c>
      <c r="D1446" s="11" t="s">
        <v>1380</v>
      </c>
      <c r="E1446" s="11" t="s">
        <v>1394</v>
      </c>
      <c r="F1446" s="12">
        <v>0</v>
      </c>
    </row>
    <row r="1447" spans="2:6" hidden="1" x14ac:dyDescent="0.2">
      <c r="B1447" s="4">
        <v>2014</v>
      </c>
      <c r="C1447" s="11" t="s">
        <v>1380</v>
      </c>
      <c r="D1447" s="11" t="s">
        <v>1380</v>
      </c>
      <c r="E1447" s="11" t="s">
        <v>1395</v>
      </c>
      <c r="F1447" s="12">
        <v>0</v>
      </c>
    </row>
    <row r="1448" spans="2:6" hidden="1" x14ac:dyDescent="0.2">
      <c r="B1448" s="4">
        <v>2014</v>
      </c>
      <c r="C1448" s="11" t="s">
        <v>1380</v>
      </c>
      <c r="D1448" s="11" t="s">
        <v>1380</v>
      </c>
      <c r="E1448" s="11" t="s">
        <v>1396</v>
      </c>
      <c r="F1448" s="12">
        <v>0</v>
      </c>
    </row>
    <row r="1449" spans="2:6" hidden="1" x14ac:dyDescent="0.2">
      <c r="B1449" s="4">
        <v>2014</v>
      </c>
      <c r="C1449" s="11" t="s">
        <v>1380</v>
      </c>
      <c r="D1449" s="11" t="s">
        <v>1380</v>
      </c>
      <c r="E1449" s="11" t="s">
        <v>1397</v>
      </c>
      <c r="F1449" s="12">
        <v>1</v>
      </c>
    </row>
    <row r="1450" spans="2:6" hidden="1" x14ac:dyDescent="0.2">
      <c r="B1450" s="4">
        <v>2014</v>
      </c>
      <c r="C1450" s="11" t="s">
        <v>1380</v>
      </c>
      <c r="D1450" s="11" t="s">
        <v>1380</v>
      </c>
      <c r="E1450" s="11" t="s">
        <v>1398</v>
      </c>
      <c r="F1450" s="12">
        <v>3</v>
      </c>
    </row>
    <row r="1451" spans="2:6" hidden="1" x14ac:dyDescent="0.2">
      <c r="B1451" s="4">
        <v>2014</v>
      </c>
      <c r="C1451" s="11" t="s">
        <v>1380</v>
      </c>
      <c r="D1451" s="11" t="s">
        <v>1399</v>
      </c>
      <c r="E1451" s="11" t="s">
        <v>1400</v>
      </c>
      <c r="F1451" s="12">
        <v>2</v>
      </c>
    </row>
    <row r="1452" spans="2:6" hidden="1" x14ac:dyDescent="0.2">
      <c r="B1452" s="4">
        <v>2014</v>
      </c>
      <c r="C1452" s="11" t="s">
        <v>1380</v>
      </c>
      <c r="D1452" s="11" t="s">
        <v>1399</v>
      </c>
      <c r="E1452" s="11" t="s">
        <v>1401</v>
      </c>
      <c r="F1452" s="12">
        <v>0</v>
      </c>
    </row>
    <row r="1453" spans="2:6" hidden="1" x14ac:dyDescent="0.2">
      <c r="B1453" s="4">
        <v>2014</v>
      </c>
      <c r="C1453" s="11" t="s">
        <v>1380</v>
      </c>
      <c r="D1453" s="11" t="s">
        <v>1399</v>
      </c>
      <c r="E1453" s="11" t="s">
        <v>1402</v>
      </c>
      <c r="F1453" s="12">
        <v>0</v>
      </c>
    </row>
    <row r="1454" spans="2:6" hidden="1" x14ac:dyDescent="0.2">
      <c r="B1454" s="4">
        <v>2014</v>
      </c>
      <c r="C1454" s="11" t="s">
        <v>1380</v>
      </c>
      <c r="D1454" s="11" t="s">
        <v>1399</v>
      </c>
      <c r="E1454" s="11" t="s">
        <v>691</v>
      </c>
      <c r="F1454" s="12">
        <v>0</v>
      </c>
    </row>
    <row r="1455" spans="2:6" hidden="1" x14ac:dyDescent="0.2">
      <c r="B1455" s="4">
        <v>2014</v>
      </c>
      <c r="C1455" s="11" t="s">
        <v>1380</v>
      </c>
      <c r="D1455" s="11" t="s">
        <v>1403</v>
      </c>
      <c r="E1455" s="11" t="s">
        <v>1403</v>
      </c>
      <c r="F1455" s="12">
        <v>12</v>
      </c>
    </row>
    <row r="1456" spans="2:6" hidden="1" x14ac:dyDescent="0.2">
      <c r="B1456" s="4">
        <v>2014</v>
      </c>
      <c r="C1456" s="11" t="s">
        <v>1380</v>
      </c>
      <c r="D1456" s="11" t="s">
        <v>1403</v>
      </c>
      <c r="E1456" s="11" t="s">
        <v>1404</v>
      </c>
      <c r="F1456" s="12">
        <v>0</v>
      </c>
    </row>
    <row r="1457" spans="2:6" hidden="1" x14ac:dyDescent="0.2">
      <c r="B1457" s="4">
        <v>2014</v>
      </c>
      <c r="C1457" s="11" t="s">
        <v>1380</v>
      </c>
      <c r="D1457" s="11" t="s">
        <v>1403</v>
      </c>
      <c r="E1457" s="11" t="s">
        <v>1405</v>
      </c>
      <c r="F1457" s="12">
        <v>0</v>
      </c>
    </row>
    <row r="1458" spans="2:6" hidden="1" x14ac:dyDescent="0.2">
      <c r="B1458" s="4">
        <v>2014</v>
      </c>
      <c r="C1458" s="11" t="s">
        <v>1380</v>
      </c>
      <c r="D1458" s="11" t="s">
        <v>1403</v>
      </c>
      <c r="E1458" s="11" t="s">
        <v>1406</v>
      </c>
      <c r="F1458" s="12">
        <v>0</v>
      </c>
    </row>
    <row r="1459" spans="2:6" hidden="1" x14ac:dyDescent="0.2">
      <c r="B1459" s="4">
        <v>2014</v>
      </c>
      <c r="C1459" s="11" t="s">
        <v>1380</v>
      </c>
      <c r="D1459" s="11" t="s">
        <v>1403</v>
      </c>
      <c r="E1459" s="11" t="s">
        <v>1407</v>
      </c>
      <c r="F1459" s="12">
        <v>0</v>
      </c>
    </row>
    <row r="1460" spans="2:6" hidden="1" x14ac:dyDescent="0.2">
      <c r="B1460" s="4">
        <v>2014</v>
      </c>
      <c r="C1460" s="11" t="s">
        <v>1380</v>
      </c>
      <c r="D1460" s="11" t="s">
        <v>1403</v>
      </c>
      <c r="E1460" s="11" t="s">
        <v>1408</v>
      </c>
      <c r="F1460" s="12">
        <v>0</v>
      </c>
    </row>
    <row r="1461" spans="2:6" hidden="1" x14ac:dyDescent="0.2">
      <c r="B1461" s="4">
        <v>2014</v>
      </c>
      <c r="C1461" s="11" t="s">
        <v>1380</v>
      </c>
      <c r="D1461" s="11" t="s">
        <v>1403</v>
      </c>
      <c r="E1461" s="11" t="s">
        <v>1409</v>
      </c>
      <c r="F1461" s="12">
        <v>0</v>
      </c>
    </row>
    <row r="1462" spans="2:6" hidden="1" x14ac:dyDescent="0.2">
      <c r="B1462" s="4">
        <v>2014</v>
      </c>
      <c r="C1462" s="11" t="s">
        <v>1380</v>
      </c>
      <c r="D1462" s="11" t="s">
        <v>1403</v>
      </c>
      <c r="E1462" s="11" t="s">
        <v>1410</v>
      </c>
      <c r="F1462" s="12">
        <v>0</v>
      </c>
    </row>
    <row r="1463" spans="2:6" hidden="1" x14ac:dyDescent="0.2">
      <c r="B1463" s="4">
        <v>2014</v>
      </c>
      <c r="C1463" s="11" t="s">
        <v>1380</v>
      </c>
      <c r="D1463" s="11" t="s">
        <v>1403</v>
      </c>
      <c r="E1463" s="11" t="s">
        <v>1411</v>
      </c>
      <c r="F1463" s="12">
        <v>0</v>
      </c>
    </row>
    <row r="1464" spans="2:6" hidden="1" x14ac:dyDescent="0.2">
      <c r="B1464" s="4">
        <v>2014</v>
      </c>
      <c r="C1464" s="11" t="s">
        <v>1380</v>
      </c>
      <c r="D1464" s="11" t="s">
        <v>1403</v>
      </c>
      <c r="E1464" s="11" t="s">
        <v>1412</v>
      </c>
      <c r="F1464" s="12">
        <v>0</v>
      </c>
    </row>
    <row r="1465" spans="2:6" hidden="1" x14ac:dyDescent="0.2">
      <c r="B1465" s="4">
        <v>2014</v>
      </c>
      <c r="C1465" s="11" t="s">
        <v>1380</v>
      </c>
      <c r="D1465" s="11" t="s">
        <v>1403</v>
      </c>
      <c r="E1465" s="11" t="s">
        <v>1413</v>
      </c>
      <c r="F1465" s="12">
        <v>0</v>
      </c>
    </row>
    <row r="1466" spans="2:6" hidden="1" x14ac:dyDescent="0.2">
      <c r="B1466" s="4">
        <v>2014</v>
      </c>
      <c r="C1466" s="11" t="s">
        <v>1380</v>
      </c>
      <c r="D1466" s="11" t="s">
        <v>1414</v>
      </c>
      <c r="E1466" s="11" t="s">
        <v>1415</v>
      </c>
      <c r="F1466" s="12">
        <v>10</v>
      </c>
    </row>
    <row r="1467" spans="2:6" hidden="1" x14ac:dyDescent="0.2">
      <c r="B1467" s="4">
        <v>2014</v>
      </c>
      <c r="C1467" s="11" t="s">
        <v>1380</v>
      </c>
      <c r="D1467" s="11" t="s">
        <v>1414</v>
      </c>
      <c r="E1467" s="11" t="s">
        <v>1416</v>
      </c>
      <c r="F1467" s="12">
        <v>0</v>
      </c>
    </row>
    <row r="1468" spans="2:6" hidden="1" x14ac:dyDescent="0.2">
      <c r="B1468" s="4">
        <v>2014</v>
      </c>
      <c r="C1468" s="11" t="s">
        <v>1380</v>
      </c>
      <c r="D1468" s="11" t="s">
        <v>1414</v>
      </c>
      <c r="E1468" s="11" t="s">
        <v>1417</v>
      </c>
      <c r="F1468" s="12">
        <v>0</v>
      </c>
    </row>
    <row r="1469" spans="2:6" hidden="1" x14ac:dyDescent="0.2">
      <c r="B1469" s="4">
        <v>2014</v>
      </c>
      <c r="C1469" s="11" t="s">
        <v>1380</v>
      </c>
      <c r="D1469" s="11" t="s">
        <v>1414</v>
      </c>
      <c r="E1469" s="11" t="s">
        <v>1090</v>
      </c>
      <c r="F1469" s="12">
        <v>0</v>
      </c>
    </row>
    <row r="1470" spans="2:6" hidden="1" x14ac:dyDescent="0.2">
      <c r="B1470" s="4">
        <v>2014</v>
      </c>
      <c r="C1470" s="11" t="s">
        <v>1380</v>
      </c>
      <c r="D1470" s="11" t="s">
        <v>1414</v>
      </c>
      <c r="E1470" s="11" t="s">
        <v>1418</v>
      </c>
      <c r="F1470" s="12">
        <v>0</v>
      </c>
    </row>
    <row r="1471" spans="2:6" hidden="1" x14ac:dyDescent="0.2">
      <c r="B1471" s="4">
        <v>2014</v>
      </c>
      <c r="C1471" s="11" t="s">
        <v>1380</v>
      </c>
      <c r="D1471" s="11" t="s">
        <v>1414</v>
      </c>
      <c r="E1471" s="11" t="s">
        <v>1419</v>
      </c>
      <c r="F1471" s="12">
        <v>0</v>
      </c>
    </row>
    <row r="1472" spans="2:6" hidden="1" x14ac:dyDescent="0.2">
      <c r="B1472" s="4">
        <v>2014</v>
      </c>
      <c r="C1472" s="11" t="s">
        <v>1380</v>
      </c>
      <c r="D1472" s="11" t="s">
        <v>1420</v>
      </c>
      <c r="E1472" s="11" t="s">
        <v>1263</v>
      </c>
      <c r="F1472" s="12">
        <v>5</v>
      </c>
    </row>
    <row r="1473" spans="2:6" hidden="1" x14ac:dyDescent="0.2">
      <c r="B1473" s="4">
        <v>2014</v>
      </c>
      <c r="C1473" s="11" t="s">
        <v>1380</v>
      </c>
      <c r="D1473" s="11" t="s">
        <v>1420</v>
      </c>
      <c r="E1473" s="11" t="s">
        <v>1421</v>
      </c>
      <c r="F1473" s="12">
        <v>0</v>
      </c>
    </row>
    <row r="1474" spans="2:6" hidden="1" x14ac:dyDescent="0.2">
      <c r="B1474" s="4">
        <v>2014</v>
      </c>
      <c r="C1474" s="11" t="s">
        <v>1380</v>
      </c>
      <c r="D1474" s="11" t="s">
        <v>1420</v>
      </c>
      <c r="E1474" s="11" t="s">
        <v>1422</v>
      </c>
      <c r="F1474" s="12">
        <v>28</v>
      </c>
    </row>
    <row r="1475" spans="2:6" hidden="1" x14ac:dyDescent="0.2">
      <c r="B1475" s="4">
        <v>2014</v>
      </c>
      <c r="C1475" s="11" t="s">
        <v>1380</v>
      </c>
      <c r="D1475" s="11" t="s">
        <v>1420</v>
      </c>
      <c r="E1475" s="11" t="s">
        <v>1423</v>
      </c>
      <c r="F1475" s="12">
        <v>0</v>
      </c>
    </row>
    <row r="1476" spans="2:6" hidden="1" x14ac:dyDescent="0.2">
      <c r="B1476" s="4">
        <v>2014</v>
      </c>
      <c r="C1476" s="11" t="s">
        <v>1380</v>
      </c>
      <c r="D1476" s="11" t="s">
        <v>1420</v>
      </c>
      <c r="E1476" s="11" t="s">
        <v>1424</v>
      </c>
      <c r="F1476" s="12">
        <v>0</v>
      </c>
    </row>
    <row r="1477" spans="2:6" hidden="1" x14ac:dyDescent="0.2">
      <c r="B1477" s="4">
        <v>2014</v>
      </c>
      <c r="C1477" s="11" t="s">
        <v>1380</v>
      </c>
      <c r="D1477" s="11" t="s">
        <v>1420</v>
      </c>
      <c r="E1477" s="11" t="s">
        <v>1425</v>
      </c>
      <c r="F1477" s="12">
        <v>0</v>
      </c>
    </row>
    <row r="1478" spans="2:6" hidden="1" x14ac:dyDescent="0.2">
      <c r="B1478" s="4">
        <v>2014</v>
      </c>
      <c r="C1478" s="11" t="s">
        <v>1380</v>
      </c>
      <c r="D1478" s="11" t="s">
        <v>1426</v>
      </c>
      <c r="E1478" s="11" t="s">
        <v>1426</v>
      </c>
      <c r="F1478" s="12">
        <v>8</v>
      </c>
    </row>
    <row r="1479" spans="2:6" hidden="1" x14ac:dyDescent="0.2">
      <c r="B1479" s="4">
        <v>2014</v>
      </c>
      <c r="C1479" s="11" t="s">
        <v>1380</v>
      </c>
      <c r="D1479" s="11" t="s">
        <v>1426</v>
      </c>
      <c r="E1479" s="11" t="s">
        <v>1427</v>
      </c>
      <c r="F1479" s="12">
        <v>0</v>
      </c>
    </row>
    <row r="1480" spans="2:6" hidden="1" x14ac:dyDescent="0.2">
      <c r="B1480" s="4">
        <v>2014</v>
      </c>
      <c r="C1480" s="11" t="s">
        <v>1428</v>
      </c>
      <c r="D1480" s="11" t="s">
        <v>1429</v>
      </c>
      <c r="E1480" s="11" t="s">
        <v>1429</v>
      </c>
      <c r="F1480" s="12">
        <v>80</v>
      </c>
    </row>
    <row r="1481" spans="2:6" hidden="1" x14ac:dyDescent="0.2">
      <c r="B1481" s="4">
        <v>2014</v>
      </c>
      <c r="C1481" s="11" t="s">
        <v>1428</v>
      </c>
      <c r="D1481" s="11" t="s">
        <v>1429</v>
      </c>
      <c r="E1481" s="11" t="s">
        <v>1430</v>
      </c>
      <c r="F1481" s="12">
        <v>2</v>
      </c>
    </row>
    <row r="1482" spans="2:6" hidden="1" x14ac:dyDescent="0.2">
      <c r="B1482" s="4">
        <v>2014</v>
      </c>
      <c r="C1482" s="11" t="s">
        <v>1428</v>
      </c>
      <c r="D1482" s="11" t="s">
        <v>1429</v>
      </c>
      <c r="E1482" s="11" t="s">
        <v>1431</v>
      </c>
      <c r="F1482" s="12">
        <v>5</v>
      </c>
    </row>
    <row r="1483" spans="2:6" hidden="1" x14ac:dyDescent="0.2">
      <c r="B1483" s="4">
        <v>2014</v>
      </c>
      <c r="C1483" s="11" t="s">
        <v>1428</v>
      </c>
      <c r="D1483" s="11" t="s">
        <v>1429</v>
      </c>
      <c r="E1483" s="11" t="s">
        <v>1432</v>
      </c>
      <c r="F1483" s="12">
        <v>15</v>
      </c>
    </row>
    <row r="1484" spans="2:6" hidden="1" x14ac:dyDescent="0.2">
      <c r="B1484" s="4">
        <v>2014</v>
      </c>
      <c r="C1484" s="11" t="s">
        <v>1428</v>
      </c>
      <c r="D1484" s="11" t="s">
        <v>1433</v>
      </c>
      <c r="E1484" s="11" t="s">
        <v>1433</v>
      </c>
      <c r="F1484" s="12">
        <v>2</v>
      </c>
    </row>
    <row r="1485" spans="2:6" hidden="1" x14ac:dyDescent="0.2">
      <c r="B1485" s="4">
        <v>2014</v>
      </c>
      <c r="C1485" s="11" t="s">
        <v>1428</v>
      </c>
      <c r="D1485" s="11" t="s">
        <v>1433</v>
      </c>
      <c r="E1485" s="11" t="s">
        <v>1434</v>
      </c>
      <c r="F1485" s="12">
        <v>0</v>
      </c>
    </row>
    <row r="1486" spans="2:6" hidden="1" x14ac:dyDescent="0.2">
      <c r="B1486" s="4">
        <v>2014</v>
      </c>
      <c r="C1486" s="11" t="s">
        <v>1428</v>
      </c>
      <c r="D1486" s="11" t="s">
        <v>1433</v>
      </c>
      <c r="E1486" s="11" t="s">
        <v>1428</v>
      </c>
      <c r="F1486" s="12">
        <v>21</v>
      </c>
    </row>
    <row r="1487" spans="2:6" hidden="1" x14ac:dyDescent="0.2">
      <c r="B1487" s="4">
        <v>2014</v>
      </c>
      <c r="C1487" s="11" t="s">
        <v>1428</v>
      </c>
      <c r="D1487" s="11" t="s">
        <v>1433</v>
      </c>
      <c r="E1487" s="11" t="s">
        <v>1435</v>
      </c>
      <c r="F1487" s="12">
        <v>0</v>
      </c>
    </row>
    <row r="1488" spans="2:6" hidden="1" x14ac:dyDescent="0.2">
      <c r="B1488" s="4">
        <v>2014</v>
      </c>
      <c r="C1488" s="11" t="s">
        <v>1428</v>
      </c>
      <c r="D1488" s="11" t="s">
        <v>1436</v>
      </c>
      <c r="E1488" s="11" t="s">
        <v>1437</v>
      </c>
      <c r="F1488" s="12">
        <v>0</v>
      </c>
    </row>
    <row r="1489" spans="2:6" hidden="1" x14ac:dyDescent="0.2">
      <c r="B1489" s="4">
        <v>2014</v>
      </c>
      <c r="C1489" s="11" t="s">
        <v>1428</v>
      </c>
      <c r="D1489" s="11" t="s">
        <v>1436</v>
      </c>
      <c r="E1489" s="11" t="s">
        <v>1438</v>
      </c>
      <c r="F1489" s="12">
        <v>4</v>
      </c>
    </row>
    <row r="1490" spans="2:6" hidden="1" x14ac:dyDescent="0.2">
      <c r="B1490" s="4">
        <v>2014</v>
      </c>
      <c r="C1490" s="11" t="s">
        <v>1428</v>
      </c>
      <c r="D1490" s="11" t="s">
        <v>1436</v>
      </c>
      <c r="E1490" s="11" t="s">
        <v>1436</v>
      </c>
      <c r="F1490" s="12">
        <v>0</v>
      </c>
    </row>
    <row r="1491" spans="2:6" hidden="1" x14ac:dyDescent="0.2">
      <c r="B1491" s="4">
        <v>2014</v>
      </c>
      <c r="C1491" s="11" t="s">
        <v>1439</v>
      </c>
      <c r="D1491" s="11" t="s">
        <v>1440</v>
      </c>
      <c r="E1491" s="11" t="s">
        <v>1439</v>
      </c>
      <c r="F1491" s="12">
        <v>66</v>
      </c>
    </row>
    <row r="1492" spans="2:6" hidden="1" x14ac:dyDescent="0.2">
      <c r="B1492" s="4">
        <v>2014</v>
      </c>
      <c r="C1492" s="11" t="s">
        <v>1439</v>
      </c>
      <c r="D1492" s="11" t="s">
        <v>1440</v>
      </c>
      <c r="E1492" s="11" t="s">
        <v>1441</v>
      </c>
      <c r="F1492" s="12">
        <v>0</v>
      </c>
    </row>
    <row r="1493" spans="2:6" hidden="1" x14ac:dyDescent="0.2">
      <c r="B1493" s="4">
        <v>2014</v>
      </c>
      <c r="C1493" s="11" t="s">
        <v>1439</v>
      </c>
      <c r="D1493" s="11" t="s">
        <v>1440</v>
      </c>
      <c r="E1493" s="11" t="s">
        <v>1442</v>
      </c>
      <c r="F1493" s="12">
        <v>0</v>
      </c>
    </row>
    <row r="1494" spans="2:6" hidden="1" x14ac:dyDescent="0.2">
      <c r="B1494" s="4">
        <v>2014</v>
      </c>
      <c r="C1494" s="11" t="s">
        <v>1439</v>
      </c>
      <c r="D1494" s="11" t="s">
        <v>1440</v>
      </c>
      <c r="E1494" s="11" t="s">
        <v>1443</v>
      </c>
      <c r="F1494" s="12">
        <v>8</v>
      </c>
    </row>
    <row r="1495" spans="2:6" hidden="1" x14ac:dyDescent="0.2">
      <c r="B1495" s="4">
        <v>2014</v>
      </c>
      <c r="C1495" s="11" t="s">
        <v>1439</v>
      </c>
      <c r="D1495" s="11" t="s">
        <v>1440</v>
      </c>
      <c r="E1495" s="11" t="s">
        <v>95</v>
      </c>
      <c r="F1495" s="12">
        <v>0</v>
      </c>
    </row>
    <row r="1496" spans="2:6" hidden="1" x14ac:dyDescent="0.2">
      <c r="B1496" s="4">
        <v>2014</v>
      </c>
      <c r="C1496" s="11" t="s">
        <v>1439</v>
      </c>
      <c r="D1496" s="11" t="s">
        <v>1440</v>
      </c>
      <c r="E1496" s="11" t="s">
        <v>1444</v>
      </c>
      <c r="F1496" s="12">
        <v>2</v>
      </c>
    </row>
    <row r="1497" spans="2:6" hidden="1" x14ac:dyDescent="0.2">
      <c r="B1497" s="4">
        <v>2014</v>
      </c>
      <c r="C1497" s="11" t="s">
        <v>1439</v>
      </c>
      <c r="D1497" s="11" t="s">
        <v>1445</v>
      </c>
      <c r="E1497" s="11" t="s">
        <v>1446</v>
      </c>
      <c r="F1497" s="12">
        <v>3</v>
      </c>
    </row>
    <row r="1498" spans="2:6" hidden="1" x14ac:dyDescent="0.2">
      <c r="B1498" s="4">
        <v>2014</v>
      </c>
      <c r="C1498" s="11" t="s">
        <v>1439</v>
      </c>
      <c r="D1498" s="11" t="s">
        <v>1445</v>
      </c>
      <c r="E1498" s="11" t="s">
        <v>1447</v>
      </c>
      <c r="F1498" s="12">
        <v>0</v>
      </c>
    </row>
    <row r="1499" spans="2:6" hidden="1" x14ac:dyDescent="0.2">
      <c r="B1499" s="4">
        <v>2014</v>
      </c>
      <c r="C1499" s="11" t="s">
        <v>1439</v>
      </c>
      <c r="D1499" s="11" t="s">
        <v>1445</v>
      </c>
      <c r="E1499" s="11" t="s">
        <v>1448</v>
      </c>
      <c r="F1499" s="12">
        <v>0</v>
      </c>
    </row>
    <row r="1500" spans="2:6" hidden="1" x14ac:dyDescent="0.2">
      <c r="B1500" s="4">
        <v>2014</v>
      </c>
      <c r="C1500" s="11" t="s">
        <v>1439</v>
      </c>
      <c r="D1500" s="11" t="s">
        <v>1445</v>
      </c>
      <c r="E1500" s="11" t="s">
        <v>1449</v>
      </c>
      <c r="F1500" s="12">
        <v>32</v>
      </c>
    </row>
    <row r="1501" spans="2:6" hidden="1" x14ac:dyDescent="0.2">
      <c r="B1501" s="4">
        <v>2014</v>
      </c>
      <c r="C1501" s="11" t="s">
        <v>1439</v>
      </c>
      <c r="D1501" s="11" t="s">
        <v>1445</v>
      </c>
      <c r="E1501" s="11" t="s">
        <v>1450</v>
      </c>
      <c r="F1501" s="12">
        <v>0</v>
      </c>
    </row>
    <row r="1502" spans="2:6" hidden="1" x14ac:dyDescent="0.2">
      <c r="B1502" s="4">
        <v>2014</v>
      </c>
      <c r="C1502" s="11" t="s">
        <v>1439</v>
      </c>
      <c r="D1502" s="11" t="s">
        <v>1445</v>
      </c>
      <c r="E1502" s="11" t="s">
        <v>1451</v>
      </c>
      <c r="F1502" s="12">
        <v>0</v>
      </c>
    </row>
    <row r="1503" spans="2:6" hidden="1" x14ac:dyDescent="0.2">
      <c r="B1503" s="4">
        <v>2014</v>
      </c>
      <c r="C1503" s="11" t="s">
        <v>1439</v>
      </c>
      <c r="D1503" s="11" t="s">
        <v>1445</v>
      </c>
      <c r="E1503" s="11" t="s">
        <v>1452</v>
      </c>
      <c r="F1503" s="12">
        <v>0</v>
      </c>
    </row>
    <row r="1504" spans="2:6" hidden="1" x14ac:dyDescent="0.2">
      <c r="B1504" s="4">
        <v>2014</v>
      </c>
      <c r="C1504" s="11" t="s">
        <v>1439</v>
      </c>
      <c r="D1504" s="11" t="s">
        <v>1445</v>
      </c>
      <c r="E1504" s="11" t="s">
        <v>1453</v>
      </c>
      <c r="F1504" s="12">
        <v>0</v>
      </c>
    </row>
    <row r="1505" spans="2:6" hidden="1" x14ac:dyDescent="0.2">
      <c r="B1505" s="4">
        <v>2014</v>
      </c>
      <c r="C1505" s="11" t="s">
        <v>1439</v>
      </c>
      <c r="D1505" s="11" t="s">
        <v>1445</v>
      </c>
      <c r="E1505" s="11" t="s">
        <v>1454</v>
      </c>
      <c r="F1505" s="12">
        <v>0</v>
      </c>
    </row>
    <row r="1506" spans="2:6" hidden="1" x14ac:dyDescent="0.2">
      <c r="B1506" s="4">
        <v>2014</v>
      </c>
      <c r="C1506" s="11" t="s">
        <v>1439</v>
      </c>
      <c r="D1506" s="11" t="s">
        <v>1445</v>
      </c>
      <c r="E1506" s="11" t="s">
        <v>1455</v>
      </c>
      <c r="F1506" s="12">
        <v>0</v>
      </c>
    </row>
    <row r="1507" spans="2:6" hidden="1" x14ac:dyDescent="0.2">
      <c r="B1507" s="4">
        <v>2014</v>
      </c>
      <c r="C1507" s="11" t="s">
        <v>1439</v>
      </c>
      <c r="D1507" s="11" t="s">
        <v>1445</v>
      </c>
      <c r="E1507" s="11" t="s">
        <v>1456</v>
      </c>
      <c r="F1507" s="12">
        <v>0</v>
      </c>
    </row>
    <row r="1508" spans="2:6" hidden="1" x14ac:dyDescent="0.2">
      <c r="B1508" s="4">
        <v>2014</v>
      </c>
      <c r="C1508" s="11" t="s">
        <v>1439</v>
      </c>
      <c r="D1508" s="11" t="s">
        <v>1457</v>
      </c>
      <c r="E1508" s="11" t="s">
        <v>1457</v>
      </c>
      <c r="F1508" s="12">
        <v>45</v>
      </c>
    </row>
    <row r="1509" spans="2:6" hidden="1" x14ac:dyDescent="0.2">
      <c r="B1509" s="4">
        <v>2014</v>
      </c>
      <c r="C1509" s="11" t="s">
        <v>1439</v>
      </c>
      <c r="D1509" s="11" t="s">
        <v>1457</v>
      </c>
      <c r="E1509" s="11" t="s">
        <v>1458</v>
      </c>
      <c r="F1509" s="12">
        <v>0</v>
      </c>
    </row>
    <row r="1510" spans="2:6" hidden="1" x14ac:dyDescent="0.2">
      <c r="B1510" s="4">
        <v>2014</v>
      </c>
      <c r="C1510" s="11" t="s">
        <v>1439</v>
      </c>
      <c r="D1510" s="11" t="s">
        <v>1457</v>
      </c>
      <c r="E1510" s="11" t="s">
        <v>1459</v>
      </c>
      <c r="F1510" s="12">
        <v>2</v>
      </c>
    </row>
    <row r="1511" spans="2:6" hidden="1" x14ac:dyDescent="0.2">
      <c r="B1511" s="4">
        <v>2014</v>
      </c>
      <c r="C1511" s="11" t="s">
        <v>1460</v>
      </c>
      <c r="D1511" s="11" t="s">
        <v>1460</v>
      </c>
      <c r="E1511" s="11" t="s">
        <v>1461</v>
      </c>
      <c r="F1511" s="12">
        <v>20</v>
      </c>
    </row>
    <row r="1512" spans="2:6" hidden="1" x14ac:dyDescent="0.2">
      <c r="B1512" s="4">
        <v>2014</v>
      </c>
      <c r="C1512" s="11" t="s">
        <v>1460</v>
      </c>
      <c r="D1512" s="11" t="s">
        <v>1460</v>
      </c>
      <c r="E1512" s="11" t="s">
        <v>1462</v>
      </c>
      <c r="F1512" s="12">
        <v>1</v>
      </c>
    </row>
    <row r="1513" spans="2:6" hidden="1" x14ac:dyDescent="0.2">
      <c r="B1513" s="4">
        <v>2014</v>
      </c>
      <c r="C1513" s="11" t="s">
        <v>1460</v>
      </c>
      <c r="D1513" s="11" t="s">
        <v>1460</v>
      </c>
      <c r="E1513" s="11" t="s">
        <v>1463</v>
      </c>
      <c r="F1513" s="12">
        <v>2</v>
      </c>
    </row>
    <row r="1514" spans="2:6" hidden="1" x14ac:dyDescent="0.2">
      <c r="B1514" s="4">
        <v>2014</v>
      </c>
      <c r="C1514" s="11" t="s">
        <v>1460</v>
      </c>
      <c r="D1514" s="11" t="s">
        <v>1460</v>
      </c>
      <c r="E1514" s="11" t="s">
        <v>1464</v>
      </c>
      <c r="F1514" s="12">
        <v>0</v>
      </c>
    </row>
    <row r="1515" spans="2:6" hidden="1" x14ac:dyDescent="0.2">
      <c r="B1515" s="4">
        <v>2014</v>
      </c>
      <c r="C1515" s="11" t="s">
        <v>1460</v>
      </c>
      <c r="D1515" s="11" t="s">
        <v>1460</v>
      </c>
      <c r="E1515" s="11" t="s">
        <v>1465</v>
      </c>
      <c r="F1515" s="12">
        <v>3</v>
      </c>
    </row>
    <row r="1516" spans="2:6" hidden="1" x14ac:dyDescent="0.2">
      <c r="B1516" s="4">
        <v>2014</v>
      </c>
      <c r="C1516" s="11" t="s">
        <v>1460</v>
      </c>
      <c r="D1516" s="11" t="s">
        <v>1460</v>
      </c>
      <c r="E1516" s="11" t="s">
        <v>1466</v>
      </c>
      <c r="F1516" s="12">
        <v>0</v>
      </c>
    </row>
    <row r="1517" spans="2:6" hidden="1" x14ac:dyDescent="0.2">
      <c r="B1517" s="4">
        <v>2014</v>
      </c>
      <c r="C1517" s="11" t="s">
        <v>1460</v>
      </c>
      <c r="D1517" s="11" t="s">
        <v>1460</v>
      </c>
      <c r="E1517" s="11" t="s">
        <v>787</v>
      </c>
      <c r="F1517" s="12">
        <v>1</v>
      </c>
    </row>
    <row r="1518" spans="2:6" hidden="1" x14ac:dyDescent="0.2">
      <c r="B1518" s="4">
        <v>2014</v>
      </c>
      <c r="C1518" s="11" t="s">
        <v>1460</v>
      </c>
      <c r="D1518" s="11" t="s">
        <v>1460</v>
      </c>
      <c r="E1518" s="11" t="s">
        <v>1467</v>
      </c>
      <c r="F1518" s="12">
        <v>0</v>
      </c>
    </row>
    <row r="1519" spans="2:6" hidden="1" x14ac:dyDescent="0.2">
      <c r="B1519" s="4">
        <v>2014</v>
      </c>
      <c r="C1519" s="11" t="s">
        <v>1460</v>
      </c>
      <c r="D1519" s="11" t="s">
        <v>1460</v>
      </c>
      <c r="E1519" s="11" t="s">
        <v>1468</v>
      </c>
      <c r="F1519" s="12">
        <v>2</v>
      </c>
    </row>
    <row r="1520" spans="2:6" hidden="1" x14ac:dyDescent="0.2">
      <c r="B1520" s="4">
        <v>2014</v>
      </c>
      <c r="C1520" s="11" t="s">
        <v>1460</v>
      </c>
      <c r="D1520" s="11" t="s">
        <v>1460</v>
      </c>
      <c r="E1520" s="11" t="s">
        <v>1469</v>
      </c>
      <c r="F1520" s="12">
        <v>2</v>
      </c>
    </row>
    <row r="1521" spans="2:6" hidden="1" x14ac:dyDescent="0.2">
      <c r="B1521" s="4">
        <v>2014</v>
      </c>
      <c r="C1521" s="11" t="s">
        <v>1460</v>
      </c>
      <c r="D1521" s="11" t="s">
        <v>1460</v>
      </c>
      <c r="E1521" s="11" t="s">
        <v>1470</v>
      </c>
      <c r="F1521" s="12">
        <v>8</v>
      </c>
    </row>
    <row r="1522" spans="2:6" hidden="1" x14ac:dyDescent="0.2">
      <c r="B1522" s="4">
        <v>2014</v>
      </c>
      <c r="C1522" s="11" t="s">
        <v>1460</v>
      </c>
      <c r="D1522" s="11" t="s">
        <v>1460</v>
      </c>
      <c r="E1522" s="11" t="s">
        <v>1471</v>
      </c>
      <c r="F1522" s="12">
        <v>0</v>
      </c>
    </row>
    <row r="1523" spans="2:6" hidden="1" x14ac:dyDescent="0.2">
      <c r="B1523" s="4">
        <v>2014</v>
      </c>
      <c r="C1523" s="11" t="s">
        <v>1460</v>
      </c>
      <c r="D1523" s="11" t="s">
        <v>1460</v>
      </c>
      <c r="E1523" s="11" t="s">
        <v>1116</v>
      </c>
      <c r="F1523" s="12">
        <v>18</v>
      </c>
    </row>
    <row r="1524" spans="2:6" hidden="1" x14ac:dyDescent="0.2">
      <c r="B1524" s="4">
        <v>2014</v>
      </c>
      <c r="C1524" s="11" t="s">
        <v>1460</v>
      </c>
      <c r="D1524" s="11" t="s">
        <v>1472</v>
      </c>
      <c r="E1524" s="11" t="s">
        <v>1473</v>
      </c>
      <c r="F1524" s="12">
        <v>4</v>
      </c>
    </row>
    <row r="1525" spans="2:6" hidden="1" x14ac:dyDescent="0.2">
      <c r="B1525" s="4">
        <v>2014</v>
      </c>
      <c r="C1525" s="11" t="s">
        <v>1460</v>
      </c>
      <c r="D1525" s="11" t="s">
        <v>1472</v>
      </c>
      <c r="E1525" s="11" t="s">
        <v>1474</v>
      </c>
      <c r="F1525" s="12">
        <v>0</v>
      </c>
    </row>
    <row r="1526" spans="2:6" hidden="1" x14ac:dyDescent="0.2">
      <c r="B1526" s="4">
        <v>2014</v>
      </c>
      <c r="C1526" s="11" t="s">
        <v>1460</v>
      </c>
      <c r="D1526" s="11" t="s">
        <v>1472</v>
      </c>
      <c r="E1526" s="11" t="s">
        <v>1475</v>
      </c>
      <c r="F1526" s="12">
        <v>0</v>
      </c>
    </row>
    <row r="1527" spans="2:6" hidden="1" x14ac:dyDescent="0.2">
      <c r="B1527" s="4">
        <v>2014</v>
      </c>
      <c r="C1527" s="11" t="s">
        <v>1460</v>
      </c>
      <c r="D1527" s="11" t="s">
        <v>1472</v>
      </c>
      <c r="E1527" s="11" t="s">
        <v>1476</v>
      </c>
      <c r="F1527" s="12">
        <v>2</v>
      </c>
    </row>
    <row r="1528" spans="2:6" hidden="1" x14ac:dyDescent="0.2">
      <c r="B1528" s="4">
        <v>2014</v>
      </c>
      <c r="C1528" s="11" t="s">
        <v>1460</v>
      </c>
      <c r="D1528" s="11" t="s">
        <v>1472</v>
      </c>
      <c r="E1528" s="11" t="s">
        <v>1477</v>
      </c>
      <c r="F1528" s="12">
        <v>0</v>
      </c>
    </row>
    <row r="1529" spans="2:6" hidden="1" x14ac:dyDescent="0.2">
      <c r="B1529" s="4">
        <v>2014</v>
      </c>
      <c r="C1529" s="11" t="s">
        <v>1460</v>
      </c>
      <c r="D1529" s="11" t="s">
        <v>1472</v>
      </c>
      <c r="E1529" s="11" t="s">
        <v>1478</v>
      </c>
      <c r="F1529" s="12">
        <v>2</v>
      </c>
    </row>
    <row r="1530" spans="2:6" hidden="1" x14ac:dyDescent="0.2">
      <c r="B1530" s="4">
        <v>2014</v>
      </c>
      <c r="C1530" s="11" t="s">
        <v>1460</v>
      </c>
      <c r="D1530" s="11" t="s">
        <v>1472</v>
      </c>
      <c r="E1530" s="11" t="s">
        <v>1479</v>
      </c>
      <c r="F1530" s="12">
        <v>2</v>
      </c>
    </row>
    <row r="1531" spans="2:6" hidden="1" x14ac:dyDescent="0.2">
      <c r="B1531" s="4">
        <v>2014</v>
      </c>
      <c r="C1531" s="11" t="s">
        <v>1460</v>
      </c>
      <c r="D1531" s="11" t="s">
        <v>1472</v>
      </c>
      <c r="E1531" s="11" t="s">
        <v>365</v>
      </c>
      <c r="F1531" s="12">
        <v>0</v>
      </c>
    </row>
    <row r="1532" spans="2:6" hidden="1" x14ac:dyDescent="0.2">
      <c r="B1532" s="4">
        <v>2014</v>
      </c>
      <c r="C1532" s="11" t="s">
        <v>1460</v>
      </c>
      <c r="D1532" s="11" t="s">
        <v>1480</v>
      </c>
      <c r="E1532" s="11" t="s">
        <v>1480</v>
      </c>
      <c r="F1532" s="12">
        <v>10</v>
      </c>
    </row>
    <row r="1533" spans="2:6" hidden="1" x14ac:dyDescent="0.2">
      <c r="B1533" s="4">
        <v>2014</v>
      </c>
      <c r="C1533" s="11" t="s">
        <v>1460</v>
      </c>
      <c r="D1533" s="11" t="s">
        <v>1480</v>
      </c>
      <c r="E1533" s="11" t="s">
        <v>1481</v>
      </c>
      <c r="F1533" s="12">
        <v>0</v>
      </c>
    </row>
    <row r="1534" spans="2:6" hidden="1" x14ac:dyDescent="0.2">
      <c r="B1534" s="4">
        <v>2014</v>
      </c>
      <c r="C1534" s="11" t="s">
        <v>1460</v>
      </c>
      <c r="D1534" s="11" t="s">
        <v>1480</v>
      </c>
      <c r="E1534" s="11" t="s">
        <v>1482</v>
      </c>
      <c r="F1534" s="12">
        <v>2</v>
      </c>
    </row>
    <row r="1535" spans="2:6" hidden="1" x14ac:dyDescent="0.2">
      <c r="B1535" s="4">
        <v>2014</v>
      </c>
      <c r="C1535" s="11" t="s">
        <v>1460</v>
      </c>
      <c r="D1535" s="11" t="s">
        <v>1480</v>
      </c>
      <c r="E1535" s="11" t="s">
        <v>1483</v>
      </c>
      <c r="F1535" s="12">
        <v>3</v>
      </c>
    </row>
    <row r="1536" spans="2:6" hidden="1" x14ac:dyDescent="0.2">
      <c r="B1536" s="4">
        <v>2014</v>
      </c>
      <c r="C1536" s="11" t="s">
        <v>1460</v>
      </c>
      <c r="D1536" s="11" t="s">
        <v>1480</v>
      </c>
      <c r="E1536" s="11" t="s">
        <v>1484</v>
      </c>
      <c r="F1536" s="12">
        <v>2</v>
      </c>
    </row>
    <row r="1537" spans="2:6" hidden="1" x14ac:dyDescent="0.2">
      <c r="B1537" s="4">
        <v>2014</v>
      </c>
      <c r="C1537" s="11" t="s">
        <v>1460</v>
      </c>
      <c r="D1537" s="11" t="s">
        <v>1480</v>
      </c>
      <c r="E1537" s="11" t="s">
        <v>1485</v>
      </c>
      <c r="F1537" s="12">
        <v>6</v>
      </c>
    </row>
    <row r="1538" spans="2:6" hidden="1" x14ac:dyDescent="0.2">
      <c r="B1538" s="4">
        <v>2014</v>
      </c>
      <c r="C1538" s="11" t="s">
        <v>1460</v>
      </c>
      <c r="D1538" s="11" t="s">
        <v>1480</v>
      </c>
      <c r="E1538" s="11" t="s">
        <v>1486</v>
      </c>
      <c r="F1538" s="12">
        <v>2</v>
      </c>
    </row>
    <row r="1539" spans="2:6" hidden="1" x14ac:dyDescent="0.2">
      <c r="B1539" s="4">
        <v>2014</v>
      </c>
      <c r="C1539" s="11" t="s">
        <v>1460</v>
      </c>
      <c r="D1539" s="11" t="s">
        <v>1480</v>
      </c>
      <c r="E1539" s="11" t="s">
        <v>1487</v>
      </c>
      <c r="F1539" s="12">
        <v>6</v>
      </c>
    </row>
    <row r="1540" spans="2:6" hidden="1" x14ac:dyDescent="0.2">
      <c r="B1540" s="4">
        <v>2014</v>
      </c>
      <c r="C1540" s="11" t="s">
        <v>1488</v>
      </c>
      <c r="D1540" s="11" t="s">
        <v>1488</v>
      </c>
      <c r="E1540" s="11" t="s">
        <v>1488</v>
      </c>
      <c r="F1540" s="12">
        <v>68</v>
      </c>
    </row>
    <row r="1541" spans="2:6" hidden="1" x14ac:dyDescent="0.2">
      <c r="B1541" s="4">
        <v>2014</v>
      </c>
      <c r="C1541" s="11" t="s">
        <v>1488</v>
      </c>
      <c r="D1541" s="11" t="s">
        <v>1488</v>
      </c>
      <c r="E1541" s="11" t="s">
        <v>418</v>
      </c>
      <c r="F1541" s="12">
        <v>84</v>
      </c>
    </row>
    <row r="1542" spans="2:6" hidden="1" x14ac:dyDescent="0.2">
      <c r="B1542" s="4">
        <v>2014</v>
      </c>
      <c r="C1542" s="11" t="s">
        <v>1488</v>
      </c>
      <c r="D1542" s="11" t="s">
        <v>1488</v>
      </c>
      <c r="E1542" s="11" t="s">
        <v>1489</v>
      </c>
      <c r="F1542" s="12">
        <v>68</v>
      </c>
    </row>
    <row r="1543" spans="2:6" hidden="1" x14ac:dyDescent="0.2">
      <c r="B1543" s="4">
        <v>2014</v>
      </c>
      <c r="C1543" s="11" t="s">
        <v>1488</v>
      </c>
      <c r="D1543" s="11" t="s">
        <v>1488</v>
      </c>
      <c r="E1543" s="11" t="s">
        <v>1490</v>
      </c>
      <c r="F1543" s="12">
        <v>2</v>
      </c>
    </row>
    <row r="1544" spans="2:6" hidden="1" x14ac:dyDescent="0.2">
      <c r="B1544" s="4">
        <v>2014</v>
      </c>
      <c r="C1544" s="11" t="s">
        <v>1488</v>
      </c>
      <c r="D1544" s="11" t="s">
        <v>1488</v>
      </c>
      <c r="E1544" s="11" t="s">
        <v>1491</v>
      </c>
      <c r="F1544" s="12">
        <v>4</v>
      </c>
    </row>
    <row r="1545" spans="2:6" hidden="1" x14ac:dyDescent="0.2">
      <c r="B1545" s="4">
        <v>2014</v>
      </c>
      <c r="C1545" s="11" t="s">
        <v>1488</v>
      </c>
      <c r="D1545" s="11" t="s">
        <v>1488</v>
      </c>
      <c r="E1545" s="11" t="s">
        <v>1492</v>
      </c>
      <c r="F1545" s="12">
        <v>5</v>
      </c>
    </row>
    <row r="1546" spans="2:6" hidden="1" x14ac:dyDescent="0.2">
      <c r="B1546" s="4">
        <v>2014</v>
      </c>
      <c r="C1546" s="11" t="s">
        <v>1488</v>
      </c>
      <c r="D1546" s="11" t="s">
        <v>1488</v>
      </c>
      <c r="E1546" s="11" t="s">
        <v>466</v>
      </c>
      <c r="F1546" s="12">
        <v>15</v>
      </c>
    </row>
    <row r="1547" spans="2:6" hidden="1" x14ac:dyDescent="0.2">
      <c r="B1547" s="4">
        <v>2014</v>
      </c>
      <c r="C1547" s="11" t="s">
        <v>1488</v>
      </c>
      <c r="D1547" s="11" t="s">
        <v>1488</v>
      </c>
      <c r="E1547" s="11" t="s">
        <v>1493</v>
      </c>
      <c r="F1547" s="12">
        <v>7</v>
      </c>
    </row>
    <row r="1548" spans="2:6" hidden="1" x14ac:dyDescent="0.2">
      <c r="B1548" s="4">
        <v>2014</v>
      </c>
      <c r="C1548" s="11" t="s">
        <v>1488</v>
      </c>
      <c r="D1548" s="11" t="s">
        <v>1488</v>
      </c>
      <c r="E1548" s="11" t="s">
        <v>1494</v>
      </c>
      <c r="F1548" s="12">
        <v>15</v>
      </c>
    </row>
    <row r="1549" spans="2:6" hidden="1" x14ac:dyDescent="0.2">
      <c r="B1549" s="4">
        <v>2014</v>
      </c>
      <c r="C1549" s="11" t="s">
        <v>1488</v>
      </c>
      <c r="D1549" s="11" t="s">
        <v>1488</v>
      </c>
      <c r="E1549" s="11" t="s">
        <v>1495</v>
      </c>
      <c r="F1549" s="12">
        <v>0</v>
      </c>
    </row>
    <row r="1550" spans="2:6" hidden="1" x14ac:dyDescent="0.2">
      <c r="B1550" s="4">
        <v>2014</v>
      </c>
      <c r="C1550" s="11" t="s">
        <v>1488</v>
      </c>
      <c r="D1550" s="11" t="s">
        <v>1496</v>
      </c>
      <c r="E1550" s="11" t="s">
        <v>1496</v>
      </c>
      <c r="F1550" s="12">
        <v>3</v>
      </c>
    </row>
    <row r="1551" spans="2:6" hidden="1" x14ac:dyDescent="0.2">
      <c r="B1551" s="4">
        <v>2014</v>
      </c>
      <c r="C1551" s="11" t="s">
        <v>1488</v>
      </c>
      <c r="D1551" s="11" t="s">
        <v>1496</v>
      </c>
      <c r="E1551" s="11" t="s">
        <v>1497</v>
      </c>
      <c r="F1551" s="12">
        <v>0</v>
      </c>
    </row>
    <row r="1552" spans="2:6" hidden="1" x14ac:dyDescent="0.2">
      <c r="B1552" s="4">
        <v>2014</v>
      </c>
      <c r="C1552" s="11" t="s">
        <v>1488</v>
      </c>
      <c r="D1552" s="11" t="s">
        <v>1496</v>
      </c>
      <c r="E1552" s="11" t="s">
        <v>1498</v>
      </c>
      <c r="F1552" s="12">
        <v>1</v>
      </c>
    </row>
    <row r="1553" spans="2:6" hidden="1" x14ac:dyDescent="0.2">
      <c r="B1553" s="4">
        <v>2014</v>
      </c>
      <c r="C1553" s="11" t="s">
        <v>1488</v>
      </c>
      <c r="D1553" s="11" t="s">
        <v>1496</v>
      </c>
      <c r="E1553" s="11" t="s">
        <v>1202</v>
      </c>
      <c r="F1553" s="12">
        <v>0</v>
      </c>
    </row>
    <row r="1554" spans="2:6" hidden="1" x14ac:dyDescent="0.2">
      <c r="B1554" s="4">
        <v>2014</v>
      </c>
      <c r="C1554" s="11" t="s">
        <v>1488</v>
      </c>
      <c r="D1554" s="11" t="s">
        <v>1496</v>
      </c>
      <c r="E1554" s="11" t="s">
        <v>1499</v>
      </c>
      <c r="F1554" s="12">
        <v>3</v>
      </c>
    </row>
    <row r="1555" spans="2:6" hidden="1" x14ac:dyDescent="0.2">
      <c r="B1555" s="4">
        <v>2014</v>
      </c>
      <c r="C1555" s="11" t="s">
        <v>1488</v>
      </c>
      <c r="D1555" s="11" t="s">
        <v>1496</v>
      </c>
      <c r="E1555" s="11" t="s">
        <v>1500</v>
      </c>
      <c r="F1555" s="12">
        <v>2</v>
      </c>
    </row>
    <row r="1556" spans="2:6" hidden="1" x14ac:dyDescent="0.2">
      <c r="B1556" s="4">
        <v>2014</v>
      </c>
      <c r="C1556" s="11" t="s">
        <v>1488</v>
      </c>
      <c r="D1556" s="11" t="s">
        <v>1496</v>
      </c>
      <c r="E1556" s="11" t="s">
        <v>1501</v>
      </c>
      <c r="F1556" s="12">
        <v>4</v>
      </c>
    </row>
    <row r="1557" spans="2:6" hidden="1" x14ac:dyDescent="0.2">
      <c r="B1557" s="4">
        <v>2014</v>
      </c>
      <c r="C1557" s="11" t="s">
        <v>1488</v>
      </c>
      <c r="D1557" s="11" t="s">
        <v>1496</v>
      </c>
      <c r="E1557" s="11" t="s">
        <v>1502</v>
      </c>
      <c r="F1557" s="12">
        <v>2</v>
      </c>
    </row>
    <row r="1558" spans="2:6" hidden="1" x14ac:dyDescent="0.2">
      <c r="B1558" s="4">
        <v>2014</v>
      </c>
      <c r="C1558" s="11" t="s">
        <v>1488</v>
      </c>
      <c r="D1558" s="11" t="s">
        <v>1496</v>
      </c>
      <c r="E1558" s="11" t="s">
        <v>1503</v>
      </c>
      <c r="F1558" s="12">
        <v>4</v>
      </c>
    </row>
    <row r="1559" spans="2:6" hidden="1" x14ac:dyDescent="0.2">
      <c r="B1559" s="4">
        <v>2014</v>
      </c>
      <c r="C1559" s="11" t="s">
        <v>1488</v>
      </c>
      <c r="D1559" s="11" t="s">
        <v>1496</v>
      </c>
      <c r="E1559" s="11" t="s">
        <v>1504</v>
      </c>
      <c r="F1559" s="12">
        <v>0</v>
      </c>
    </row>
    <row r="1560" spans="2:6" hidden="1" x14ac:dyDescent="0.2">
      <c r="B1560" s="4">
        <v>2014</v>
      </c>
      <c r="C1560" s="11" t="s">
        <v>1488</v>
      </c>
      <c r="D1560" s="11" t="s">
        <v>1482</v>
      </c>
      <c r="E1560" s="11" t="s">
        <v>1482</v>
      </c>
      <c r="F1560" s="12">
        <v>1</v>
      </c>
    </row>
    <row r="1561" spans="2:6" hidden="1" x14ac:dyDescent="0.2">
      <c r="B1561" s="4">
        <v>2014</v>
      </c>
      <c r="C1561" s="11" t="s">
        <v>1488</v>
      </c>
      <c r="D1561" s="11" t="s">
        <v>1482</v>
      </c>
      <c r="E1561" s="11" t="s">
        <v>1505</v>
      </c>
      <c r="F1561" s="12">
        <v>0</v>
      </c>
    </row>
    <row r="1562" spans="2:6" hidden="1" x14ac:dyDescent="0.2">
      <c r="B1562" s="4">
        <v>2014</v>
      </c>
      <c r="C1562" s="11" t="s">
        <v>1488</v>
      </c>
      <c r="D1562" s="11" t="s">
        <v>1482</v>
      </c>
      <c r="E1562" s="11" t="s">
        <v>1506</v>
      </c>
      <c r="F1562" s="12">
        <v>0</v>
      </c>
    </row>
    <row r="1563" spans="2:6" hidden="1" x14ac:dyDescent="0.2">
      <c r="B1563" s="4">
        <v>2014</v>
      </c>
      <c r="C1563" s="11" t="s">
        <v>1488</v>
      </c>
      <c r="D1563" s="11" t="s">
        <v>1482</v>
      </c>
      <c r="E1563" s="11" t="s">
        <v>1507</v>
      </c>
      <c r="F1563" s="12">
        <v>5</v>
      </c>
    </row>
    <row r="1564" spans="2:6" hidden="1" x14ac:dyDescent="0.2">
      <c r="B1564" s="4">
        <v>2014</v>
      </c>
      <c r="C1564" s="11" t="s">
        <v>1488</v>
      </c>
      <c r="D1564" s="11" t="s">
        <v>1482</v>
      </c>
      <c r="E1564" s="11" t="s">
        <v>1508</v>
      </c>
      <c r="F1564" s="12">
        <v>0</v>
      </c>
    </row>
    <row r="1565" spans="2:6" hidden="1" x14ac:dyDescent="0.2">
      <c r="B1565" s="4">
        <v>2014</v>
      </c>
      <c r="C1565" s="11" t="s">
        <v>1488</v>
      </c>
      <c r="D1565" s="11" t="s">
        <v>1482</v>
      </c>
      <c r="E1565" s="11" t="s">
        <v>1509</v>
      </c>
      <c r="F1565" s="12">
        <v>7</v>
      </c>
    </row>
    <row r="1566" spans="2:6" hidden="1" x14ac:dyDescent="0.2">
      <c r="B1566" s="4">
        <v>2014</v>
      </c>
      <c r="C1566" s="11" t="s">
        <v>1488</v>
      </c>
      <c r="D1566" s="11" t="s">
        <v>1482</v>
      </c>
      <c r="E1566" s="11" t="s">
        <v>1510</v>
      </c>
      <c r="F1566" s="12">
        <v>3</v>
      </c>
    </row>
    <row r="1567" spans="2:6" hidden="1" x14ac:dyDescent="0.2">
      <c r="B1567" s="4">
        <v>2014</v>
      </c>
      <c r="C1567" s="11" t="s">
        <v>1488</v>
      </c>
      <c r="D1567" s="11" t="s">
        <v>1482</v>
      </c>
      <c r="E1567" s="11" t="s">
        <v>1511</v>
      </c>
      <c r="F1567" s="12">
        <v>0</v>
      </c>
    </row>
    <row r="1568" spans="2:6" hidden="1" x14ac:dyDescent="0.2">
      <c r="B1568" s="4">
        <v>2014</v>
      </c>
      <c r="C1568" s="11" t="s">
        <v>1488</v>
      </c>
      <c r="D1568" s="11" t="s">
        <v>1512</v>
      </c>
      <c r="E1568" s="11" t="s">
        <v>1513</v>
      </c>
      <c r="F1568" s="12">
        <v>27</v>
      </c>
    </row>
    <row r="1569" spans="2:6" hidden="1" x14ac:dyDescent="0.2">
      <c r="B1569" s="4">
        <v>2014</v>
      </c>
      <c r="C1569" s="11" t="s">
        <v>1488</v>
      </c>
      <c r="D1569" s="11" t="s">
        <v>1512</v>
      </c>
      <c r="E1569" s="11" t="s">
        <v>1514</v>
      </c>
      <c r="F1569" s="12">
        <v>0</v>
      </c>
    </row>
    <row r="1570" spans="2:6" hidden="1" x14ac:dyDescent="0.2">
      <c r="B1570" s="4">
        <v>2014</v>
      </c>
      <c r="C1570" s="11" t="s">
        <v>1488</v>
      </c>
      <c r="D1570" s="11" t="s">
        <v>1512</v>
      </c>
      <c r="E1570" s="11" t="s">
        <v>1515</v>
      </c>
      <c r="F1570" s="12">
        <v>6</v>
      </c>
    </row>
    <row r="1571" spans="2:6" hidden="1" x14ac:dyDescent="0.2">
      <c r="B1571" s="4">
        <v>2014</v>
      </c>
      <c r="C1571" s="11" t="s">
        <v>1488</v>
      </c>
      <c r="D1571" s="11" t="s">
        <v>1512</v>
      </c>
      <c r="E1571" s="11" t="s">
        <v>1516</v>
      </c>
      <c r="F1571" s="12">
        <v>0</v>
      </c>
    </row>
    <row r="1572" spans="2:6" hidden="1" x14ac:dyDescent="0.2">
      <c r="B1572" s="4">
        <v>2014</v>
      </c>
      <c r="C1572" s="11" t="s">
        <v>1488</v>
      </c>
      <c r="D1572" s="11" t="s">
        <v>1512</v>
      </c>
      <c r="E1572" s="11" t="s">
        <v>1512</v>
      </c>
      <c r="F1572" s="12">
        <v>2</v>
      </c>
    </row>
    <row r="1573" spans="2:6" hidden="1" x14ac:dyDescent="0.2">
      <c r="B1573" s="4">
        <v>2014</v>
      </c>
      <c r="C1573" s="11" t="s">
        <v>1488</v>
      </c>
      <c r="D1573" s="11" t="s">
        <v>1512</v>
      </c>
      <c r="E1573" s="11" t="s">
        <v>1517</v>
      </c>
      <c r="F1573" s="12">
        <v>0</v>
      </c>
    </row>
    <row r="1574" spans="2:6" hidden="1" x14ac:dyDescent="0.2">
      <c r="B1574" s="4">
        <v>2014</v>
      </c>
      <c r="C1574" s="11" t="s">
        <v>1488</v>
      </c>
      <c r="D1574" s="11" t="s">
        <v>1512</v>
      </c>
      <c r="E1574" s="11" t="s">
        <v>1518</v>
      </c>
      <c r="F1574" s="12">
        <v>5</v>
      </c>
    </row>
    <row r="1575" spans="2:6" hidden="1" x14ac:dyDescent="0.2">
      <c r="B1575" s="4">
        <v>2014</v>
      </c>
      <c r="C1575" s="11" t="s">
        <v>1488</v>
      </c>
      <c r="D1575" s="11" t="s">
        <v>1512</v>
      </c>
      <c r="E1575" s="11" t="s">
        <v>1519</v>
      </c>
      <c r="F1575" s="12">
        <v>2</v>
      </c>
    </row>
    <row r="1576" spans="2:6" hidden="1" x14ac:dyDescent="0.2">
      <c r="B1576" s="4">
        <v>2014</v>
      </c>
      <c r="C1576" s="11" t="s">
        <v>1488</v>
      </c>
      <c r="D1576" s="11" t="s">
        <v>1512</v>
      </c>
      <c r="E1576" s="11" t="s">
        <v>1520</v>
      </c>
      <c r="F1576" s="12">
        <v>12</v>
      </c>
    </row>
    <row r="1577" spans="2:6" hidden="1" x14ac:dyDescent="0.2">
      <c r="B1577" s="4">
        <v>2014</v>
      </c>
      <c r="C1577" s="11" t="s">
        <v>1488</v>
      </c>
      <c r="D1577" s="11" t="s">
        <v>1512</v>
      </c>
      <c r="E1577" s="11" t="s">
        <v>1521</v>
      </c>
      <c r="F1577" s="12">
        <v>2</v>
      </c>
    </row>
    <row r="1578" spans="2:6" hidden="1" x14ac:dyDescent="0.2">
      <c r="B1578" s="4">
        <v>2014</v>
      </c>
      <c r="C1578" s="11" t="s">
        <v>1488</v>
      </c>
      <c r="D1578" s="11" t="s">
        <v>1522</v>
      </c>
      <c r="E1578" s="11" t="s">
        <v>1522</v>
      </c>
      <c r="F1578" s="12">
        <v>26</v>
      </c>
    </row>
    <row r="1579" spans="2:6" hidden="1" x14ac:dyDescent="0.2">
      <c r="B1579" s="4">
        <v>2014</v>
      </c>
      <c r="C1579" s="11" t="s">
        <v>1488</v>
      </c>
      <c r="D1579" s="11" t="s">
        <v>1522</v>
      </c>
      <c r="E1579" s="11" t="s">
        <v>1523</v>
      </c>
      <c r="F1579" s="12">
        <v>0</v>
      </c>
    </row>
    <row r="1580" spans="2:6" hidden="1" x14ac:dyDescent="0.2">
      <c r="B1580" s="4">
        <v>2014</v>
      </c>
      <c r="C1580" s="11" t="s">
        <v>1488</v>
      </c>
      <c r="D1580" s="11" t="s">
        <v>1522</v>
      </c>
      <c r="E1580" s="11" t="s">
        <v>1524</v>
      </c>
      <c r="F1580" s="12">
        <v>0</v>
      </c>
    </row>
    <row r="1581" spans="2:6" hidden="1" x14ac:dyDescent="0.2">
      <c r="B1581" s="4">
        <v>2014</v>
      </c>
      <c r="C1581" s="11" t="s">
        <v>1488</v>
      </c>
      <c r="D1581" s="11" t="s">
        <v>1522</v>
      </c>
      <c r="E1581" s="11" t="s">
        <v>1525</v>
      </c>
      <c r="F1581" s="12">
        <v>2</v>
      </c>
    </row>
    <row r="1582" spans="2:6" hidden="1" x14ac:dyDescent="0.2">
      <c r="B1582" s="4">
        <v>2014</v>
      </c>
      <c r="C1582" s="11" t="s">
        <v>1488</v>
      </c>
      <c r="D1582" s="11" t="s">
        <v>1522</v>
      </c>
      <c r="E1582" s="11" t="s">
        <v>1526</v>
      </c>
      <c r="F1582" s="12">
        <v>1</v>
      </c>
    </row>
    <row r="1583" spans="2:6" hidden="1" x14ac:dyDescent="0.2">
      <c r="B1583" s="4">
        <v>2014</v>
      </c>
      <c r="C1583" s="11" t="s">
        <v>1488</v>
      </c>
      <c r="D1583" s="11" t="s">
        <v>1522</v>
      </c>
      <c r="E1583" s="11" t="s">
        <v>1527</v>
      </c>
      <c r="F1583" s="12">
        <v>0</v>
      </c>
    </row>
    <row r="1584" spans="2:6" hidden="1" x14ac:dyDescent="0.2">
      <c r="B1584" s="4">
        <v>2014</v>
      </c>
      <c r="C1584" s="11" t="s">
        <v>1488</v>
      </c>
      <c r="D1584" s="11" t="s">
        <v>1522</v>
      </c>
      <c r="E1584" s="11" t="s">
        <v>1528</v>
      </c>
      <c r="F1584" s="12">
        <v>4</v>
      </c>
    </row>
    <row r="1585" spans="2:6" hidden="1" x14ac:dyDescent="0.2">
      <c r="B1585" s="4">
        <v>2014</v>
      </c>
      <c r="C1585" s="11" t="s">
        <v>1488</v>
      </c>
      <c r="D1585" s="11" t="s">
        <v>1529</v>
      </c>
      <c r="E1585" s="11" t="s">
        <v>1529</v>
      </c>
      <c r="F1585" s="12">
        <v>74</v>
      </c>
    </row>
    <row r="1586" spans="2:6" hidden="1" x14ac:dyDescent="0.2">
      <c r="B1586" s="4">
        <v>2014</v>
      </c>
      <c r="C1586" s="11" t="s">
        <v>1488</v>
      </c>
      <c r="D1586" s="11" t="s">
        <v>1529</v>
      </c>
      <c r="E1586" s="11" t="s">
        <v>655</v>
      </c>
      <c r="F1586" s="12">
        <v>2</v>
      </c>
    </row>
    <row r="1587" spans="2:6" hidden="1" x14ac:dyDescent="0.2">
      <c r="B1587" s="4">
        <v>2014</v>
      </c>
      <c r="C1587" s="11" t="s">
        <v>1488</v>
      </c>
      <c r="D1587" s="11" t="s">
        <v>1529</v>
      </c>
      <c r="E1587" s="11" t="s">
        <v>1530</v>
      </c>
      <c r="F1587" s="12">
        <v>3</v>
      </c>
    </row>
    <row r="1588" spans="2:6" hidden="1" x14ac:dyDescent="0.2">
      <c r="B1588" s="4">
        <v>2014</v>
      </c>
      <c r="C1588" s="11" t="s">
        <v>1488</v>
      </c>
      <c r="D1588" s="11" t="s">
        <v>1529</v>
      </c>
      <c r="E1588" s="11" t="s">
        <v>1531</v>
      </c>
      <c r="F1588" s="12">
        <v>3</v>
      </c>
    </row>
    <row r="1589" spans="2:6" hidden="1" x14ac:dyDescent="0.2">
      <c r="B1589" s="4">
        <v>2014</v>
      </c>
      <c r="C1589" s="11" t="s">
        <v>1488</v>
      </c>
      <c r="D1589" s="11" t="s">
        <v>1529</v>
      </c>
      <c r="E1589" s="11" t="s">
        <v>1532</v>
      </c>
      <c r="F1589" s="12">
        <v>8</v>
      </c>
    </row>
    <row r="1590" spans="2:6" hidden="1" x14ac:dyDescent="0.2">
      <c r="B1590" s="4">
        <v>2014</v>
      </c>
      <c r="C1590" s="11" t="s">
        <v>1488</v>
      </c>
      <c r="D1590" s="11" t="s">
        <v>1529</v>
      </c>
      <c r="E1590" s="11" t="s">
        <v>1533</v>
      </c>
      <c r="F1590" s="12">
        <v>1</v>
      </c>
    </row>
    <row r="1591" spans="2:6" hidden="1" x14ac:dyDescent="0.2">
      <c r="B1591" s="4">
        <v>2014</v>
      </c>
      <c r="C1591" s="11" t="s">
        <v>1488</v>
      </c>
      <c r="D1591" s="11" t="s">
        <v>1529</v>
      </c>
      <c r="E1591" s="11" t="s">
        <v>1534</v>
      </c>
      <c r="F1591" s="12">
        <v>5</v>
      </c>
    </row>
    <row r="1592" spans="2:6" hidden="1" x14ac:dyDescent="0.2">
      <c r="B1592" s="4">
        <v>2014</v>
      </c>
      <c r="C1592" s="11" t="s">
        <v>1488</v>
      </c>
      <c r="D1592" s="11" t="s">
        <v>1529</v>
      </c>
      <c r="E1592" s="11" t="s">
        <v>1517</v>
      </c>
      <c r="F1592" s="12">
        <v>1</v>
      </c>
    </row>
    <row r="1593" spans="2:6" hidden="1" x14ac:dyDescent="0.2">
      <c r="B1593" s="4">
        <v>2014</v>
      </c>
      <c r="C1593" s="11" t="s">
        <v>1488</v>
      </c>
      <c r="D1593" s="11" t="s">
        <v>1535</v>
      </c>
      <c r="E1593" s="11" t="s">
        <v>1536</v>
      </c>
      <c r="F1593" s="12">
        <v>37</v>
      </c>
    </row>
    <row r="1594" spans="2:6" hidden="1" x14ac:dyDescent="0.2">
      <c r="B1594" s="4">
        <v>2014</v>
      </c>
      <c r="C1594" s="11" t="s">
        <v>1488</v>
      </c>
      <c r="D1594" s="11" t="s">
        <v>1535</v>
      </c>
      <c r="E1594" s="11" t="s">
        <v>1537</v>
      </c>
      <c r="F1594" s="12">
        <v>4</v>
      </c>
    </row>
    <row r="1595" spans="2:6" hidden="1" x14ac:dyDescent="0.2">
      <c r="B1595" s="4">
        <v>2014</v>
      </c>
      <c r="C1595" s="11" t="s">
        <v>1488</v>
      </c>
      <c r="D1595" s="11" t="s">
        <v>1535</v>
      </c>
      <c r="E1595" s="11" t="s">
        <v>1538</v>
      </c>
      <c r="F1595" s="12">
        <v>2</v>
      </c>
    </row>
    <row r="1596" spans="2:6" hidden="1" x14ac:dyDescent="0.2">
      <c r="B1596" s="4">
        <v>2014</v>
      </c>
      <c r="C1596" s="11" t="s">
        <v>1488</v>
      </c>
      <c r="D1596" s="11" t="s">
        <v>1535</v>
      </c>
      <c r="E1596" s="11" t="s">
        <v>1539</v>
      </c>
      <c r="F1596" s="12">
        <v>2</v>
      </c>
    </row>
    <row r="1597" spans="2:6" hidden="1" x14ac:dyDescent="0.2">
      <c r="B1597" s="4">
        <v>2014</v>
      </c>
      <c r="C1597" s="11" t="s">
        <v>1488</v>
      </c>
      <c r="D1597" s="11" t="s">
        <v>1535</v>
      </c>
      <c r="E1597" s="11" t="s">
        <v>1540</v>
      </c>
      <c r="F1597" s="12">
        <v>1</v>
      </c>
    </row>
    <row r="1598" spans="2:6" hidden="1" x14ac:dyDescent="0.2">
      <c r="B1598" s="4">
        <v>2014</v>
      </c>
      <c r="C1598" s="11" t="s">
        <v>1488</v>
      </c>
      <c r="D1598" s="11" t="s">
        <v>1535</v>
      </c>
      <c r="E1598" s="11" t="s">
        <v>1541</v>
      </c>
      <c r="F1598" s="12">
        <v>10</v>
      </c>
    </row>
    <row r="1599" spans="2:6" hidden="1" x14ac:dyDescent="0.2">
      <c r="B1599" s="4">
        <v>2014</v>
      </c>
      <c r="C1599" s="11" t="s">
        <v>1488</v>
      </c>
      <c r="D1599" s="11" t="s">
        <v>1542</v>
      </c>
      <c r="E1599" s="11" t="s">
        <v>1542</v>
      </c>
      <c r="F1599" s="12">
        <v>13</v>
      </c>
    </row>
    <row r="1600" spans="2:6" hidden="1" x14ac:dyDescent="0.2">
      <c r="B1600" s="4">
        <v>2014</v>
      </c>
      <c r="C1600" s="11" t="s">
        <v>1488</v>
      </c>
      <c r="D1600" s="11" t="s">
        <v>1542</v>
      </c>
      <c r="E1600" s="11" t="s">
        <v>1543</v>
      </c>
      <c r="F1600" s="12">
        <v>2</v>
      </c>
    </row>
    <row r="1601" spans="2:6" hidden="1" x14ac:dyDescent="0.2">
      <c r="B1601" s="4">
        <v>2014</v>
      </c>
      <c r="C1601" s="11" t="s">
        <v>1488</v>
      </c>
      <c r="D1601" s="11" t="s">
        <v>1542</v>
      </c>
      <c r="E1601" s="11" t="s">
        <v>1544</v>
      </c>
      <c r="F1601" s="12">
        <v>1</v>
      </c>
    </row>
    <row r="1602" spans="2:6" hidden="1" x14ac:dyDescent="0.2">
      <c r="B1602" s="4">
        <v>2014</v>
      </c>
      <c r="C1602" s="11" t="s">
        <v>1488</v>
      </c>
      <c r="D1602" s="11" t="s">
        <v>1542</v>
      </c>
      <c r="E1602" s="11" t="s">
        <v>1545</v>
      </c>
      <c r="F1602" s="12">
        <v>0</v>
      </c>
    </row>
    <row r="1603" spans="2:6" hidden="1" x14ac:dyDescent="0.2">
      <c r="B1603" s="4">
        <v>2014</v>
      </c>
      <c r="C1603" s="11" t="s">
        <v>1488</v>
      </c>
      <c r="D1603" s="11" t="s">
        <v>1542</v>
      </c>
      <c r="E1603" s="11" t="s">
        <v>1546</v>
      </c>
      <c r="F1603" s="12">
        <v>0</v>
      </c>
    </row>
    <row r="1604" spans="2:6" hidden="1" x14ac:dyDescent="0.2">
      <c r="B1604" s="4">
        <v>2014</v>
      </c>
      <c r="C1604" s="11" t="s">
        <v>1488</v>
      </c>
      <c r="D1604" s="11" t="s">
        <v>1542</v>
      </c>
      <c r="E1604" s="11" t="s">
        <v>1547</v>
      </c>
      <c r="F1604" s="12">
        <v>0</v>
      </c>
    </row>
    <row r="1605" spans="2:6" hidden="1" x14ac:dyDescent="0.2">
      <c r="B1605" s="4">
        <v>2014</v>
      </c>
      <c r="C1605" s="11" t="s">
        <v>1548</v>
      </c>
      <c r="D1605" s="11" t="s">
        <v>1548</v>
      </c>
      <c r="E1605" s="11" t="s">
        <v>1548</v>
      </c>
      <c r="F1605" s="12">
        <v>96</v>
      </c>
    </row>
    <row r="1606" spans="2:6" hidden="1" x14ac:dyDescent="0.2">
      <c r="B1606" s="4">
        <v>2014</v>
      </c>
      <c r="C1606" s="11" t="s">
        <v>1548</v>
      </c>
      <c r="D1606" s="11" t="s">
        <v>1548</v>
      </c>
      <c r="E1606" s="11" t="s">
        <v>1549</v>
      </c>
      <c r="F1606" s="12">
        <v>2</v>
      </c>
    </row>
    <row r="1607" spans="2:6" hidden="1" x14ac:dyDescent="0.2">
      <c r="B1607" s="4">
        <v>2014</v>
      </c>
      <c r="C1607" s="11" t="s">
        <v>1548</v>
      </c>
      <c r="D1607" s="11" t="s">
        <v>1548</v>
      </c>
      <c r="E1607" s="11" t="s">
        <v>1550</v>
      </c>
      <c r="F1607" s="12">
        <v>0</v>
      </c>
    </row>
    <row r="1608" spans="2:6" hidden="1" x14ac:dyDescent="0.2">
      <c r="B1608" s="4">
        <v>2014</v>
      </c>
      <c r="C1608" s="11" t="s">
        <v>1548</v>
      </c>
      <c r="D1608" s="11" t="s">
        <v>1548</v>
      </c>
      <c r="E1608" s="11" t="s">
        <v>1551</v>
      </c>
      <c r="F1608" s="12">
        <v>0</v>
      </c>
    </row>
    <row r="1609" spans="2:6" hidden="1" x14ac:dyDescent="0.2">
      <c r="B1609" s="4">
        <v>2014</v>
      </c>
      <c r="C1609" s="11" t="s">
        <v>1548</v>
      </c>
      <c r="D1609" s="11" t="s">
        <v>1548</v>
      </c>
      <c r="E1609" s="11" t="s">
        <v>1552</v>
      </c>
      <c r="F1609" s="12">
        <v>1</v>
      </c>
    </row>
    <row r="1610" spans="2:6" hidden="1" x14ac:dyDescent="0.2">
      <c r="B1610" s="4">
        <v>2014</v>
      </c>
      <c r="C1610" s="11" t="s">
        <v>1548</v>
      </c>
      <c r="D1610" s="11" t="s">
        <v>1548</v>
      </c>
      <c r="E1610" s="11" t="s">
        <v>1553</v>
      </c>
      <c r="F1610" s="12">
        <v>0</v>
      </c>
    </row>
    <row r="1611" spans="2:6" hidden="1" x14ac:dyDescent="0.2">
      <c r="B1611" s="4">
        <v>2014</v>
      </c>
      <c r="C1611" s="11" t="s">
        <v>1548</v>
      </c>
      <c r="D1611" s="11" t="s">
        <v>1548</v>
      </c>
      <c r="E1611" s="11" t="s">
        <v>1554</v>
      </c>
      <c r="F1611" s="12">
        <v>0</v>
      </c>
    </row>
    <row r="1612" spans="2:6" hidden="1" x14ac:dyDescent="0.2">
      <c r="B1612" s="4">
        <v>2014</v>
      </c>
      <c r="C1612" s="11" t="s">
        <v>1548</v>
      </c>
      <c r="D1612" s="11" t="s">
        <v>1548</v>
      </c>
      <c r="E1612" s="11" t="s">
        <v>213</v>
      </c>
      <c r="F1612" s="12">
        <v>0</v>
      </c>
    </row>
    <row r="1613" spans="2:6" hidden="1" x14ac:dyDescent="0.2">
      <c r="B1613" s="4">
        <v>2014</v>
      </c>
      <c r="C1613" s="11" t="s">
        <v>1548</v>
      </c>
      <c r="D1613" s="11" t="s">
        <v>1548</v>
      </c>
      <c r="E1613" s="11" t="s">
        <v>1555</v>
      </c>
      <c r="F1613" s="12">
        <v>0</v>
      </c>
    </row>
    <row r="1614" spans="2:6" hidden="1" x14ac:dyDescent="0.2">
      <c r="B1614" s="4">
        <v>2014</v>
      </c>
      <c r="C1614" s="11" t="s">
        <v>1548</v>
      </c>
      <c r="D1614" s="11" t="s">
        <v>1548</v>
      </c>
      <c r="E1614" s="11" t="s">
        <v>1556</v>
      </c>
      <c r="F1614" s="12">
        <v>2</v>
      </c>
    </row>
    <row r="1615" spans="2:6" hidden="1" x14ac:dyDescent="0.2">
      <c r="B1615" s="4">
        <v>2014</v>
      </c>
      <c r="C1615" s="11" t="s">
        <v>1548</v>
      </c>
      <c r="D1615" s="11" t="s">
        <v>1548</v>
      </c>
      <c r="E1615" s="11" t="s">
        <v>1557</v>
      </c>
      <c r="F1615" s="12">
        <v>1</v>
      </c>
    </row>
    <row r="1616" spans="2:6" hidden="1" x14ac:dyDescent="0.2">
      <c r="B1616" s="4">
        <v>2014</v>
      </c>
      <c r="C1616" s="11" t="s">
        <v>1548</v>
      </c>
      <c r="D1616" s="11" t="s">
        <v>1548</v>
      </c>
      <c r="E1616" s="11" t="s">
        <v>1558</v>
      </c>
      <c r="F1616" s="12">
        <v>0</v>
      </c>
    </row>
    <row r="1617" spans="2:6" hidden="1" x14ac:dyDescent="0.2">
      <c r="B1617" s="4">
        <v>2014</v>
      </c>
      <c r="C1617" s="11" t="s">
        <v>1548</v>
      </c>
      <c r="D1617" s="11" t="s">
        <v>1548</v>
      </c>
      <c r="E1617" s="11" t="s">
        <v>363</v>
      </c>
      <c r="F1617" s="12">
        <v>0</v>
      </c>
    </row>
    <row r="1618" spans="2:6" hidden="1" x14ac:dyDescent="0.2">
      <c r="B1618" s="4">
        <v>2014</v>
      </c>
      <c r="C1618" s="11" t="s">
        <v>1548</v>
      </c>
      <c r="D1618" s="11" t="s">
        <v>1548</v>
      </c>
      <c r="E1618" s="11" t="s">
        <v>1559</v>
      </c>
      <c r="F1618" s="12">
        <v>0</v>
      </c>
    </row>
    <row r="1619" spans="2:6" hidden="1" x14ac:dyDescent="0.2">
      <c r="B1619" s="4">
        <v>2014</v>
      </c>
      <c r="C1619" s="11" t="s">
        <v>1548</v>
      </c>
      <c r="D1619" s="11" t="s">
        <v>1548</v>
      </c>
      <c r="E1619" s="11" t="s">
        <v>1560</v>
      </c>
      <c r="F1619" s="12">
        <v>0</v>
      </c>
    </row>
    <row r="1620" spans="2:6" hidden="1" x14ac:dyDescent="0.2">
      <c r="B1620" s="4">
        <v>2014</v>
      </c>
      <c r="C1620" s="11" t="s">
        <v>1548</v>
      </c>
      <c r="D1620" s="11" t="s">
        <v>1354</v>
      </c>
      <c r="E1620" s="11" t="s">
        <v>1354</v>
      </c>
      <c r="F1620" s="12">
        <v>4</v>
      </c>
    </row>
    <row r="1621" spans="2:6" hidden="1" x14ac:dyDescent="0.2">
      <c r="B1621" s="4">
        <v>2014</v>
      </c>
      <c r="C1621" s="11" t="s">
        <v>1548</v>
      </c>
      <c r="D1621" s="11" t="s">
        <v>1354</v>
      </c>
      <c r="E1621" s="11" t="s">
        <v>1561</v>
      </c>
      <c r="F1621" s="12">
        <v>0</v>
      </c>
    </row>
    <row r="1622" spans="2:6" hidden="1" x14ac:dyDescent="0.2">
      <c r="B1622" s="4">
        <v>2014</v>
      </c>
      <c r="C1622" s="11" t="s">
        <v>1548</v>
      </c>
      <c r="D1622" s="11" t="s">
        <v>1354</v>
      </c>
      <c r="E1622" s="11" t="s">
        <v>1562</v>
      </c>
      <c r="F1622" s="12">
        <v>2</v>
      </c>
    </row>
    <row r="1623" spans="2:6" hidden="1" x14ac:dyDescent="0.2">
      <c r="B1623" s="4">
        <v>2014</v>
      </c>
      <c r="C1623" s="11" t="s">
        <v>1548</v>
      </c>
      <c r="D1623" s="11" t="s">
        <v>1354</v>
      </c>
      <c r="E1623" s="11" t="s">
        <v>1563</v>
      </c>
      <c r="F1623" s="12">
        <v>0</v>
      </c>
    </row>
    <row r="1624" spans="2:6" hidden="1" x14ac:dyDescent="0.2">
      <c r="B1624" s="4">
        <v>2014</v>
      </c>
      <c r="C1624" s="11" t="s">
        <v>1548</v>
      </c>
      <c r="D1624" s="11" t="s">
        <v>1354</v>
      </c>
      <c r="E1624" s="11" t="s">
        <v>1564</v>
      </c>
      <c r="F1624" s="12">
        <v>0</v>
      </c>
    </row>
    <row r="1625" spans="2:6" hidden="1" x14ac:dyDescent="0.2">
      <c r="B1625" s="4">
        <v>2014</v>
      </c>
      <c r="C1625" s="11" t="s">
        <v>1548</v>
      </c>
      <c r="D1625" s="11" t="s">
        <v>1354</v>
      </c>
      <c r="E1625" s="11" t="s">
        <v>1565</v>
      </c>
      <c r="F1625" s="12">
        <v>0</v>
      </c>
    </row>
    <row r="1626" spans="2:6" hidden="1" x14ac:dyDescent="0.2">
      <c r="B1626" s="4">
        <v>2014</v>
      </c>
      <c r="C1626" s="11" t="s">
        <v>1548</v>
      </c>
      <c r="D1626" s="11" t="s">
        <v>1354</v>
      </c>
      <c r="E1626" s="11" t="s">
        <v>1566</v>
      </c>
      <c r="F1626" s="12">
        <v>0</v>
      </c>
    </row>
    <row r="1627" spans="2:6" hidden="1" x14ac:dyDescent="0.2">
      <c r="B1627" s="4">
        <v>2014</v>
      </c>
      <c r="C1627" s="11" t="s">
        <v>1548</v>
      </c>
      <c r="D1627" s="11" t="s">
        <v>1354</v>
      </c>
      <c r="E1627" s="11" t="s">
        <v>1567</v>
      </c>
      <c r="F1627" s="12">
        <v>3</v>
      </c>
    </row>
    <row r="1628" spans="2:6" hidden="1" x14ac:dyDescent="0.2">
      <c r="B1628" s="4">
        <v>2014</v>
      </c>
      <c r="C1628" s="11" t="s">
        <v>1548</v>
      </c>
      <c r="D1628" s="11" t="s">
        <v>1354</v>
      </c>
      <c r="E1628" s="11" t="s">
        <v>1568</v>
      </c>
      <c r="F1628" s="12">
        <v>0</v>
      </c>
    </row>
    <row r="1629" spans="2:6" hidden="1" x14ac:dyDescent="0.2">
      <c r="B1629" s="4">
        <v>2014</v>
      </c>
      <c r="C1629" s="11" t="s">
        <v>1548</v>
      </c>
      <c r="D1629" s="11" t="s">
        <v>1354</v>
      </c>
      <c r="E1629" s="11" t="s">
        <v>1569</v>
      </c>
      <c r="F1629" s="12">
        <v>0</v>
      </c>
    </row>
    <row r="1630" spans="2:6" hidden="1" x14ac:dyDescent="0.2">
      <c r="B1630" s="4">
        <v>2014</v>
      </c>
      <c r="C1630" s="11" t="s">
        <v>1548</v>
      </c>
      <c r="D1630" s="11" t="s">
        <v>1354</v>
      </c>
      <c r="E1630" s="11" t="s">
        <v>1570</v>
      </c>
      <c r="F1630" s="12">
        <v>5</v>
      </c>
    </row>
    <row r="1631" spans="2:6" hidden="1" x14ac:dyDescent="0.2">
      <c r="B1631" s="4">
        <v>2014</v>
      </c>
      <c r="C1631" s="11" t="s">
        <v>1548</v>
      </c>
      <c r="D1631" s="11" t="s">
        <v>1354</v>
      </c>
      <c r="E1631" s="11" t="s">
        <v>1158</v>
      </c>
      <c r="F1631" s="12">
        <v>0</v>
      </c>
    </row>
    <row r="1632" spans="2:6" hidden="1" x14ac:dyDescent="0.2">
      <c r="B1632" s="4">
        <v>2014</v>
      </c>
      <c r="C1632" s="11" t="s">
        <v>1548</v>
      </c>
      <c r="D1632" s="11" t="s">
        <v>1354</v>
      </c>
      <c r="E1632" s="11" t="s">
        <v>1571</v>
      </c>
      <c r="F1632" s="12">
        <v>0</v>
      </c>
    </row>
    <row r="1633" spans="2:6" hidden="1" x14ac:dyDescent="0.2">
      <c r="B1633" s="4">
        <v>2014</v>
      </c>
      <c r="C1633" s="11" t="s">
        <v>1548</v>
      </c>
      <c r="D1633" s="11" t="s">
        <v>1354</v>
      </c>
      <c r="E1633" s="11" t="s">
        <v>1572</v>
      </c>
      <c r="F1633" s="12">
        <v>0</v>
      </c>
    </row>
    <row r="1634" spans="2:6" hidden="1" x14ac:dyDescent="0.2">
      <c r="B1634" s="4">
        <v>2014</v>
      </c>
      <c r="C1634" s="11" t="s">
        <v>1548</v>
      </c>
      <c r="D1634" s="11" t="s">
        <v>1354</v>
      </c>
      <c r="E1634" s="11" t="s">
        <v>1573</v>
      </c>
      <c r="F1634" s="12">
        <v>0</v>
      </c>
    </row>
    <row r="1635" spans="2:6" hidden="1" x14ac:dyDescent="0.2">
      <c r="B1635" s="4">
        <v>2014</v>
      </c>
      <c r="C1635" s="11" t="s">
        <v>1548</v>
      </c>
      <c r="D1635" s="11" t="s">
        <v>1574</v>
      </c>
      <c r="E1635" s="11" t="s">
        <v>1575</v>
      </c>
      <c r="F1635" s="12">
        <v>40</v>
      </c>
    </row>
    <row r="1636" spans="2:6" hidden="1" x14ac:dyDescent="0.2">
      <c r="B1636" s="4">
        <v>2014</v>
      </c>
      <c r="C1636" s="11" t="s">
        <v>1548</v>
      </c>
      <c r="D1636" s="11" t="s">
        <v>1574</v>
      </c>
      <c r="E1636" s="11" t="s">
        <v>1576</v>
      </c>
      <c r="F1636" s="12">
        <v>3</v>
      </c>
    </row>
    <row r="1637" spans="2:6" hidden="1" x14ac:dyDescent="0.2">
      <c r="B1637" s="4">
        <v>2014</v>
      </c>
      <c r="C1637" s="11" t="s">
        <v>1548</v>
      </c>
      <c r="D1637" s="11" t="s">
        <v>1574</v>
      </c>
      <c r="E1637" s="11" t="s">
        <v>1577</v>
      </c>
      <c r="F1637" s="12">
        <v>0</v>
      </c>
    </row>
    <row r="1638" spans="2:6" hidden="1" x14ac:dyDescent="0.2">
      <c r="B1638" s="4">
        <v>2014</v>
      </c>
      <c r="C1638" s="11" t="s">
        <v>1548</v>
      </c>
      <c r="D1638" s="11" t="s">
        <v>1574</v>
      </c>
      <c r="E1638" s="11" t="s">
        <v>1578</v>
      </c>
      <c r="F1638" s="12">
        <v>2</v>
      </c>
    </row>
    <row r="1639" spans="2:6" hidden="1" x14ac:dyDescent="0.2">
      <c r="B1639" s="4">
        <v>2014</v>
      </c>
      <c r="C1639" s="11" t="s">
        <v>1548</v>
      </c>
      <c r="D1639" s="11" t="s">
        <v>1574</v>
      </c>
      <c r="E1639" s="11" t="s">
        <v>1579</v>
      </c>
      <c r="F1639" s="12">
        <v>1</v>
      </c>
    </row>
    <row r="1640" spans="2:6" hidden="1" x14ac:dyDescent="0.2">
      <c r="B1640" s="4">
        <v>2014</v>
      </c>
      <c r="C1640" s="11" t="s">
        <v>1548</v>
      </c>
      <c r="D1640" s="11" t="s">
        <v>1574</v>
      </c>
      <c r="E1640" s="11" t="s">
        <v>1580</v>
      </c>
      <c r="F1640" s="12">
        <v>0</v>
      </c>
    </row>
    <row r="1641" spans="2:6" hidden="1" x14ac:dyDescent="0.2">
      <c r="B1641" s="4">
        <v>2014</v>
      </c>
      <c r="C1641" s="11" t="s">
        <v>1548</v>
      </c>
      <c r="D1641" s="11" t="s">
        <v>1574</v>
      </c>
      <c r="E1641" s="11" t="s">
        <v>1581</v>
      </c>
      <c r="F1641" s="12">
        <v>3</v>
      </c>
    </row>
    <row r="1642" spans="2:6" hidden="1" x14ac:dyDescent="0.2">
      <c r="B1642" s="4">
        <v>2014</v>
      </c>
      <c r="C1642" s="11" t="s">
        <v>1548</v>
      </c>
      <c r="D1642" s="11" t="s">
        <v>1574</v>
      </c>
      <c r="E1642" s="11" t="s">
        <v>1582</v>
      </c>
      <c r="F1642" s="12">
        <v>4</v>
      </c>
    </row>
    <row r="1643" spans="2:6" hidden="1" x14ac:dyDescent="0.2">
      <c r="B1643" s="4">
        <v>2014</v>
      </c>
      <c r="C1643" s="11" t="s">
        <v>1548</v>
      </c>
      <c r="D1643" s="11" t="s">
        <v>1574</v>
      </c>
      <c r="E1643" s="11" t="s">
        <v>1583</v>
      </c>
      <c r="F1643" s="12">
        <v>5</v>
      </c>
    </row>
    <row r="1644" spans="2:6" hidden="1" x14ac:dyDescent="0.2">
      <c r="B1644" s="4">
        <v>2014</v>
      </c>
      <c r="C1644" s="11" t="s">
        <v>1548</v>
      </c>
      <c r="D1644" s="11" t="s">
        <v>1574</v>
      </c>
      <c r="E1644" s="11" t="s">
        <v>1584</v>
      </c>
      <c r="F1644" s="12">
        <v>1</v>
      </c>
    </row>
    <row r="1645" spans="2:6" hidden="1" x14ac:dyDescent="0.2">
      <c r="B1645" s="4">
        <v>2014</v>
      </c>
      <c r="C1645" s="11" t="s">
        <v>1548</v>
      </c>
      <c r="D1645" s="11" t="s">
        <v>1553</v>
      </c>
      <c r="E1645" s="11" t="s">
        <v>1585</v>
      </c>
      <c r="F1645" s="12">
        <v>1</v>
      </c>
    </row>
    <row r="1646" spans="2:6" hidden="1" x14ac:dyDescent="0.2">
      <c r="B1646" s="4">
        <v>2014</v>
      </c>
      <c r="C1646" s="11" t="s">
        <v>1548</v>
      </c>
      <c r="D1646" s="11" t="s">
        <v>1553</v>
      </c>
      <c r="E1646" s="11" t="s">
        <v>1586</v>
      </c>
      <c r="F1646" s="12">
        <v>6</v>
      </c>
    </row>
    <row r="1647" spans="2:6" hidden="1" x14ac:dyDescent="0.2">
      <c r="B1647" s="4">
        <v>2014</v>
      </c>
      <c r="C1647" s="11" t="s">
        <v>1548</v>
      </c>
      <c r="D1647" s="11" t="s">
        <v>1553</v>
      </c>
      <c r="E1647" s="11" t="s">
        <v>1587</v>
      </c>
      <c r="F1647" s="12">
        <v>2</v>
      </c>
    </row>
    <row r="1648" spans="2:6" hidden="1" x14ac:dyDescent="0.2">
      <c r="B1648" s="4">
        <v>2014</v>
      </c>
      <c r="C1648" s="11" t="s">
        <v>1548</v>
      </c>
      <c r="D1648" s="11" t="s">
        <v>1553</v>
      </c>
      <c r="E1648" s="11" t="s">
        <v>1588</v>
      </c>
      <c r="F1648" s="12">
        <v>0</v>
      </c>
    </row>
    <row r="1649" spans="2:6" hidden="1" x14ac:dyDescent="0.2">
      <c r="B1649" s="4">
        <v>2014</v>
      </c>
      <c r="C1649" s="11" t="s">
        <v>1548</v>
      </c>
      <c r="D1649" s="11" t="s">
        <v>1553</v>
      </c>
      <c r="E1649" s="11" t="s">
        <v>1589</v>
      </c>
      <c r="F1649" s="12">
        <v>0</v>
      </c>
    </row>
    <row r="1650" spans="2:6" hidden="1" x14ac:dyDescent="0.2">
      <c r="B1650" s="4">
        <v>2014</v>
      </c>
      <c r="C1650" s="11" t="s">
        <v>1548</v>
      </c>
      <c r="D1650" s="11" t="s">
        <v>1553</v>
      </c>
      <c r="E1650" s="11" t="s">
        <v>1590</v>
      </c>
      <c r="F1650" s="12">
        <v>5</v>
      </c>
    </row>
    <row r="1651" spans="2:6" hidden="1" x14ac:dyDescent="0.2">
      <c r="B1651" s="4">
        <v>2014</v>
      </c>
      <c r="C1651" s="11" t="s">
        <v>1548</v>
      </c>
      <c r="D1651" s="11" t="s">
        <v>1553</v>
      </c>
      <c r="E1651" s="11" t="s">
        <v>1591</v>
      </c>
      <c r="F1651" s="12">
        <v>2</v>
      </c>
    </row>
    <row r="1652" spans="2:6" hidden="1" x14ac:dyDescent="0.2">
      <c r="B1652" s="4">
        <v>2014</v>
      </c>
      <c r="C1652" s="11" t="s">
        <v>1548</v>
      </c>
      <c r="D1652" s="11" t="s">
        <v>1592</v>
      </c>
      <c r="E1652" s="11" t="s">
        <v>1593</v>
      </c>
      <c r="F1652" s="12">
        <v>24</v>
      </c>
    </row>
    <row r="1653" spans="2:6" hidden="1" x14ac:dyDescent="0.2">
      <c r="B1653" s="4">
        <v>2014</v>
      </c>
      <c r="C1653" s="11" t="s">
        <v>1548</v>
      </c>
      <c r="D1653" s="11" t="s">
        <v>1592</v>
      </c>
      <c r="E1653" s="11" t="s">
        <v>1594</v>
      </c>
      <c r="F1653" s="12">
        <v>0</v>
      </c>
    </row>
    <row r="1654" spans="2:6" hidden="1" x14ac:dyDescent="0.2">
      <c r="B1654" s="4">
        <v>2014</v>
      </c>
      <c r="C1654" s="11" t="s">
        <v>1548</v>
      </c>
      <c r="D1654" s="11" t="s">
        <v>1592</v>
      </c>
      <c r="E1654" s="11" t="s">
        <v>1595</v>
      </c>
      <c r="F1654" s="12">
        <v>0</v>
      </c>
    </row>
    <row r="1655" spans="2:6" hidden="1" x14ac:dyDescent="0.2">
      <c r="B1655" s="4">
        <v>2014</v>
      </c>
      <c r="C1655" s="11" t="s">
        <v>1548</v>
      </c>
      <c r="D1655" s="11" t="s">
        <v>1592</v>
      </c>
      <c r="E1655" s="11" t="s">
        <v>113</v>
      </c>
      <c r="F1655" s="12">
        <v>2</v>
      </c>
    </row>
    <row r="1656" spans="2:6" hidden="1" x14ac:dyDescent="0.2">
      <c r="B1656" s="4">
        <v>2014</v>
      </c>
      <c r="C1656" s="11" t="s">
        <v>1548</v>
      </c>
      <c r="D1656" s="11" t="s">
        <v>1592</v>
      </c>
      <c r="E1656" s="11" t="s">
        <v>1596</v>
      </c>
      <c r="F1656" s="12">
        <v>0</v>
      </c>
    </row>
    <row r="1657" spans="2:6" hidden="1" x14ac:dyDescent="0.2">
      <c r="B1657" s="4">
        <v>2014</v>
      </c>
      <c r="C1657" s="11" t="s">
        <v>1548</v>
      </c>
      <c r="D1657" s="11" t="s">
        <v>1597</v>
      </c>
      <c r="E1657" s="11" t="s">
        <v>1597</v>
      </c>
      <c r="F1657" s="12">
        <v>10</v>
      </c>
    </row>
    <row r="1658" spans="2:6" hidden="1" x14ac:dyDescent="0.2">
      <c r="B1658" s="4">
        <v>2014</v>
      </c>
      <c r="C1658" s="11" t="s">
        <v>1548</v>
      </c>
      <c r="D1658" s="11" t="s">
        <v>1597</v>
      </c>
      <c r="E1658" s="11" t="s">
        <v>1598</v>
      </c>
      <c r="F1658" s="12">
        <v>1</v>
      </c>
    </row>
    <row r="1659" spans="2:6" hidden="1" x14ac:dyDescent="0.2">
      <c r="B1659" s="4">
        <v>2014</v>
      </c>
      <c r="C1659" s="11" t="s">
        <v>1548</v>
      </c>
      <c r="D1659" s="11" t="s">
        <v>1597</v>
      </c>
      <c r="E1659" s="11" t="s">
        <v>1599</v>
      </c>
      <c r="F1659" s="12">
        <v>0</v>
      </c>
    </row>
    <row r="1660" spans="2:6" hidden="1" x14ac:dyDescent="0.2">
      <c r="B1660" s="4">
        <v>2014</v>
      </c>
      <c r="C1660" s="11" t="s">
        <v>1548</v>
      </c>
      <c r="D1660" s="11" t="s">
        <v>1597</v>
      </c>
      <c r="E1660" s="11" t="s">
        <v>1600</v>
      </c>
      <c r="F1660" s="12">
        <v>0</v>
      </c>
    </row>
    <row r="1661" spans="2:6" hidden="1" x14ac:dyDescent="0.2">
      <c r="B1661" s="4">
        <v>2014</v>
      </c>
      <c r="C1661" s="11" t="s">
        <v>1548</v>
      </c>
      <c r="D1661" s="11" t="s">
        <v>1597</v>
      </c>
      <c r="E1661" s="11" t="s">
        <v>1601</v>
      </c>
      <c r="F1661" s="12">
        <v>0</v>
      </c>
    </row>
    <row r="1662" spans="2:6" hidden="1" x14ac:dyDescent="0.2">
      <c r="B1662" s="4">
        <v>2014</v>
      </c>
      <c r="C1662" s="11" t="s">
        <v>1548</v>
      </c>
      <c r="D1662" s="11" t="s">
        <v>1597</v>
      </c>
      <c r="E1662" s="11" t="s">
        <v>1602</v>
      </c>
      <c r="F1662" s="12">
        <v>0</v>
      </c>
    </row>
    <row r="1663" spans="2:6" hidden="1" x14ac:dyDescent="0.2">
      <c r="B1663" s="4">
        <v>2014</v>
      </c>
      <c r="C1663" s="11" t="s">
        <v>1548</v>
      </c>
      <c r="D1663" s="11" t="s">
        <v>1597</v>
      </c>
      <c r="E1663" s="11" t="s">
        <v>1603</v>
      </c>
      <c r="F1663" s="12">
        <v>1</v>
      </c>
    </row>
    <row r="1664" spans="2:6" hidden="1" x14ac:dyDescent="0.2">
      <c r="B1664" s="4">
        <v>2014</v>
      </c>
      <c r="C1664" s="11" t="s">
        <v>1548</v>
      </c>
      <c r="D1664" s="11" t="s">
        <v>1597</v>
      </c>
      <c r="E1664" s="11" t="s">
        <v>1604</v>
      </c>
      <c r="F1664" s="12">
        <v>0</v>
      </c>
    </row>
    <row r="1665" spans="2:6" hidden="1" x14ac:dyDescent="0.2">
      <c r="B1665" s="4">
        <v>2014</v>
      </c>
      <c r="C1665" s="11" t="s">
        <v>1548</v>
      </c>
      <c r="D1665" s="11" t="s">
        <v>551</v>
      </c>
      <c r="E1665" s="11" t="s">
        <v>551</v>
      </c>
      <c r="F1665" s="12">
        <v>10</v>
      </c>
    </row>
    <row r="1666" spans="2:6" hidden="1" x14ac:dyDescent="0.2">
      <c r="B1666" s="4">
        <v>2014</v>
      </c>
      <c r="C1666" s="11" t="s">
        <v>1548</v>
      </c>
      <c r="D1666" s="11" t="s">
        <v>551</v>
      </c>
      <c r="E1666" s="11" t="s">
        <v>1605</v>
      </c>
      <c r="F1666" s="12">
        <v>0</v>
      </c>
    </row>
    <row r="1667" spans="2:6" hidden="1" x14ac:dyDescent="0.2">
      <c r="B1667" s="4">
        <v>2014</v>
      </c>
      <c r="C1667" s="11" t="s">
        <v>1548</v>
      </c>
      <c r="D1667" s="11" t="s">
        <v>551</v>
      </c>
      <c r="E1667" s="11" t="s">
        <v>1606</v>
      </c>
      <c r="F1667" s="12">
        <v>0</v>
      </c>
    </row>
    <row r="1668" spans="2:6" hidden="1" x14ac:dyDescent="0.2">
      <c r="B1668" s="4">
        <v>2014</v>
      </c>
      <c r="C1668" s="11" t="s">
        <v>1548</v>
      </c>
      <c r="D1668" s="11" t="s">
        <v>551</v>
      </c>
      <c r="E1668" s="11" t="s">
        <v>1607</v>
      </c>
      <c r="F1668" s="12">
        <v>0</v>
      </c>
    </row>
    <row r="1669" spans="2:6" hidden="1" x14ac:dyDescent="0.2">
      <c r="B1669" s="4">
        <v>2014</v>
      </c>
      <c r="C1669" s="11" t="s">
        <v>1548</v>
      </c>
      <c r="D1669" s="11" t="s">
        <v>551</v>
      </c>
      <c r="E1669" s="11" t="s">
        <v>1608</v>
      </c>
      <c r="F1669" s="12">
        <v>0</v>
      </c>
    </row>
    <row r="1670" spans="2:6" hidden="1" x14ac:dyDescent="0.2">
      <c r="B1670" s="4">
        <v>2014</v>
      </c>
      <c r="C1670" s="11" t="s">
        <v>1548</v>
      </c>
      <c r="D1670" s="11" t="s">
        <v>551</v>
      </c>
      <c r="E1670" s="11" t="s">
        <v>822</v>
      </c>
      <c r="F1670" s="12">
        <v>1</v>
      </c>
    </row>
    <row r="1671" spans="2:6" hidden="1" x14ac:dyDescent="0.2">
      <c r="B1671" s="4">
        <v>2014</v>
      </c>
      <c r="C1671" s="11" t="s">
        <v>1548</v>
      </c>
      <c r="D1671" s="11" t="s">
        <v>551</v>
      </c>
      <c r="E1671" s="11" t="s">
        <v>1609</v>
      </c>
      <c r="F1671" s="12">
        <v>0</v>
      </c>
    </row>
    <row r="1672" spans="2:6" hidden="1" x14ac:dyDescent="0.2">
      <c r="B1672" s="4">
        <v>2014</v>
      </c>
      <c r="C1672" s="11" t="s">
        <v>1548</v>
      </c>
      <c r="D1672" s="11" t="s">
        <v>551</v>
      </c>
      <c r="E1672" s="11" t="s">
        <v>661</v>
      </c>
      <c r="F1672" s="12">
        <v>0</v>
      </c>
    </row>
    <row r="1673" spans="2:6" hidden="1" x14ac:dyDescent="0.2">
      <c r="B1673" s="4">
        <v>2014</v>
      </c>
      <c r="C1673" s="11" t="s">
        <v>1548</v>
      </c>
      <c r="D1673" s="11" t="s">
        <v>551</v>
      </c>
      <c r="E1673" s="11" t="s">
        <v>537</v>
      </c>
      <c r="F1673" s="12">
        <v>0</v>
      </c>
    </row>
    <row r="1674" spans="2:6" hidden="1" x14ac:dyDescent="0.2">
      <c r="B1674" s="4">
        <v>2014</v>
      </c>
      <c r="C1674" s="11" t="s">
        <v>1548</v>
      </c>
      <c r="D1674" s="11" t="s">
        <v>551</v>
      </c>
      <c r="E1674" s="11" t="s">
        <v>1610</v>
      </c>
      <c r="F1674" s="12">
        <v>0</v>
      </c>
    </row>
    <row r="1675" spans="2:6" hidden="1" x14ac:dyDescent="0.2">
      <c r="B1675" s="4">
        <v>2014</v>
      </c>
      <c r="C1675" s="11" t="s">
        <v>1548</v>
      </c>
      <c r="D1675" s="11" t="s">
        <v>1611</v>
      </c>
      <c r="E1675" s="11" t="s">
        <v>1353</v>
      </c>
      <c r="F1675" s="12">
        <v>15</v>
      </c>
    </row>
    <row r="1676" spans="2:6" hidden="1" x14ac:dyDescent="0.2">
      <c r="B1676" s="4">
        <v>2014</v>
      </c>
      <c r="C1676" s="11" t="s">
        <v>1548</v>
      </c>
      <c r="D1676" s="11" t="s">
        <v>1611</v>
      </c>
      <c r="E1676" s="11" t="s">
        <v>1612</v>
      </c>
      <c r="F1676" s="12">
        <v>4</v>
      </c>
    </row>
    <row r="1677" spans="2:6" hidden="1" x14ac:dyDescent="0.2">
      <c r="B1677" s="4">
        <v>2014</v>
      </c>
      <c r="C1677" s="11" t="s">
        <v>1548</v>
      </c>
      <c r="D1677" s="11" t="s">
        <v>1611</v>
      </c>
      <c r="E1677" s="11" t="s">
        <v>1613</v>
      </c>
      <c r="F1677" s="12">
        <v>0</v>
      </c>
    </row>
    <row r="1678" spans="2:6" hidden="1" x14ac:dyDescent="0.2">
      <c r="B1678" s="4">
        <v>2014</v>
      </c>
      <c r="C1678" s="11" t="s">
        <v>1548</v>
      </c>
      <c r="D1678" s="11" t="s">
        <v>1611</v>
      </c>
      <c r="E1678" s="11" t="s">
        <v>1614</v>
      </c>
      <c r="F1678" s="12">
        <v>0</v>
      </c>
    </row>
    <row r="1679" spans="2:6" hidden="1" x14ac:dyDescent="0.2">
      <c r="B1679" s="4">
        <v>2014</v>
      </c>
      <c r="C1679" s="11" t="s">
        <v>1548</v>
      </c>
      <c r="D1679" s="11" t="s">
        <v>1611</v>
      </c>
      <c r="E1679" s="11" t="s">
        <v>1615</v>
      </c>
      <c r="F1679" s="12">
        <v>2</v>
      </c>
    </row>
    <row r="1680" spans="2:6" hidden="1" x14ac:dyDescent="0.2">
      <c r="B1680" s="4">
        <v>2014</v>
      </c>
      <c r="C1680" s="11" t="s">
        <v>1548</v>
      </c>
      <c r="D1680" s="11" t="s">
        <v>1611</v>
      </c>
      <c r="E1680" s="11" t="s">
        <v>1616</v>
      </c>
      <c r="F1680" s="12">
        <v>2</v>
      </c>
    </row>
    <row r="1681" spans="2:6" hidden="1" x14ac:dyDescent="0.2">
      <c r="B1681" s="4">
        <v>2014</v>
      </c>
      <c r="C1681" s="11" t="s">
        <v>1548</v>
      </c>
      <c r="D1681" s="11" t="s">
        <v>1611</v>
      </c>
      <c r="E1681" s="11" t="s">
        <v>1617</v>
      </c>
      <c r="F1681" s="12">
        <v>2</v>
      </c>
    </row>
    <row r="1682" spans="2:6" hidden="1" x14ac:dyDescent="0.2">
      <c r="B1682" s="4">
        <v>2014</v>
      </c>
      <c r="C1682" s="11" t="s">
        <v>1548</v>
      </c>
      <c r="D1682" s="11" t="s">
        <v>1611</v>
      </c>
      <c r="E1682" s="11" t="s">
        <v>113</v>
      </c>
      <c r="F1682" s="12">
        <v>0</v>
      </c>
    </row>
    <row r="1683" spans="2:6" hidden="1" x14ac:dyDescent="0.2">
      <c r="B1683" s="4">
        <v>2014</v>
      </c>
      <c r="C1683" s="11" t="s">
        <v>1548</v>
      </c>
      <c r="D1683" s="11" t="s">
        <v>1611</v>
      </c>
      <c r="E1683" s="11" t="s">
        <v>1618</v>
      </c>
      <c r="F1683" s="12">
        <v>1</v>
      </c>
    </row>
    <row r="1684" spans="2:6" hidden="1" x14ac:dyDescent="0.2">
      <c r="B1684" s="4">
        <v>2014</v>
      </c>
      <c r="C1684" s="11" t="s">
        <v>1548</v>
      </c>
      <c r="D1684" s="11" t="s">
        <v>1619</v>
      </c>
      <c r="E1684" s="11" t="s">
        <v>1619</v>
      </c>
      <c r="F1684" s="12">
        <v>0</v>
      </c>
    </row>
    <row r="1685" spans="2:6" hidden="1" x14ac:dyDescent="0.2">
      <c r="B1685" s="4">
        <v>2014</v>
      </c>
      <c r="C1685" s="11" t="s">
        <v>1548</v>
      </c>
      <c r="D1685" s="11" t="s">
        <v>1619</v>
      </c>
      <c r="E1685" s="11" t="s">
        <v>1620</v>
      </c>
      <c r="F1685" s="12">
        <v>1</v>
      </c>
    </row>
    <row r="1686" spans="2:6" hidden="1" x14ac:dyDescent="0.2">
      <c r="B1686" s="4">
        <v>2014</v>
      </c>
      <c r="C1686" s="11" t="s">
        <v>1548</v>
      </c>
      <c r="D1686" s="11" t="s">
        <v>1619</v>
      </c>
      <c r="E1686" s="11" t="s">
        <v>1621</v>
      </c>
      <c r="F1686" s="12">
        <v>0</v>
      </c>
    </row>
    <row r="1687" spans="2:6" hidden="1" x14ac:dyDescent="0.2">
      <c r="B1687" s="4">
        <v>2014</v>
      </c>
      <c r="C1687" s="11" t="s">
        <v>1548</v>
      </c>
      <c r="D1687" s="11" t="s">
        <v>1619</v>
      </c>
      <c r="E1687" s="11" t="s">
        <v>1622</v>
      </c>
      <c r="F1687" s="12">
        <v>0</v>
      </c>
    </row>
    <row r="1688" spans="2:6" hidden="1" x14ac:dyDescent="0.2">
      <c r="B1688" s="4">
        <v>2014</v>
      </c>
      <c r="C1688" s="11" t="s">
        <v>1548</v>
      </c>
      <c r="D1688" s="11" t="s">
        <v>1623</v>
      </c>
      <c r="E1688" s="11" t="s">
        <v>1624</v>
      </c>
      <c r="F1688" s="12">
        <v>4</v>
      </c>
    </row>
    <row r="1689" spans="2:6" hidden="1" x14ac:dyDescent="0.2">
      <c r="B1689" s="4">
        <v>2014</v>
      </c>
      <c r="C1689" s="11" t="s">
        <v>1548</v>
      </c>
      <c r="D1689" s="11" t="s">
        <v>1623</v>
      </c>
      <c r="E1689" s="11" t="s">
        <v>1625</v>
      </c>
      <c r="F1689" s="12">
        <v>5</v>
      </c>
    </row>
    <row r="1690" spans="2:6" hidden="1" x14ac:dyDescent="0.2">
      <c r="B1690" s="4">
        <v>2014</v>
      </c>
      <c r="C1690" s="11" t="s">
        <v>1548</v>
      </c>
      <c r="D1690" s="11" t="s">
        <v>1623</v>
      </c>
      <c r="E1690" s="11" t="s">
        <v>1626</v>
      </c>
      <c r="F1690" s="12">
        <v>0</v>
      </c>
    </row>
    <row r="1691" spans="2:6" hidden="1" x14ac:dyDescent="0.2">
      <c r="B1691" s="4">
        <v>2014</v>
      </c>
      <c r="C1691" s="11" t="s">
        <v>1548</v>
      </c>
      <c r="D1691" s="11" t="s">
        <v>1623</v>
      </c>
      <c r="E1691" s="11" t="s">
        <v>1627</v>
      </c>
      <c r="F1691" s="12">
        <v>2</v>
      </c>
    </row>
    <row r="1692" spans="2:6" hidden="1" x14ac:dyDescent="0.2">
      <c r="B1692" s="4">
        <v>2014</v>
      </c>
      <c r="C1692" s="11" t="s">
        <v>1548</v>
      </c>
      <c r="D1692" s="11" t="s">
        <v>1623</v>
      </c>
      <c r="E1692" s="11" t="s">
        <v>1628</v>
      </c>
      <c r="F1692" s="12">
        <v>0</v>
      </c>
    </row>
    <row r="1693" spans="2:6" hidden="1" x14ac:dyDescent="0.2">
      <c r="B1693" s="4">
        <v>2014</v>
      </c>
      <c r="C1693" s="11" t="s">
        <v>1548</v>
      </c>
      <c r="D1693" s="11" t="s">
        <v>1629</v>
      </c>
      <c r="E1693" s="11" t="s">
        <v>1630</v>
      </c>
      <c r="F1693" s="12">
        <v>36</v>
      </c>
    </row>
    <row r="1694" spans="2:6" hidden="1" x14ac:dyDescent="0.2">
      <c r="B1694" s="4">
        <v>2014</v>
      </c>
      <c r="C1694" s="11" t="s">
        <v>1548</v>
      </c>
      <c r="D1694" s="11" t="s">
        <v>1629</v>
      </c>
      <c r="E1694" s="11" t="s">
        <v>240</v>
      </c>
      <c r="F1694" s="12">
        <v>0</v>
      </c>
    </row>
    <row r="1695" spans="2:6" hidden="1" x14ac:dyDescent="0.2">
      <c r="B1695" s="4">
        <v>2014</v>
      </c>
      <c r="C1695" s="11" t="s">
        <v>1548</v>
      </c>
      <c r="D1695" s="11" t="s">
        <v>1629</v>
      </c>
      <c r="E1695" s="11" t="s">
        <v>1631</v>
      </c>
      <c r="F1695" s="12">
        <v>2</v>
      </c>
    </row>
    <row r="1696" spans="2:6" hidden="1" x14ac:dyDescent="0.2">
      <c r="B1696" s="4">
        <v>2014</v>
      </c>
      <c r="C1696" s="11" t="s">
        <v>1548</v>
      </c>
      <c r="D1696" s="11" t="s">
        <v>1629</v>
      </c>
      <c r="E1696" s="11" t="s">
        <v>1632</v>
      </c>
      <c r="F1696" s="12">
        <v>0</v>
      </c>
    </row>
    <row r="1697" spans="2:6" hidden="1" x14ac:dyDescent="0.2">
      <c r="B1697" s="4">
        <v>2014</v>
      </c>
      <c r="C1697" s="11" t="s">
        <v>1548</v>
      </c>
      <c r="D1697" s="11" t="s">
        <v>1633</v>
      </c>
      <c r="E1697" s="11" t="s">
        <v>1633</v>
      </c>
      <c r="F1697" s="12">
        <v>11</v>
      </c>
    </row>
    <row r="1698" spans="2:6" hidden="1" x14ac:dyDescent="0.2">
      <c r="B1698" s="4">
        <v>2014</v>
      </c>
      <c r="C1698" s="11" t="s">
        <v>1548</v>
      </c>
      <c r="D1698" s="11" t="s">
        <v>1633</v>
      </c>
      <c r="E1698" s="11" t="s">
        <v>1634</v>
      </c>
      <c r="F1698" s="12">
        <v>4</v>
      </c>
    </row>
    <row r="1699" spans="2:6" hidden="1" x14ac:dyDescent="0.2">
      <c r="B1699" s="4">
        <v>2014</v>
      </c>
      <c r="C1699" s="11" t="s">
        <v>1548</v>
      </c>
      <c r="D1699" s="11" t="s">
        <v>1633</v>
      </c>
      <c r="E1699" s="11" t="s">
        <v>1635</v>
      </c>
      <c r="F1699" s="12">
        <v>6</v>
      </c>
    </row>
    <row r="1700" spans="2:6" hidden="1" x14ac:dyDescent="0.2">
      <c r="B1700" s="4">
        <v>2014</v>
      </c>
      <c r="C1700" s="11" t="s">
        <v>1548</v>
      </c>
      <c r="D1700" s="11" t="s">
        <v>1633</v>
      </c>
      <c r="E1700" s="11" t="s">
        <v>1636</v>
      </c>
      <c r="F1700" s="12">
        <v>0</v>
      </c>
    </row>
    <row r="1701" spans="2:6" hidden="1" x14ac:dyDescent="0.2">
      <c r="B1701" s="4">
        <v>2014</v>
      </c>
      <c r="C1701" s="11" t="s">
        <v>1548</v>
      </c>
      <c r="D1701" s="11" t="s">
        <v>1633</v>
      </c>
      <c r="E1701" s="11" t="s">
        <v>1637</v>
      </c>
      <c r="F1701" s="12">
        <v>0</v>
      </c>
    </row>
    <row r="1702" spans="2:6" hidden="1" x14ac:dyDescent="0.2">
      <c r="B1702" s="4">
        <v>2014</v>
      </c>
      <c r="C1702" s="11" t="s">
        <v>1548</v>
      </c>
      <c r="D1702" s="11" t="s">
        <v>1633</v>
      </c>
      <c r="E1702" s="11" t="s">
        <v>1638</v>
      </c>
      <c r="F1702" s="12">
        <v>0</v>
      </c>
    </row>
    <row r="1703" spans="2:6" hidden="1" x14ac:dyDescent="0.2">
      <c r="B1703" s="4">
        <v>2014</v>
      </c>
      <c r="C1703" s="11" t="s">
        <v>1548</v>
      </c>
      <c r="D1703" s="11" t="s">
        <v>1633</v>
      </c>
      <c r="E1703" s="11" t="s">
        <v>1639</v>
      </c>
      <c r="F1703" s="12">
        <v>0</v>
      </c>
    </row>
    <row r="1704" spans="2:6" hidden="1" x14ac:dyDescent="0.2">
      <c r="B1704" s="4">
        <v>2014</v>
      </c>
      <c r="C1704" s="11" t="s">
        <v>1548</v>
      </c>
      <c r="D1704" s="11" t="s">
        <v>1633</v>
      </c>
      <c r="E1704" s="11" t="s">
        <v>1640</v>
      </c>
      <c r="F1704" s="12">
        <v>4</v>
      </c>
    </row>
    <row r="1705" spans="2:6" hidden="1" x14ac:dyDescent="0.2">
      <c r="B1705" s="4">
        <v>2014</v>
      </c>
      <c r="C1705" s="11" t="s">
        <v>1548</v>
      </c>
      <c r="D1705" s="11" t="s">
        <v>1633</v>
      </c>
      <c r="E1705" s="11" t="s">
        <v>1641</v>
      </c>
      <c r="F1705" s="12">
        <v>0</v>
      </c>
    </row>
    <row r="1706" spans="2:6" hidden="1" x14ac:dyDescent="0.2">
      <c r="B1706" s="4">
        <v>2014</v>
      </c>
      <c r="C1706" s="11" t="s">
        <v>1548</v>
      </c>
      <c r="D1706" s="11" t="s">
        <v>1633</v>
      </c>
      <c r="E1706" s="11" t="s">
        <v>1642</v>
      </c>
      <c r="F1706" s="12">
        <v>0</v>
      </c>
    </row>
    <row r="1707" spans="2:6" hidden="1" x14ac:dyDescent="0.2">
      <c r="B1707" s="4">
        <v>2014</v>
      </c>
      <c r="C1707" s="11" t="s">
        <v>1548</v>
      </c>
      <c r="D1707" s="11" t="s">
        <v>1643</v>
      </c>
      <c r="E1707" s="11" t="s">
        <v>1643</v>
      </c>
      <c r="F1707" s="12">
        <v>2</v>
      </c>
    </row>
    <row r="1708" spans="2:6" hidden="1" x14ac:dyDescent="0.2">
      <c r="B1708" s="4">
        <v>2014</v>
      </c>
      <c r="C1708" s="11" t="s">
        <v>1548</v>
      </c>
      <c r="D1708" s="11" t="s">
        <v>1643</v>
      </c>
      <c r="E1708" s="11" t="s">
        <v>1644</v>
      </c>
      <c r="F1708" s="12">
        <v>0</v>
      </c>
    </row>
    <row r="1709" spans="2:6" hidden="1" x14ac:dyDescent="0.2">
      <c r="B1709" s="4">
        <v>2014</v>
      </c>
      <c r="C1709" s="11" t="s">
        <v>1548</v>
      </c>
      <c r="D1709" s="11" t="s">
        <v>1643</v>
      </c>
      <c r="E1709" s="11" t="s">
        <v>1645</v>
      </c>
      <c r="F1709" s="12">
        <v>0</v>
      </c>
    </row>
    <row r="1710" spans="2:6" hidden="1" x14ac:dyDescent="0.2">
      <c r="B1710" s="4">
        <v>2014</v>
      </c>
      <c r="C1710" s="11" t="s">
        <v>1548</v>
      </c>
      <c r="D1710" s="11" t="s">
        <v>1643</v>
      </c>
      <c r="E1710" s="11" t="s">
        <v>1646</v>
      </c>
      <c r="F1710" s="12">
        <v>0</v>
      </c>
    </row>
    <row r="1711" spans="2:6" hidden="1" x14ac:dyDescent="0.2">
      <c r="B1711" s="4">
        <v>2014</v>
      </c>
      <c r="C1711" s="11" t="s">
        <v>1548</v>
      </c>
      <c r="D1711" s="11" t="s">
        <v>1643</v>
      </c>
      <c r="E1711" s="11" t="s">
        <v>1647</v>
      </c>
      <c r="F1711" s="12">
        <v>0</v>
      </c>
    </row>
    <row r="1712" spans="2:6" hidden="1" x14ac:dyDescent="0.2">
      <c r="B1712" s="4">
        <v>2014</v>
      </c>
      <c r="C1712" s="11" t="s">
        <v>1548</v>
      </c>
      <c r="D1712" s="11" t="s">
        <v>1643</v>
      </c>
      <c r="E1712" s="11" t="s">
        <v>1648</v>
      </c>
      <c r="F1712" s="12">
        <v>0</v>
      </c>
    </row>
    <row r="1713" spans="2:6" hidden="1" x14ac:dyDescent="0.2">
      <c r="B1713" s="4">
        <v>2014</v>
      </c>
      <c r="C1713" s="11" t="s">
        <v>1548</v>
      </c>
      <c r="D1713" s="11" t="s">
        <v>1643</v>
      </c>
      <c r="E1713" s="11" t="s">
        <v>1649</v>
      </c>
      <c r="F1713" s="12">
        <v>0</v>
      </c>
    </row>
    <row r="1714" spans="2:6" hidden="1" x14ac:dyDescent="0.2">
      <c r="B1714" s="4">
        <v>2014</v>
      </c>
      <c r="C1714" s="11" t="s">
        <v>1650</v>
      </c>
      <c r="D1714" s="11" t="s">
        <v>1651</v>
      </c>
      <c r="E1714" s="11" t="s">
        <v>1651</v>
      </c>
      <c r="F1714" s="12">
        <v>40</v>
      </c>
    </row>
    <row r="1715" spans="2:6" hidden="1" x14ac:dyDescent="0.2">
      <c r="B1715" s="4">
        <v>2014</v>
      </c>
      <c r="C1715" s="11" t="s">
        <v>1650</v>
      </c>
      <c r="D1715" s="11" t="s">
        <v>1651</v>
      </c>
      <c r="E1715" s="11" t="s">
        <v>1652</v>
      </c>
      <c r="F1715" s="12">
        <v>0</v>
      </c>
    </row>
    <row r="1716" spans="2:6" hidden="1" x14ac:dyDescent="0.2">
      <c r="B1716" s="4">
        <v>2014</v>
      </c>
      <c r="C1716" s="11" t="s">
        <v>1650</v>
      </c>
      <c r="D1716" s="11" t="s">
        <v>1651</v>
      </c>
      <c r="E1716" s="11" t="s">
        <v>1653</v>
      </c>
      <c r="F1716" s="12">
        <v>2</v>
      </c>
    </row>
    <row r="1717" spans="2:6" hidden="1" x14ac:dyDescent="0.2">
      <c r="B1717" s="4">
        <v>2014</v>
      </c>
      <c r="C1717" s="11" t="s">
        <v>1650</v>
      </c>
      <c r="D1717" s="11" t="s">
        <v>1651</v>
      </c>
      <c r="E1717" s="11" t="s">
        <v>1654</v>
      </c>
      <c r="F1717" s="12">
        <v>0</v>
      </c>
    </row>
    <row r="1718" spans="2:6" hidden="1" x14ac:dyDescent="0.2">
      <c r="B1718" s="4">
        <v>2014</v>
      </c>
      <c r="C1718" s="11" t="s">
        <v>1650</v>
      </c>
      <c r="D1718" s="11" t="s">
        <v>1651</v>
      </c>
      <c r="E1718" s="11" t="s">
        <v>1655</v>
      </c>
      <c r="F1718" s="12">
        <v>20</v>
      </c>
    </row>
    <row r="1719" spans="2:6" hidden="1" x14ac:dyDescent="0.2">
      <c r="B1719" s="4">
        <v>2014</v>
      </c>
      <c r="C1719" s="11" t="s">
        <v>1650</v>
      </c>
      <c r="D1719" s="11" t="s">
        <v>1651</v>
      </c>
      <c r="E1719" s="11" t="s">
        <v>1656</v>
      </c>
      <c r="F1719" s="12">
        <v>2</v>
      </c>
    </row>
    <row r="1720" spans="2:6" hidden="1" x14ac:dyDescent="0.2">
      <c r="B1720" s="4">
        <v>2014</v>
      </c>
      <c r="C1720" s="11" t="s">
        <v>1650</v>
      </c>
      <c r="D1720" s="11" t="s">
        <v>655</v>
      </c>
      <c r="E1720" s="11" t="s">
        <v>655</v>
      </c>
      <c r="F1720" s="12">
        <v>9</v>
      </c>
    </row>
    <row r="1721" spans="2:6" hidden="1" x14ac:dyDescent="0.2">
      <c r="B1721" s="4">
        <v>2014</v>
      </c>
      <c r="C1721" s="11" t="s">
        <v>1650</v>
      </c>
      <c r="D1721" s="11" t="s">
        <v>655</v>
      </c>
      <c r="E1721" s="11" t="s">
        <v>1657</v>
      </c>
      <c r="F1721" s="12">
        <v>6</v>
      </c>
    </row>
    <row r="1722" spans="2:6" hidden="1" x14ac:dyDescent="0.2">
      <c r="B1722" s="4">
        <v>2014</v>
      </c>
      <c r="C1722" s="11" t="s">
        <v>1650</v>
      </c>
      <c r="D1722" s="11" t="s">
        <v>655</v>
      </c>
      <c r="E1722" s="11" t="s">
        <v>1658</v>
      </c>
      <c r="F1722" s="12">
        <v>2</v>
      </c>
    </row>
    <row r="1723" spans="2:6" hidden="1" x14ac:dyDescent="0.2">
      <c r="B1723" s="4">
        <v>2014</v>
      </c>
      <c r="C1723" s="11" t="s">
        <v>1650</v>
      </c>
      <c r="D1723" s="11" t="s">
        <v>655</v>
      </c>
      <c r="E1723" s="11" t="s">
        <v>1659</v>
      </c>
      <c r="F1723" s="12">
        <v>0</v>
      </c>
    </row>
    <row r="1724" spans="2:6" hidden="1" x14ac:dyDescent="0.2">
      <c r="B1724" s="4">
        <v>2014</v>
      </c>
      <c r="C1724" s="11" t="s">
        <v>1650</v>
      </c>
      <c r="D1724" s="11" t="s">
        <v>655</v>
      </c>
      <c r="E1724" s="11" t="s">
        <v>691</v>
      </c>
      <c r="F1724" s="12">
        <v>5</v>
      </c>
    </row>
    <row r="1725" spans="2:6" hidden="1" x14ac:dyDescent="0.2">
      <c r="B1725" s="4">
        <v>2014</v>
      </c>
      <c r="C1725" s="11" t="s">
        <v>1650</v>
      </c>
      <c r="D1725" s="11" t="s">
        <v>655</v>
      </c>
      <c r="E1725" s="11" t="s">
        <v>912</v>
      </c>
      <c r="F1725" s="12">
        <v>2</v>
      </c>
    </row>
    <row r="1726" spans="2:6" hidden="1" x14ac:dyDescent="0.2">
      <c r="B1726" s="4">
        <v>2014</v>
      </c>
      <c r="C1726" s="11" t="s">
        <v>1650</v>
      </c>
      <c r="D1726" s="11" t="s">
        <v>1660</v>
      </c>
      <c r="E1726" s="11" t="s">
        <v>1661</v>
      </c>
      <c r="F1726" s="12">
        <v>2</v>
      </c>
    </row>
    <row r="1727" spans="2:6" hidden="1" x14ac:dyDescent="0.2">
      <c r="B1727" s="4">
        <v>2014</v>
      </c>
      <c r="C1727" s="11" t="s">
        <v>1650</v>
      </c>
      <c r="D1727" s="11" t="s">
        <v>1660</v>
      </c>
      <c r="E1727" s="11" t="s">
        <v>1662</v>
      </c>
      <c r="F1727" s="12">
        <v>0</v>
      </c>
    </row>
    <row r="1728" spans="2:6" hidden="1" x14ac:dyDescent="0.2">
      <c r="B1728" s="4">
        <v>2014</v>
      </c>
      <c r="C1728" s="11" t="s">
        <v>1650</v>
      </c>
      <c r="D1728" s="11" t="s">
        <v>1660</v>
      </c>
      <c r="E1728" s="11" t="s">
        <v>1650</v>
      </c>
      <c r="F1728" s="12">
        <v>7</v>
      </c>
    </row>
    <row r="1729" spans="2:6" hidden="1" x14ac:dyDescent="0.2">
      <c r="B1729" s="4">
        <v>2014</v>
      </c>
      <c r="C1729" s="11" t="s">
        <v>1650</v>
      </c>
      <c r="D1729" s="11" t="s">
        <v>1660</v>
      </c>
      <c r="E1729" s="11" t="s">
        <v>113</v>
      </c>
      <c r="F1729" s="12">
        <v>0</v>
      </c>
    </row>
    <row r="1730" spans="2:6" hidden="1" x14ac:dyDescent="0.2">
      <c r="B1730" s="4">
        <v>2014</v>
      </c>
      <c r="C1730" s="11" t="s">
        <v>1650</v>
      </c>
      <c r="D1730" s="11" t="s">
        <v>1660</v>
      </c>
      <c r="E1730" s="11" t="s">
        <v>1663</v>
      </c>
      <c r="F1730" s="12">
        <v>2</v>
      </c>
    </row>
    <row r="1731" spans="2:6" hidden="1" x14ac:dyDescent="0.2">
      <c r="B1731" s="4">
        <v>2014</v>
      </c>
      <c r="C1731" s="11" t="s">
        <v>1650</v>
      </c>
      <c r="D1731" s="11" t="s">
        <v>1659</v>
      </c>
      <c r="E1731" s="11" t="s">
        <v>1664</v>
      </c>
      <c r="F1731" s="12">
        <v>5</v>
      </c>
    </row>
    <row r="1732" spans="2:6" hidden="1" x14ac:dyDescent="0.2">
      <c r="B1732" s="4">
        <v>2014</v>
      </c>
      <c r="C1732" s="11" t="s">
        <v>1650</v>
      </c>
      <c r="D1732" s="11" t="s">
        <v>1659</v>
      </c>
      <c r="E1732" s="11" t="s">
        <v>1665</v>
      </c>
      <c r="F1732" s="12">
        <v>1</v>
      </c>
    </row>
    <row r="1733" spans="2:6" hidden="1" x14ac:dyDescent="0.2">
      <c r="B1733" s="4">
        <v>2014</v>
      </c>
      <c r="C1733" s="11" t="s">
        <v>1650</v>
      </c>
      <c r="D1733" s="11" t="s">
        <v>1659</v>
      </c>
      <c r="E1733" s="11" t="s">
        <v>1666</v>
      </c>
      <c r="F1733" s="12">
        <v>2</v>
      </c>
    </row>
    <row r="1734" spans="2:6" hidden="1" x14ac:dyDescent="0.2">
      <c r="B1734" s="4">
        <v>2014</v>
      </c>
      <c r="C1734" s="11" t="s">
        <v>1650</v>
      </c>
      <c r="D1734" s="11" t="s">
        <v>1659</v>
      </c>
      <c r="E1734" s="11" t="s">
        <v>1667</v>
      </c>
      <c r="F1734" s="12">
        <v>2</v>
      </c>
    </row>
    <row r="1735" spans="2:6" hidden="1" x14ac:dyDescent="0.2">
      <c r="B1735" s="4">
        <v>2014</v>
      </c>
      <c r="C1735" s="11" t="s">
        <v>1650</v>
      </c>
      <c r="D1735" s="11" t="s">
        <v>1659</v>
      </c>
      <c r="E1735" s="11" t="s">
        <v>1668</v>
      </c>
      <c r="F1735" s="12">
        <v>6</v>
      </c>
    </row>
    <row r="1736" spans="2:6" hidden="1" x14ac:dyDescent="0.2">
      <c r="B1736" s="4">
        <v>2014</v>
      </c>
      <c r="C1736" s="11" t="s">
        <v>1650</v>
      </c>
      <c r="D1736" s="11" t="s">
        <v>1659</v>
      </c>
      <c r="E1736" s="11" t="s">
        <v>1669</v>
      </c>
      <c r="F1736" s="12">
        <v>0</v>
      </c>
    </row>
    <row r="1737" spans="2:6" hidden="1" x14ac:dyDescent="0.2">
      <c r="B1737" s="4">
        <v>2014</v>
      </c>
      <c r="C1737" s="11" t="s">
        <v>1650</v>
      </c>
      <c r="D1737" s="11" t="s">
        <v>1670</v>
      </c>
      <c r="E1737" s="11" t="s">
        <v>1670</v>
      </c>
      <c r="F1737" s="12">
        <v>4</v>
      </c>
    </row>
    <row r="1738" spans="2:6" hidden="1" x14ac:dyDescent="0.2">
      <c r="B1738" s="4">
        <v>2014</v>
      </c>
      <c r="C1738" s="11" t="s">
        <v>1650</v>
      </c>
      <c r="D1738" s="11" t="s">
        <v>1670</v>
      </c>
      <c r="E1738" s="11" t="s">
        <v>1671</v>
      </c>
      <c r="F1738" s="12">
        <v>0</v>
      </c>
    </row>
    <row r="1739" spans="2:6" hidden="1" x14ac:dyDescent="0.2">
      <c r="B1739" s="4">
        <v>2014</v>
      </c>
      <c r="C1739" s="11" t="s">
        <v>1650</v>
      </c>
      <c r="D1739" s="11" t="s">
        <v>1670</v>
      </c>
      <c r="E1739" s="11" t="s">
        <v>1672</v>
      </c>
      <c r="F1739" s="12">
        <v>1</v>
      </c>
    </row>
    <row r="1740" spans="2:6" hidden="1" x14ac:dyDescent="0.2">
      <c r="B1740" s="4">
        <v>2014</v>
      </c>
      <c r="C1740" s="11" t="s">
        <v>1650</v>
      </c>
      <c r="D1740" s="11" t="s">
        <v>1670</v>
      </c>
      <c r="E1740" s="11" t="s">
        <v>1673</v>
      </c>
      <c r="F1740" s="12">
        <v>2</v>
      </c>
    </row>
    <row r="1741" spans="2:6" hidden="1" x14ac:dyDescent="0.2">
      <c r="B1741" s="4">
        <v>2014</v>
      </c>
      <c r="C1741" s="11" t="s">
        <v>1650</v>
      </c>
      <c r="D1741" s="11" t="s">
        <v>1670</v>
      </c>
      <c r="E1741" s="11" t="s">
        <v>1674</v>
      </c>
      <c r="F1741" s="12">
        <v>0</v>
      </c>
    </row>
    <row r="1742" spans="2:6" hidden="1" x14ac:dyDescent="0.2">
      <c r="B1742" s="4">
        <v>2014</v>
      </c>
      <c r="C1742" s="11" t="s">
        <v>1650</v>
      </c>
      <c r="D1742" s="11" t="s">
        <v>1670</v>
      </c>
      <c r="E1742" s="11" t="s">
        <v>1675</v>
      </c>
      <c r="F1742" s="12">
        <v>1</v>
      </c>
    </row>
    <row r="1743" spans="2:6" hidden="1" x14ac:dyDescent="0.2">
      <c r="B1743" s="4">
        <v>2014</v>
      </c>
      <c r="C1743" s="11" t="s">
        <v>1650</v>
      </c>
      <c r="D1743" s="11" t="s">
        <v>1670</v>
      </c>
      <c r="E1743" s="11" t="s">
        <v>1676</v>
      </c>
      <c r="F1743" s="12">
        <v>0</v>
      </c>
    </row>
    <row r="1744" spans="2:6" hidden="1" x14ac:dyDescent="0.2">
      <c r="B1744" s="4">
        <v>2014</v>
      </c>
      <c r="C1744" s="11" t="s">
        <v>1650</v>
      </c>
      <c r="D1744" s="11" t="s">
        <v>1670</v>
      </c>
      <c r="E1744" s="11" t="s">
        <v>1677</v>
      </c>
      <c r="F1744" s="12">
        <v>0</v>
      </c>
    </row>
    <row r="1745" spans="2:6" hidden="1" x14ac:dyDescent="0.2">
      <c r="B1745" s="4">
        <v>2014</v>
      </c>
      <c r="C1745" s="11" t="s">
        <v>1650</v>
      </c>
      <c r="D1745" s="11" t="s">
        <v>1670</v>
      </c>
      <c r="E1745" s="11" t="s">
        <v>1678</v>
      </c>
      <c r="F1745" s="12">
        <v>3</v>
      </c>
    </row>
    <row r="1746" spans="2:6" hidden="1" x14ac:dyDescent="0.2">
      <c r="B1746" s="4">
        <v>2014</v>
      </c>
      <c r="C1746" s="11" t="s">
        <v>1650</v>
      </c>
      <c r="D1746" s="11" t="s">
        <v>1670</v>
      </c>
      <c r="E1746" s="11" t="s">
        <v>1679</v>
      </c>
      <c r="F1746" s="12">
        <v>0</v>
      </c>
    </row>
    <row r="1747" spans="2:6" hidden="1" x14ac:dyDescent="0.2">
      <c r="B1747" s="4">
        <v>2014</v>
      </c>
      <c r="C1747" s="11" t="s">
        <v>1650</v>
      </c>
      <c r="D1747" s="11" t="s">
        <v>1670</v>
      </c>
      <c r="E1747" s="11" t="s">
        <v>1680</v>
      </c>
      <c r="F1747" s="12">
        <v>0</v>
      </c>
    </row>
    <row r="1748" spans="2:6" hidden="1" x14ac:dyDescent="0.2">
      <c r="B1748" s="4">
        <v>2014</v>
      </c>
      <c r="C1748" s="11" t="s">
        <v>1650</v>
      </c>
      <c r="D1748" s="11" t="s">
        <v>400</v>
      </c>
      <c r="E1748" s="11" t="s">
        <v>1681</v>
      </c>
      <c r="F1748" s="12">
        <v>10</v>
      </c>
    </row>
    <row r="1749" spans="2:6" hidden="1" x14ac:dyDescent="0.2">
      <c r="B1749" s="4">
        <v>2014</v>
      </c>
      <c r="C1749" s="11" t="s">
        <v>1650</v>
      </c>
      <c r="D1749" s="11" t="s">
        <v>400</v>
      </c>
      <c r="E1749" s="11" t="s">
        <v>1682</v>
      </c>
      <c r="F1749" s="12">
        <v>5</v>
      </c>
    </row>
    <row r="1750" spans="2:6" hidden="1" x14ac:dyDescent="0.2">
      <c r="B1750" s="4">
        <v>2014</v>
      </c>
      <c r="C1750" s="11" t="s">
        <v>1650</v>
      </c>
      <c r="D1750" s="11" t="s">
        <v>400</v>
      </c>
      <c r="E1750" s="11" t="s">
        <v>1683</v>
      </c>
      <c r="F1750" s="12">
        <v>1</v>
      </c>
    </row>
    <row r="1751" spans="2:6" hidden="1" x14ac:dyDescent="0.2">
      <c r="B1751" s="4">
        <v>2014</v>
      </c>
      <c r="C1751" s="11" t="s">
        <v>1650</v>
      </c>
      <c r="D1751" s="11" t="s">
        <v>400</v>
      </c>
      <c r="E1751" s="11" t="s">
        <v>1684</v>
      </c>
      <c r="F1751" s="12">
        <v>0</v>
      </c>
    </row>
    <row r="1752" spans="2:6" hidden="1" x14ac:dyDescent="0.2">
      <c r="B1752" s="4">
        <v>2014</v>
      </c>
      <c r="C1752" s="11" t="s">
        <v>1650</v>
      </c>
      <c r="D1752" s="11" t="s">
        <v>400</v>
      </c>
      <c r="E1752" s="11" t="s">
        <v>1685</v>
      </c>
      <c r="F1752" s="12">
        <v>1</v>
      </c>
    </row>
    <row r="1753" spans="2:6" hidden="1" x14ac:dyDescent="0.2">
      <c r="B1753" s="4">
        <v>2014</v>
      </c>
      <c r="C1753" s="11" t="s">
        <v>1650</v>
      </c>
      <c r="D1753" s="11" t="s">
        <v>1686</v>
      </c>
      <c r="E1753" s="11" t="s">
        <v>1686</v>
      </c>
      <c r="F1753" s="12">
        <v>3</v>
      </c>
    </row>
    <row r="1754" spans="2:6" hidden="1" x14ac:dyDescent="0.2">
      <c r="B1754" s="4">
        <v>2014</v>
      </c>
      <c r="C1754" s="11" t="s">
        <v>1650</v>
      </c>
      <c r="D1754" s="11" t="s">
        <v>1686</v>
      </c>
      <c r="E1754" s="11" t="s">
        <v>1514</v>
      </c>
      <c r="F1754" s="12">
        <v>0</v>
      </c>
    </row>
    <row r="1755" spans="2:6" hidden="1" x14ac:dyDescent="0.2">
      <c r="B1755" s="4">
        <v>2014</v>
      </c>
      <c r="C1755" s="11" t="s">
        <v>1650</v>
      </c>
      <c r="D1755" s="11" t="s">
        <v>1686</v>
      </c>
      <c r="E1755" s="11" t="s">
        <v>1687</v>
      </c>
      <c r="F1755" s="12">
        <v>0</v>
      </c>
    </row>
    <row r="1756" spans="2:6" hidden="1" x14ac:dyDescent="0.2">
      <c r="B1756" s="4">
        <v>2014</v>
      </c>
      <c r="C1756" s="11" t="s">
        <v>1650</v>
      </c>
      <c r="D1756" s="11" t="s">
        <v>1686</v>
      </c>
      <c r="E1756" s="11" t="s">
        <v>1688</v>
      </c>
      <c r="F1756" s="12">
        <v>0</v>
      </c>
    </row>
    <row r="1757" spans="2:6" hidden="1" x14ac:dyDescent="0.2">
      <c r="B1757" s="4">
        <v>2014</v>
      </c>
      <c r="C1757" s="11" t="s">
        <v>1650</v>
      </c>
      <c r="D1757" s="11" t="s">
        <v>1686</v>
      </c>
      <c r="E1757" s="11" t="s">
        <v>1689</v>
      </c>
      <c r="F1757" s="12">
        <v>2</v>
      </c>
    </row>
    <row r="1758" spans="2:6" hidden="1" x14ac:dyDescent="0.2">
      <c r="B1758" s="4">
        <v>2014</v>
      </c>
      <c r="C1758" s="11" t="s">
        <v>1650</v>
      </c>
      <c r="D1758" s="11" t="s">
        <v>1686</v>
      </c>
      <c r="E1758" s="11" t="s">
        <v>95</v>
      </c>
      <c r="F1758" s="12">
        <v>0</v>
      </c>
    </row>
    <row r="1759" spans="2:6" hidden="1" x14ac:dyDescent="0.2">
      <c r="B1759" s="4">
        <v>2014</v>
      </c>
      <c r="C1759" s="11" t="s">
        <v>1650</v>
      </c>
      <c r="D1759" s="11" t="s">
        <v>1686</v>
      </c>
      <c r="E1759" s="11" t="s">
        <v>1690</v>
      </c>
      <c r="F1759" s="12">
        <v>3</v>
      </c>
    </row>
    <row r="1760" spans="2:6" hidden="1" x14ac:dyDescent="0.2">
      <c r="B1760" s="4">
        <v>2014</v>
      </c>
      <c r="C1760" s="11" t="s">
        <v>1650</v>
      </c>
      <c r="D1760" s="11" t="s">
        <v>1686</v>
      </c>
      <c r="E1760" s="11" t="s">
        <v>1691</v>
      </c>
      <c r="F1760" s="12">
        <v>2</v>
      </c>
    </row>
    <row r="1761" spans="2:6" hidden="1" x14ac:dyDescent="0.2">
      <c r="B1761" s="4">
        <v>2014</v>
      </c>
      <c r="C1761" s="11" t="s">
        <v>1650</v>
      </c>
      <c r="D1761" s="11" t="s">
        <v>1686</v>
      </c>
      <c r="E1761" s="11" t="s">
        <v>1692</v>
      </c>
      <c r="F1761" s="12">
        <v>2</v>
      </c>
    </row>
    <row r="1762" spans="2:6" hidden="1" x14ac:dyDescent="0.2">
      <c r="B1762" s="4">
        <v>2014</v>
      </c>
      <c r="C1762" s="11" t="s">
        <v>1650</v>
      </c>
      <c r="D1762" s="11" t="s">
        <v>1686</v>
      </c>
      <c r="E1762" s="11" t="s">
        <v>1693</v>
      </c>
      <c r="F1762" s="12">
        <v>0</v>
      </c>
    </row>
    <row r="1763" spans="2:6" hidden="1" x14ac:dyDescent="0.2">
      <c r="B1763" s="4">
        <v>2014</v>
      </c>
      <c r="C1763" s="11" t="s">
        <v>1650</v>
      </c>
      <c r="D1763" s="11" t="s">
        <v>1694</v>
      </c>
      <c r="E1763" s="11" t="s">
        <v>1694</v>
      </c>
      <c r="F1763" s="12">
        <v>14</v>
      </c>
    </row>
    <row r="1764" spans="2:6" hidden="1" x14ac:dyDescent="0.2">
      <c r="B1764" s="4">
        <v>2014</v>
      </c>
      <c r="C1764" s="11" t="s">
        <v>1650</v>
      </c>
      <c r="D1764" s="11" t="s">
        <v>1694</v>
      </c>
      <c r="E1764" s="11" t="s">
        <v>1695</v>
      </c>
      <c r="F1764" s="12">
        <v>1</v>
      </c>
    </row>
    <row r="1765" spans="2:6" hidden="1" x14ac:dyDescent="0.2">
      <c r="B1765" s="4">
        <v>2014</v>
      </c>
      <c r="C1765" s="11" t="s">
        <v>1650</v>
      </c>
      <c r="D1765" s="11" t="s">
        <v>1694</v>
      </c>
      <c r="E1765" s="11" t="s">
        <v>1696</v>
      </c>
      <c r="F1765" s="12">
        <v>0</v>
      </c>
    </row>
    <row r="1766" spans="2:6" hidden="1" x14ac:dyDescent="0.2">
      <c r="B1766" s="4">
        <v>2014</v>
      </c>
      <c r="C1766" s="11" t="s">
        <v>1650</v>
      </c>
      <c r="D1766" s="11" t="s">
        <v>1694</v>
      </c>
      <c r="E1766" s="11" t="s">
        <v>1697</v>
      </c>
      <c r="F1766" s="12">
        <v>14</v>
      </c>
    </row>
    <row r="1767" spans="2:6" hidden="1" x14ac:dyDescent="0.2">
      <c r="B1767" s="4">
        <v>2014</v>
      </c>
      <c r="C1767" s="11" t="s">
        <v>1650</v>
      </c>
      <c r="D1767" s="11" t="s">
        <v>1694</v>
      </c>
      <c r="E1767" s="11" t="s">
        <v>1698</v>
      </c>
      <c r="F1767" s="12">
        <v>1</v>
      </c>
    </row>
    <row r="1768" spans="2:6" hidden="1" x14ac:dyDescent="0.2">
      <c r="B1768" s="4">
        <v>2014</v>
      </c>
      <c r="C1768" s="11" t="s">
        <v>1650</v>
      </c>
      <c r="D1768" s="11" t="s">
        <v>1694</v>
      </c>
      <c r="E1768" s="11" t="s">
        <v>1699</v>
      </c>
      <c r="F1768" s="12">
        <v>0</v>
      </c>
    </row>
    <row r="1769" spans="2:6" hidden="1" x14ac:dyDescent="0.2">
      <c r="B1769" s="4">
        <v>2014</v>
      </c>
      <c r="C1769" s="11" t="s">
        <v>1650</v>
      </c>
      <c r="D1769" s="11" t="s">
        <v>1694</v>
      </c>
      <c r="E1769" s="11" t="s">
        <v>1700</v>
      </c>
      <c r="F1769" s="12">
        <v>0</v>
      </c>
    </row>
    <row r="1770" spans="2:6" hidden="1" x14ac:dyDescent="0.2">
      <c r="B1770" s="4">
        <v>2014</v>
      </c>
      <c r="C1770" s="11" t="s">
        <v>1650</v>
      </c>
      <c r="D1770" s="11" t="s">
        <v>1694</v>
      </c>
      <c r="E1770" s="11" t="s">
        <v>1701</v>
      </c>
      <c r="F1770" s="12">
        <v>0</v>
      </c>
    </row>
    <row r="1771" spans="2:6" hidden="1" x14ac:dyDescent="0.2">
      <c r="B1771" s="4">
        <v>2014</v>
      </c>
      <c r="C1771" s="11" t="s">
        <v>1650</v>
      </c>
      <c r="D1771" s="11" t="s">
        <v>1694</v>
      </c>
      <c r="E1771" s="11" t="s">
        <v>1702</v>
      </c>
      <c r="F1771" s="12">
        <v>2</v>
      </c>
    </row>
    <row r="1772" spans="2:6" hidden="1" x14ac:dyDescent="0.2">
      <c r="B1772" s="4">
        <v>2014</v>
      </c>
      <c r="C1772" s="11" t="s">
        <v>1650</v>
      </c>
      <c r="D1772" s="11" t="s">
        <v>1650</v>
      </c>
      <c r="E1772" s="11" t="s">
        <v>1703</v>
      </c>
      <c r="F1772" s="12">
        <v>123</v>
      </c>
    </row>
    <row r="1773" spans="2:6" hidden="1" x14ac:dyDescent="0.2">
      <c r="B1773" s="4">
        <v>2014</v>
      </c>
      <c r="C1773" s="11" t="s">
        <v>1650</v>
      </c>
      <c r="D1773" s="11" t="s">
        <v>1650</v>
      </c>
      <c r="E1773" s="11" t="s">
        <v>1704</v>
      </c>
      <c r="F1773" s="12">
        <v>0</v>
      </c>
    </row>
    <row r="1774" spans="2:6" hidden="1" x14ac:dyDescent="0.2">
      <c r="B1774" s="4">
        <v>2014</v>
      </c>
      <c r="C1774" s="11" t="s">
        <v>1650</v>
      </c>
      <c r="D1774" s="11" t="s">
        <v>1650</v>
      </c>
      <c r="E1774" s="11" t="s">
        <v>1705</v>
      </c>
      <c r="F1774" s="12">
        <v>0</v>
      </c>
    </row>
    <row r="1775" spans="2:6" hidden="1" x14ac:dyDescent="0.2">
      <c r="B1775" s="4">
        <v>2014</v>
      </c>
      <c r="C1775" s="11" t="s">
        <v>1650</v>
      </c>
      <c r="D1775" s="11" t="s">
        <v>1650</v>
      </c>
      <c r="E1775" s="11" t="s">
        <v>1706</v>
      </c>
      <c r="F1775" s="12">
        <v>1</v>
      </c>
    </row>
    <row r="1776" spans="2:6" hidden="1" x14ac:dyDescent="0.2">
      <c r="B1776" s="4">
        <v>2014</v>
      </c>
      <c r="C1776" s="11" t="s">
        <v>1650</v>
      </c>
      <c r="D1776" s="11" t="s">
        <v>1650</v>
      </c>
      <c r="E1776" s="11" t="s">
        <v>1707</v>
      </c>
      <c r="F1776" s="12">
        <v>0</v>
      </c>
    </row>
    <row r="1777" spans="2:6" hidden="1" x14ac:dyDescent="0.2">
      <c r="B1777" s="4">
        <v>2014</v>
      </c>
      <c r="C1777" s="11" t="s">
        <v>1650</v>
      </c>
      <c r="D1777" s="11" t="s">
        <v>1650</v>
      </c>
      <c r="E1777" s="11" t="s">
        <v>1118</v>
      </c>
      <c r="F1777" s="12">
        <v>0</v>
      </c>
    </row>
    <row r="1778" spans="2:6" hidden="1" x14ac:dyDescent="0.2">
      <c r="B1778" s="4">
        <v>2014</v>
      </c>
      <c r="C1778" s="11" t="s">
        <v>1650</v>
      </c>
      <c r="D1778" s="11" t="s">
        <v>1650</v>
      </c>
      <c r="E1778" s="11" t="s">
        <v>1708</v>
      </c>
      <c r="F1778" s="12">
        <v>3</v>
      </c>
    </row>
    <row r="1779" spans="2:6" hidden="1" x14ac:dyDescent="0.2">
      <c r="B1779" s="4">
        <v>2014</v>
      </c>
      <c r="C1779" s="11" t="s">
        <v>1650</v>
      </c>
      <c r="D1779" s="11" t="s">
        <v>1650</v>
      </c>
      <c r="E1779" s="11" t="s">
        <v>1709</v>
      </c>
      <c r="F1779" s="12">
        <v>0</v>
      </c>
    </row>
    <row r="1780" spans="2:6" hidden="1" x14ac:dyDescent="0.2">
      <c r="B1780" s="4">
        <v>2014</v>
      </c>
      <c r="C1780" s="11" t="s">
        <v>1650</v>
      </c>
      <c r="D1780" s="11" t="s">
        <v>1650</v>
      </c>
      <c r="E1780" s="11" t="s">
        <v>1710</v>
      </c>
      <c r="F1780" s="12">
        <v>56</v>
      </c>
    </row>
    <row r="1781" spans="2:6" hidden="1" x14ac:dyDescent="0.2">
      <c r="B1781" s="4">
        <v>2014</v>
      </c>
      <c r="C1781" s="11" t="s">
        <v>1650</v>
      </c>
      <c r="D1781" s="11" t="s">
        <v>1650</v>
      </c>
      <c r="E1781" s="11" t="s">
        <v>1711</v>
      </c>
      <c r="F1781" s="12">
        <v>6</v>
      </c>
    </row>
    <row r="1782" spans="2:6" hidden="1" x14ac:dyDescent="0.2">
      <c r="B1782" s="4">
        <v>2014</v>
      </c>
      <c r="C1782" s="11" t="s">
        <v>1650</v>
      </c>
      <c r="D1782" s="11" t="s">
        <v>1650</v>
      </c>
      <c r="E1782" s="11" t="s">
        <v>1712</v>
      </c>
      <c r="F1782" s="12">
        <v>0</v>
      </c>
    </row>
    <row r="1783" spans="2:6" hidden="1" x14ac:dyDescent="0.2">
      <c r="B1783" s="4">
        <v>2014</v>
      </c>
      <c r="C1783" s="11" t="s">
        <v>1650</v>
      </c>
      <c r="D1783" s="11" t="s">
        <v>1650</v>
      </c>
      <c r="E1783" s="11" t="s">
        <v>363</v>
      </c>
      <c r="F1783" s="12">
        <v>2</v>
      </c>
    </row>
    <row r="1784" spans="2:6" hidden="1" x14ac:dyDescent="0.2">
      <c r="B1784" s="4">
        <v>2014</v>
      </c>
      <c r="C1784" s="11" t="s">
        <v>1650</v>
      </c>
      <c r="D1784" s="11" t="s">
        <v>1650</v>
      </c>
      <c r="E1784" s="11" t="s">
        <v>1713</v>
      </c>
      <c r="F1784" s="12">
        <v>9</v>
      </c>
    </row>
    <row r="1785" spans="2:6" hidden="1" x14ac:dyDescent="0.2">
      <c r="B1785" s="4">
        <v>2014</v>
      </c>
      <c r="C1785" s="11" t="s">
        <v>1650</v>
      </c>
      <c r="D1785" s="11" t="s">
        <v>1650</v>
      </c>
      <c r="E1785" s="11" t="s">
        <v>1714</v>
      </c>
      <c r="F1785" s="12">
        <v>2</v>
      </c>
    </row>
    <row r="1786" spans="2:6" hidden="1" x14ac:dyDescent="0.2">
      <c r="B1786" s="4">
        <v>2014</v>
      </c>
      <c r="C1786" s="11" t="s">
        <v>1650</v>
      </c>
      <c r="D1786" s="11" t="s">
        <v>1715</v>
      </c>
      <c r="E1786" s="11" t="s">
        <v>1715</v>
      </c>
      <c r="F1786" s="12">
        <v>15</v>
      </c>
    </row>
    <row r="1787" spans="2:6" hidden="1" x14ac:dyDescent="0.2">
      <c r="B1787" s="4">
        <v>2014</v>
      </c>
      <c r="C1787" s="11" t="s">
        <v>1650</v>
      </c>
      <c r="D1787" s="11" t="s">
        <v>1715</v>
      </c>
      <c r="E1787" s="11" t="s">
        <v>1716</v>
      </c>
      <c r="F1787" s="12">
        <v>0</v>
      </c>
    </row>
    <row r="1788" spans="2:6" hidden="1" x14ac:dyDescent="0.2">
      <c r="B1788" s="4">
        <v>2014</v>
      </c>
      <c r="C1788" s="11" t="s">
        <v>1650</v>
      </c>
      <c r="D1788" s="11" t="s">
        <v>1715</v>
      </c>
      <c r="E1788" s="11" t="s">
        <v>1717</v>
      </c>
      <c r="F1788" s="12">
        <v>0</v>
      </c>
    </row>
    <row r="1789" spans="2:6" hidden="1" x14ac:dyDescent="0.2">
      <c r="B1789" s="4">
        <v>2014</v>
      </c>
      <c r="C1789" s="11" t="s">
        <v>1650</v>
      </c>
      <c r="D1789" s="11" t="s">
        <v>1715</v>
      </c>
      <c r="E1789" s="11" t="s">
        <v>1718</v>
      </c>
      <c r="F1789" s="12">
        <v>0</v>
      </c>
    </row>
    <row r="1790" spans="2:6" hidden="1" x14ac:dyDescent="0.2">
      <c r="B1790" s="4">
        <v>2014</v>
      </c>
      <c r="C1790" s="11" t="s">
        <v>1650</v>
      </c>
      <c r="D1790" s="11" t="s">
        <v>1715</v>
      </c>
      <c r="E1790" s="11" t="s">
        <v>1719</v>
      </c>
      <c r="F1790" s="12">
        <v>14</v>
      </c>
    </row>
    <row r="1791" spans="2:6" hidden="1" x14ac:dyDescent="0.2">
      <c r="B1791" s="4">
        <v>2014</v>
      </c>
      <c r="C1791" s="11" t="s">
        <v>1720</v>
      </c>
      <c r="D1791" s="11" t="s">
        <v>1720</v>
      </c>
      <c r="E1791" s="11" t="s">
        <v>1720</v>
      </c>
      <c r="F1791" s="12">
        <v>62</v>
      </c>
    </row>
    <row r="1792" spans="2:6" hidden="1" x14ac:dyDescent="0.2">
      <c r="B1792" s="4">
        <v>2014</v>
      </c>
      <c r="C1792" s="11" t="s">
        <v>1720</v>
      </c>
      <c r="D1792" s="11" t="s">
        <v>1720</v>
      </c>
      <c r="E1792" s="11" t="s">
        <v>1721</v>
      </c>
      <c r="F1792" s="12">
        <v>16</v>
      </c>
    </row>
    <row r="1793" spans="2:6" hidden="1" x14ac:dyDescent="0.2">
      <c r="B1793" s="4">
        <v>2014</v>
      </c>
      <c r="C1793" s="11" t="s">
        <v>1720</v>
      </c>
      <c r="D1793" s="11" t="s">
        <v>1720</v>
      </c>
      <c r="E1793" s="11" t="s">
        <v>1722</v>
      </c>
      <c r="F1793" s="12">
        <v>9</v>
      </c>
    </row>
    <row r="1794" spans="2:6" hidden="1" x14ac:dyDescent="0.2">
      <c r="B1794" s="4">
        <v>2014</v>
      </c>
      <c r="C1794" s="11" t="s">
        <v>1720</v>
      </c>
      <c r="D1794" s="11" t="s">
        <v>1720</v>
      </c>
      <c r="E1794" s="11" t="s">
        <v>1723</v>
      </c>
      <c r="F1794" s="12">
        <v>0</v>
      </c>
    </row>
    <row r="1795" spans="2:6" hidden="1" x14ac:dyDescent="0.2">
      <c r="B1795" s="4">
        <v>2014</v>
      </c>
      <c r="C1795" s="11" t="s">
        <v>1720</v>
      </c>
      <c r="D1795" s="11" t="s">
        <v>1720</v>
      </c>
      <c r="E1795" s="11" t="s">
        <v>1724</v>
      </c>
      <c r="F1795" s="12">
        <v>5</v>
      </c>
    </row>
    <row r="1796" spans="2:6" hidden="1" x14ac:dyDescent="0.2">
      <c r="B1796" s="4">
        <v>2014</v>
      </c>
      <c r="C1796" s="11" t="s">
        <v>1720</v>
      </c>
      <c r="D1796" s="11" t="s">
        <v>1720</v>
      </c>
      <c r="E1796" s="11" t="s">
        <v>1725</v>
      </c>
      <c r="F1796" s="12">
        <v>0</v>
      </c>
    </row>
    <row r="1797" spans="2:6" hidden="1" x14ac:dyDescent="0.2">
      <c r="B1797" s="4">
        <v>2014</v>
      </c>
      <c r="C1797" s="11" t="s">
        <v>1720</v>
      </c>
      <c r="D1797" s="11" t="s">
        <v>1720</v>
      </c>
      <c r="E1797" s="11" t="s">
        <v>822</v>
      </c>
      <c r="F1797" s="12">
        <v>0</v>
      </c>
    </row>
    <row r="1798" spans="2:6" hidden="1" x14ac:dyDescent="0.2">
      <c r="B1798" s="4">
        <v>2014</v>
      </c>
      <c r="C1798" s="11" t="s">
        <v>1720</v>
      </c>
      <c r="D1798" s="11" t="s">
        <v>1720</v>
      </c>
      <c r="E1798" s="11" t="s">
        <v>1726</v>
      </c>
      <c r="F1798" s="12">
        <v>11</v>
      </c>
    </row>
    <row r="1799" spans="2:6" hidden="1" x14ac:dyDescent="0.2">
      <c r="B1799" s="4">
        <v>2014</v>
      </c>
      <c r="C1799" s="11" t="s">
        <v>1720</v>
      </c>
      <c r="D1799" s="11" t="s">
        <v>1720</v>
      </c>
      <c r="E1799" s="11" t="s">
        <v>1727</v>
      </c>
      <c r="F1799" s="12">
        <v>14</v>
      </c>
    </row>
    <row r="1800" spans="2:6" hidden="1" x14ac:dyDescent="0.2">
      <c r="B1800" s="4">
        <v>2014</v>
      </c>
      <c r="C1800" s="11" t="s">
        <v>1720</v>
      </c>
      <c r="D1800" s="11" t="s">
        <v>1720</v>
      </c>
      <c r="E1800" s="11" t="s">
        <v>1728</v>
      </c>
      <c r="F1800" s="12">
        <v>54</v>
      </c>
    </row>
    <row r="1801" spans="2:6" hidden="1" x14ac:dyDescent="0.2">
      <c r="B1801" s="4">
        <v>2014</v>
      </c>
      <c r="C1801" s="11" t="s">
        <v>1720</v>
      </c>
      <c r="D1801" s="11" t="s">
        <v>1729</v>
      </c>
      <c r="E1801" s="11" t="s">
        <v>1729</v>
      </c>
      <c r="F1801" s="12">
        <v>0</v>
      </c>
    </row>
    <row r="1802" spans="2:6" hidden="1" x14ac:dyDescent="0.2">
      <c r="B1802" s="4">
        <v>2014</v>
      </c>
      <c r="C1802" s="11" t="s">
        <v>1720</v>
      </c>
      <c r="D1802" s="11" t="s">
        <v>1729</v>
      </c>
      <c r="E1802" s="11" t="s">
        <v>1730</v>
      </c>
      <c r="F1802" s="12">
        <v>0</v>
      </c>
    </row>
    <row r="1803" spans="2:6" hidden="1" x14ac:dyDescent="0.2">
      <c r="B1803" s="4">
        <v>2014</v>
      </c>
      <c r="C1803" s="11" t="s">
        <v>1720</v>
      </c>
      <c r="D1803" s="11" t="s">
        <v>1729</v>
      </c>
      <c r="E1803" s="11" t="s">
        <v>1731</v>
      </c>
      <c r="F1803" s="12">
        <v>0</v>
      </c>
    </row>
    <row r="1804" spans="2:6" hidden="1" x14ac:dyDescent="0.2">
      <c r="B1804" s="4">
        <v>2014</v>
      </c>
      <c r="C1804" s="11" t="s">
        <v>1720</v>
      </c>
      <c r="D1804" s="11" t="s">
        <v>1729</v>
      </c>
      <c r="E1804" s="11" t="s">
        <v>1732</v>
      </c>
      <c r="F1804" s="12">
        <v>0</v>
      </c>
    </row>
    <row r="1805" spans="2:6" hidden="1" x14ac:dyDescent="0.2">
      <c r="B1805" s="4">
        <v>2014</v>
      </c>
      <c r="C1805" s="11" t="s">
        <v>1720</v>
      </c>
      <c r="D1805" s="11" t="s">
        <v>1729</v>
      </c>
      <c r="E1805" s="11" t="s">
        <v>1733</v>
      </c>
      <c r="F1805" s="12">
        <v>0</v>
      </c>
    </row>
    <row r="1806" spans="2:6" hidden="1" x14ac:dyDescent="0.2">
      <c r="B1806" s="4">
        <v>2014</v>
      </c>
      <c r="C1806" s="11" t="s">
        <v>1720</v>
      </c>
      <c r="D1806" s="11" t="s">
        <v>1729</v>
      </c>
      <c r="E1806" s="11" t="s">
        <v>1734</v>
      </c>
      <c r="F1806" s="12">
        <v>0</v>
      </c>
    </row>
    <row r="1807" spans="2:6" hidden="1" x14ac:dyDescent="0.2">
      <c r="B1807" s="4">
        <v>2014</v>
      </c>
      <c r="C1807" s="11" t="s">
        <v>1720</v>
      </c>
      <c r="D1807" s="11" t="s">
        <v>1735</v>
      </c>
      <c r="E1807" s="11" t="s">
        <v>1736</v>
      </c>
      <c r="F1807" s="12">
        <v>3</v>
      </c>
    </row>
    <row r="1808" spans="2:6" hidden="1" x14ac:dyDescent="0.2">
      <c r="B1808" s="4">
        <v>2014</v>
      </c>
      <c r="C1808" s="11" t="s">
        <v>1720</v>
      </c>
      <c r="D1808" s="11" t="s">
        <v>1735</v>
      </c>
      <c r="E1808" s="11" t="s">
        <v>1737</v>
      </c>
      <c r="F1808" s="12">
        <v>0</v>
      </c>
    </row>
    <row r="1809" spans="2:6" hidden="1" x14ac:dyDescent="0.2">
      <c r="B1809" s="4">
        <v>2014</v>
      </c>
      <c r="C1809" s="11" t="s">
        <v>1720</v>
      </c>
      <c r="D1809" s="11" t="s">
        <v>1735</v>
      </c>
      <c r="E1809" s="11" t="s">
        <v>1738</v>
      </c>
      <c r="F1809" s="12">
        <v>2</v>
      </c>
    </row>
    <row r="1810" spans="2:6" hidden="1" x14ac:dyDescent="0.2">
      <c r="B1810" s="4">
        <v>2014</v>
      </c>
      <c r="C1810" s="11" t="s">
        <v>1720</v>
      </c>
      <c r="D1810" s="11" t="s">
        <v>1739</v>
      </c>
      <c r="E1810" s="11" t="s">
        <v>1739</v>
      </c>
      <c r="F1810" s="12">
        <v>0</v>
      </c>
    </row>
    <row r="1811" spans="2:6" hidden="1" x14ac:dyDescent="0.2">
      <c r="B1811" s="4">
        <v>2014</v>
      </c>
      <c r="C1811" s="11" t="s">
        <v>1720</v>
      </c>
      <c r="D1811" s="11" t="s">
        <v>1739</v>
      </c>
      <c r="E1811" s="11" t="s">
        <v>1740</v>
      </c>
      <c r="F1811" s="12">
        <v>0</v>
      </c>
    </row>
    <row r="1812" spans="2:6" hidden="1" x14ac:dyDescent="0.2">
      <c r="B1812" s="4">
        <v>2014</v>
      </c>
      <c r="C1812" s="11" t="s">
        <v>1720</v>
      </c>
      <c r="D1812" s="11" t="s">
        <v>1739</v>
      </c>
      <c r="E1812" s="11" t="s">
        <v>1741</v>
      </c>
      <c r="F1812" s="12">
        <v>0</v>
      </c>
    </row>
    <row r="1813" spans="2:6" hidden="1" x14ac:dyDescent="0.2">
      <c r="B1813" s="4">
        <v>2014</v>
      </c>
      <c r="C1813" s="11" t="s">
        <v>1720</v>
      </c>
      <c r="D1813" s="11" t="s">
        <v>1739</v>
      </c>
      <c r="E1813" s="11" t="s">
        <v>1742</v>
      </c>
      <c r="F1813" s="12">
        <v>0</v>
      </c>
    </row>
    <row r="1814" spans="2:6" hidden="1" x14ac:dyDescent="0.2">
      <c r="B1814" s="4">
        <v>2014</v>
      </c>
      <c r="C1814" s="11" t="s">
        <v>1720</v>
      </c>
      <c r="D1814" s="11" t="s">
        <v>1739</v>
      </c>
      <c r="E1814" s="11" t="s">
        <v>1743</v>
      </c>
      <c r="F1814" s="12">
        <v>0</v>
      </c>
    </row>
    <row r="1815" spans="2:6" hidden="1" x14ac:dyDescent="0.2">
      <c r="B1815" s="4">
        <v>2014</v>
      </c>
      <c r="C1815" s="11" t="s">
        <v>1720</v>
      </c>
      <c r="D1815" s="11" t="s">
        <v>1739</v>
      </c>
      <c r="E1815" s="11" t="s">
        <v>1744</v>
      </c>
      <c r="F1815" s="12">
        <v>0</v>
      </c>
    </row>
    <row r="1816" spans="2:6" hidden="1" x14ac:dyDescent="0.2">
      <c r="B1816" s="4">
        <v>2014</v>
      </c>
      <c r="C1816" s="11" t="s">
        <v>1720</v>
      </c>
      <c r="D1816" s="11" t="s">
        <v>1739</v>
      </c>
      <c r="E1816" s="11" t="s">
        <v>1745</v>
      </c>
      <c r="F1816" s="12">
        <v>0</v>
      </c>
    </row>
    <row r="1817" spans="2:6" hidden="1" x14ac:dyDescent="0.2">
      <c r="B1817" s="4">
        <v>2014</v>
      </c>
      <c r="C1817" s="11" t="s">
        <v>1720</v>
      </c>
      <c r="D1817" s="11" t="s">
        <v>1739</v>
      </c>
      <c r="E1817" s="11" t="s">
        <v>1746</v>
      </c>
      <c r="F1817" s="12">
        <v>0</v>
      </c>
    </row>
    <row r="1818" spans="2:6" hidden="1" x14ac:dyDescent="0.2">
      <c r="B1818" s="4">
        <v>2014</v>
      </c>
      <c r="C1818" s="11" t="s">
        <v>1747</v>
      </c>
      <c r="D1818" s="11" t="s">
        <v>1747</v>
      </c>
      <c r="E1818" s="11" t="s">
        <v>1747</v>
      </c>
      <c r="F1818" s="12">
        <v>120</v>
      </c>
    </row>
    <row r="1819" spans="2:6" hidden="1" x14ac:dyDescent="0.2">
      <c r="B1819" s="4">
        <v>2014</v>
      </c>
      <c r="C1819" s="11" t="s">
        <v>1747</v>
      </c>
      <c r="D1819" s="11" t="s">
        <v>1747</v>
      </c>
      <c r="E1819" s="11" t="s">
        <v>1748</v>
      </c>
      <c r="F1819" s="12">
        <v>8</v>
      </c>
    </row>
    <row r="1820" spans="2:6" hidden="1" x14ac:dyDescent="0.2">
      <c r="B1820" s="4">
        <v>2014</v>
      </c>
      <c r="C1820" s="11" t="s">
        <v>1747</v>
      </c>
      <c r="D1820" s="11" t="s">
        <v>1747</v>
      </c>
      <c r="E1820" s="11" t="s">
        <v>1749</v>
      </c>
      <c r="F1820" s="12">
        <v>0</v>
      </c>
    </row>
    <row r="1821" spans="2:6" hidden="1" x14ac:dyDescent="0.2">
      <c r="B1821" s="4">
        <v>2014</v>
      </c>
      <c r="C1821" s="11" t="s">
        <v>1747</v>
      </c>
      <c r="D1821" s="11" t="s">
        <v>1747</v>
      </c>
      <c r="E1821" s="11" t="s">
        <v>1750</v>
      </c>
      <c r="F1821" s="12">
        <v>1</v>
      </c>
    </row>
    <row r="1822" spans="2:6" hidden="1" x14ac:dyDescent="0.2">
      <c r="B1822" s="4">
        <v>2014</v>
      </c>
      <c r="C1822" s="11" t="s">
        <v>1747</v>
      </c>
      <c r="D1822" s="11" t="s">
        <v>1747</v>
      </c>
      <c r="E1822" s="11" t="s">
        <v>1751</v>
      </c>
      <c r="F1822" s="12">
        <v>6</v>
      </c>
    </row>
    <row r="1823" spans="2:6" hidden="1" x14ac:dyDescent="0.2">
      <c r="B1823" s="4">
        <v>2014</v>
      </c>
      <c r="C1823" s="11" t="s">
        <v>1747</v>
      </c>
      <c r="D1823" s="11" t="s">
        <v>1747</v>
      </c>
      <c r="E1823" s="11" t="s">
        <v>1752</v>
      </c>
      <c r="F1823" s="12">
        <v>1</v>
      </c>
    </row>
    <row r="1824" spans="2:6" hidden="1" x14ac:dyDescent="0.2">
      <c r="B1824" s="4">
        <v>2014</v>
      </c>
      <c r="C1824" s="11" t="s">
        <v>1747</v>
      </c>
      <c r="D1824" s="11" t="s">
        <v>1753</v>
      </c>
      <c r="E1824" s="11" t="s">
        <v>1754</v>
      </c>
      <c r="F1824" s="12">
        <v>14</v>
      </c>
    </row>
    <row r="1825" spans="2:6" hidden="1" x14ac:dyDescent="0.2">
      <c r="B1825" s="4">
        <v>2014</v>
      </c>
      <c r="C1825" s="11" t="s">
        <v>1747</v>
      </c>
      <c r="D1825" s="11" t="s">
        <v>1753</v>
      </c>
      <c r="E1825" s="11" t="s">
        <v>1755</v>
      </c>
      <c r="F1825" s="12">
        <v>1</v>
      </c>
    </row>
    <row r="1826" spans="2:6" hidden="1" x14ac:dyDescent="0.2">
      <c r="B1826" s="4">
        <v>2014</v>
      </c>
      <c r="C1826" s="11" t="s">
        <v>1747</v>
      </c>
      <c r="D1826" s="11" t="s">
        <v>1753</v>
      </c>
      <c r="E1826" s="11" t="s">
        <v>1756</v>
      </c>
      <c r="F1826" s="12">
        <v>2</v>
      </c>
    </row>
    <row r="1827" spans="2:6" hidden="1" x14ac:dyDescent="0.2">
      <c r="B1827" s="4">
        <v>2014</v>
      </c>
      <c r="C1827" s="11" t="s">
        <v>1747</v>
      </c>
      <c r="D1827" s="11" t="s">
        <v>1757</v>
      </c>
      <c r="E1827" s="11" t="s">
        <v>1757</v>
      </c>
      <c r="F1827" s="12">
        <v>7</v>
      </c>
    </row>
    <row r="1828" spans="2:6" hidden="1" x14ac:dyDescent="0.2">
      <c r="B1828" s="4">
        <v>2014</v>
      </c>
      <c r="C1828" s="11" t="s">
        <v>1747</v>
      </c>
      <c r="D1828" s="11" t="s">
        <v>1757</v>
      </c>
      <c r="E1828" s="11" t="s">
        <v>1758</v>
      </c>
      <c r="F1828" s="12">
        <v>9</v>
      </c>
    </row>
    <row r="1829" spans="2:6" hidden="1" x14ac:dyDescent="0.2">
      <c r="B1829" s="4">
        <v>2014</v>
      </c>
      <c r="C1829" s="11" t="s">
        <v>1747</v>
      </c>
      <c r="D1829" s="11" t="s">
        <v>1757</v>
      </c>
      <c r="E1829" s="11" t="s">
        <v>1759</v>
      </c>
      <c r="F1829" s="12">
        <v>1</v>
      </c>
    </row>
    <row r="1830" spans="2:6" hidden="1" x14ac:dyDescent="0.2">
      <c r="B1830" s="4">
        <v>2014</v>
      </c>
      <c r="C1830" s="11" t="s">
        <v>1747</v>
      </c>
      <c r="D1830" s="11" t="s">
        <v>1757</v>
      </c>
      <c r="E1830" s="11" t="s">
        <v>1760</v>
      </c>
      <c r="F1830" s="12">
        <v>0</v>
      </c>
    </row>
    <row r="1831" spans="2:6" hidden="1" x14ac:dyDescent="0.2">
      <c r="B1831" s="4">
        <v>2014</v>
      </c>
      <c r="C1831" s="11" t="s">
        <v>1414</v>
      </c>
      <c r="D1831" s="11" t="s">
        <v>1761</v>
      </c>
      <c r="E1831" s="11" t="s">
        <v>1762</v>
      </c>
      <c r="F1831" s="12">
        <v>180</v>
      </c>
    </row>
    <row r="1832" spans="2:6" hidden="1" x14ac:dyDescent="0.2">
      <c r="B1832" s="4">
        <v>2014</v>
      </c>
      <c r="C1832" s="11" t="s">
        <v>1414</v>
      </c>
      <c r="D1832" s="11" t="s">
        <v>1761</v>
      </c>
      <c r="E1832" s="11" t="s">
        <v>1763</v>
      </c>
      <c r="F1832" s="12">
        <v>1</v>
      </c>
    </row>
    <row r="1833" spans="2:6" hidden="1" x14ac:dyDescent="0.2">
      <c r="B1833" s="4">
        <v>2014</v>
      </c>
      <c r="C1833" s="11" t="s">
        <v>1414</v>
      </c>
      <c r="D1833" s="11" t="s">
        <v>1761</v>
      </c>
      <c r="E1833" s="11" t="s">
        <v>1764</v>
      </c>
      <c r="F1833" s="12">
        <v>0</v>
      </c>
    </row>
    <row r="1834" spans="2:6" hidden="1" x14ac:dyDescent="0.2">
      <c r="B1834" s="4">
        <v>2014</v>
      </c>
      <c r="C1834" s="11" t="s">
        <v>1414</v>
      </c>
      <c r="D1834" s="11" t="s">
        <v>1761</v>
      </c>
      <c r="E1834" s="11" t="s">
        <v>1765</v>
      </c>
      <c r="F1834" s="12">
        <v>2</v>
      </c>
    </row>
    <row r="1835" spans="2:6" hidden="1" x14ac:dyDescent="0.2">
      <c r="B1835" s="4">
        <v>2014</v>
      </c>
      <c r="C1835" s="11" t="s">
        <v>1414</v>
      </c>
      <c r="D1835" s="11" t="s">
        <v>1761</v>
      </c>
      <c r="E1835" s="11" t="s">
        <v>1766</v>
      </c>
      <c r="F1835" s="12">
        <v>59</v>
      </c>
    </row>
    <row r="1836" spans="2:6" hidden="1" x14ac:dyDescent="0.2">
      <c r="B1836" s="4">
        <v>2014</v>
      </c>
      <c r="C1836" s="11" t="s">
        <v>1414</v>
      </c>
      <c r="D1836" s="11" t="s">
        <v>1761</v>
      </c>
      <c r="E1836" s="11" t="s">
        <v>1767</v>
      </c>
      <c r="F1836" s="12">
        <v>2</v>
      </c>
    </row>
    <row r="1837" spans="2:6" hidden="1" x14ac:dyDescent="0.2">
      <c r="B1837" s="4">
        <v>2014</v>
      </c>
      <c r="C1837" s="11" t="s">
        <v>1414</v>
      </c>
      <c r="D1837" s="11" t="s">
        <v>1761</v>
      </c>
      <c r="E1837" s="11" t="s">
        <v>1768</v>
      </c>
      <c r="F1837" s="12">
        <v>19</v>
      </c>
    </row>
    <row r="1838" spans="2:6" hidden="1" x14ac:dyDescent="0.2">
      <c r="B1838" s="4">
        <v>2014</v>
      </c>
      <c r="C1838" s="11" t="s">
        <v>1414</v>
      </c>
      <c r="D1838" s="11" t="s">
        <v>1769</v>
      </c>
      <c r="E1838" s="11" t="s">
        <v>1770</v>
      </c>
      <c r="F1838" s="12">
        <v>7</v>
      </c>
    </row>
    <row r="1839" spans="2:6" hidden="1" x14ac:dyDescent="0.2">
      <c r="B1839" s="4">
        <v>2014</v>
      </c>
      <c r="C1839" s="11" t="s">
        <v>1414</v>
      </c>
      <c r="D1839" s="11" t="s">
        <v>1769</v>
      </c>
      <c r="E1839" s="11" t="s">
        <v>1771</v>
      </c>
      <c r="F1839" s="12">
        <v>1</v>
      </c>
    </row>
    <row r="1840" spans="2:6" hidden="1" x14ac:dyDescent="0.2">
      <c r="B1840" s="4">
        <v>2014</v>
      </c>
      <c r="C1840" s="11" t="s">
        <v>1414</v>
      </c>
      <c r="D1840" s="11" t="s">
        <v>1769</v>
      </c>
      <c r="E1840" s="11" t="s">
        <v>1772</v>
      </c>
      <c r="F1840" s="12">
        <v>4</v>
      </c>
    </row>
    <row r="1841" spans="2:6" hidden="1" x14ac:dyDescent="0.2">
      <c r="B1841" s="4">
        <v>2014</v>
      </c>
      <c r="C1841" s="11" t="s">
        <v>1414</v>
      </c>
      <c r="D1841" s="11" t="s">
        <v>1769</v>
      </c>
      <c r="E1841" s="11" t="s">
        <v>1773</v>
      </c>
      <c r="F1841" s="12">
        <v>0</v>
      </c>
    </row>
    <row r="1842" spans="2:6" hidden="1" x14ac:dyDescent="0.2">
      <c r="B1842" s="4">
        <v>2014</v>
      </c>
      <c r="C1842" s="11" t="s">
        <v>1414</v>
      </c>
      <c r="D1842" s="11" t="s">
        <v>1774</v>
      </c>
      <c r="E1842" s="11" t="s">
        <v>1774</v>
      </c>
      <c r="F1842" s="12">
        <v>3</v>
      </c>
    </row>
    <row r="1843" spans="2:6" hidden="1" x14ac:dyDescent="0.2">
      <c r="B1843" s="4">
        <v>2014</v>
      </c>
      <c r="C1843" s="11" t="s">
        <v>1414</v>
      </c>
      <c r="D1843" s="11" t="s">
        <v>1774</v>
      </c>
      <c r="E1843" s="11" t="s">
        <v>1775</v>
      </c>
      <c r="F1843" s="12">
        <v>0</v>
      </c>
    </row>
    <row r="1844" spans="2:6" hidden="1" x14ac:dyDescent="0.2">
      <c r="B1844" s="4">
        <v>2014</v>
      </c>
      <c r="C1844" s="11" t="s">
        <v>1414</v>
      </c>
      <c r="D1844" s="11" t="s">
        <v>1774</v>
      </c>
      <c r="E1844" s="11" t="s">
        <v>1776</v>
      </c>
      <c r="F1844" s="12">
        <v>0</v>
      </c>
    </row>
    <row r="1845" spans="2:6" hidden="1" x14ac:dyDescent="0.2">
      <c r="B1845" s="4">
        <v>2014</v>
      </c>
      <c r="C1845" s="11" t="s">
        <v>1414</v>
      </c>
      <c r="D1845" s="11" t="s">
        <v>1777</v>
      </c>
      <c r="E1845" s="11" t="s">
        <v>1777</v>
      </c>
      <c r="F1845" s="12">
        <v>0</v>
      </c>
    </row>
    <row r="1846" spans="2:6" hidden="1" x14ac:dyDescent="0.2">
      <c r="B1846" s="14">
        <v>2013</v>
      </c>
      <c r="C1846" s="13" t="s">
        <v>1780</v>
      </c>
      <c r="D1846" s="13" t="s">
        <v>1781</v>
      </c>
      <c r="E1846" s="13" t="s">
        <v>1781</v>
      </c>
      <c r="F1846" s="15">
        <v>17</v>
      </c>
    </row>
    <row r="1847" spans="2:6" hidden="1" x14ac:dyDescent="0.2">
      <c r="B1847" s="14">
        <v>2013</v>
      </c>
      <c r="C1847" s="13" t="s">
        <v>1780</v>
      </c>
      <c r="D1847" s="13" t="s">
        <v>1781</v>
      </c>
      <c r="E1847" s="13" t="s">
        <v>1782</v>
      </c>
      <c r="F1847" s="15">
        <v>0</v>
      </c>
    </row>
    <row r="1848" spans="2:6" hidden="1" x14ac:dyDescent="0.2">
      <c r="B1848" s="14">
        <v>2013</v>
      </c>
      <c r="C1848" s="13" t="s">
        <v>1780</v>
      </c>
      <c r="D1848" s="13" t="s">
        <v>1781</v>
      </c>
      <c r="E1848" s="13" t="s">
        <v>1783</v>
      </c>
      <c r="F1848" s="15">
        <v>0</v>
      </c>
    </row>
    <row r="1849" spans="2:6" hidden="1" x14ac:dyDescent="0.2">
      <c r="B1849" s="14">
        <v>2013</v>
      </c>
      <c r="C1849" s="13" t="s">
        <v>1780</v>
      </c>
      <c r="D1849" s="13" t="s">
        <v>1781</v>
      </c>
      <c r="E1849" s="13" t="s">
        <v>1784</v>
      </c>
      <c r="F1849" s="15">
        <v>0</v>
      </c>
    </row>
    <row r="1850" spans="2:6" hidden="1" x14ac:dyDescent="0.2">
      <c r="B1850" s="14">
        <v>2013</v>
      </c>
      <c r="C1850" s="13" t="s">
        <v>1780</v>
      </c>
      <c r="D1850" s="13" t="s">
        <v>1781</v>
      </c>
      <c r="E1850" s="13" t="s">
        <v>1785</v>
      </c>
      <c r="F1850" s="15">
        <v>0</v>
      </c>
    </row>
    <row r="1851" spans="2:6" hidden="1" x14ac:dyDescent="0.2">
      <c r="B1851" s="14">
        <v>2013</v>
      </c>
      <c r="C1851" s="13" t="s">
        <v>1780</v>
      </c>
      <c r="D1851" s="13" t="s">
        <v>1781</v>
      </c>
      <c r="E1851" s="13" t="s">
        <v>1786</v>
      </c>
      <c r="F1851" s="15">
        <v>0</v>
      </c>
    </row>
    <row r="1852" spans="2:6" hidden="1" x14ac:dyDescent="0.2">
      <c r="B1852" s="14">
        <v>2013</v>
      </c>
      <c r="C1852" s="13" t="s">
        <v>1780</v>
      </c>
      <c r="D1852" s="13" t="s">
        <v>1781</v>
      </c>
      <c r="E1852" s="13" t="s">
        <v>1787</v>
      </c>
      <c r="F1852" s="15">
        <v>0</v>
      </c>
    </row>
    <row r="1853" spans="2:6" hidden="1" x14ac:dyDescent="0.2">
      <c r="B1853" s="14">
        <v>2013</v>
      </c>
      <c r="C1853" s="13" t="s">
        <v>1780</v>
      </c>
      <c r="D1853" s="13" t="s">
        <v>1781</v>
      </c>
      <c r="E1853" s="13" t="s">
        <v>1788</v>
      </c>
      <c r="F1853" s="15">
        <v>0</v>
      </c>
    </row>
    <row r="1854" spans="2:6" hidden="1" x14ac:dyDescent="0.2">
      <c r="B1854" s="14">
        <v>2013</v>
      </c>
      <c r="C1854" s="13" t="s">
        <v>1780</v>
      </c>
      <c r="D1854" s="13" t="s">
        <v>1781</v>
      </c>
      <c r="E1854" s="13" t="s">
        <v>1789</v>
      </c>
      <c r="F1854" s="15">
        <v>1</v>
      </c>
    </row>
    <row r="1855" spans="2:6" hidden="1" x14ac:dyDescent="0.2">
      <c r="B1855" s="14">
        <v>2013</v>
      </c>
      <c r="C1855" s="13" t="s">
        <v>1780</v>
      </c>
      <c r="D1855" s="13" t="s">
        <v>1781</v>
      </c>
      <c r="E1855" s="13" t="s">
        <v>1790</v>
      </c>
      <c r="F1855" s="15">
        <v>0</v>
      </c>
    </row>
    <row r="1856" spans="2:6" hidden="1" x14ac:dyDescent="0.2">
      <c r="B1856" s="14">
        <v>2013</v>
      </c>
      <c r="C1856" s="13" t="s">
        <v>1780</v>
      </c>
      <c r="D1856" s="13" t="s">
        <v>1781</v>
      </c>
      <c r="E1856" s="13" t="s">
        <v>1791</v>
      </c>
      <c r="F1856" s="15">
        <v>0</v>
      </c>
    </row>
    <row r="1857" spans="2:6" hidden="1" x14ac:dyDescent="0.2">
      <c r="B1857" s="14">
        <v>2013</v>
      </c>
      <c r="C1857" s="13" t="s">
        <v>1780</v>
      </c>
      <c r="D1857" s="13" t="s">
        <v>1781</v>
      </c>
      <c r="E1857" s="13" t="s">
        <v>1792</v>
      </c>
      <c r="F1857" s="15">
        <v>0</v>
      </c>
    </row>
    <row r="1858" spans="2:6" hidden="1" x14ac:dyDescent="0.2">
      <c r="B1858" s="14">
        <v>2013</v>
      </c>
      <c r="C1858" s="13" t="s">
        <v>1780</v>
      </c>
      <c r="D1858" s="13" t="s">
        <v>1781</v>
      </c>
      <c r="E1858" s="13" t="s">
        <v>1793</v>
      </c>
      <c r="F1858" s="15">
        <v>0</v>
      </c>
    </row>
    <row r="1859" spans="2:6" hidden="1" x14ac:dyDescent="0.2">
      <c r="B1859" s="14">
        <v>2013</v>
      </c>
      <c r="C1859" s="13" t="s">
        <v>1780</v>
      </c>
      <c r="D1859" s="13" t="s">
        <v>1781</v>
      </c>
      <c r="E1859" s="13" t="s">
        <v>1794</v>
      </c>
      <c r="F1859" s="15">
        <v>20</v>
      </c>
    </row>
    <row r="1860" spans="2:6" hidden="1" x14ac:dyDescent="0.2">
      <c r="B1860" s="14">
        <v>2013</v>
      </c>
      <c r="C1860" s="13" t="s">
        <v>1780</v>
      </c>
      <c r="D1860" s="13" t="s">
        <v>1781</v>
      </c>
      <c r="E1860" s="13" t="s">
        <v>1795</v>
      </c>
      <c r="F1860" s="15">
        <v>1</v>
      </c>
    </row>
    <row r="1861" spans="2:6" hidden="1" x14ac:dyDescent="0.2">
      <c r="B1861" s="14">
        <v>2013</v>
      </c>
      <c r="C1861" s="13" t="s">
        <v>1780</v>
      </c>
      <c r="D1861" s="13" t="s">
        <v>1781</v>
      </c>
      <c r="E1861" s="13" t="s">
        <v>1796</v>
      </c>
      <c r="F1861" s="15">
        <v>0</v>
      </c>
    </row>
    <row r="1862" spans="2:6" hidden="1" x14ac:dyDescent="0.2">
      <c r="B1862" s="14">
        <v>2013</v>
      </c>
      <c r="C1862" s="13" t="s">
        <v>1780</v>
      </c>
      <c r="D1862" s="13" t="s">
        <v>1781</v>
      </c>
      <c r="E1862" s="13" t="s">
        <v>1797</v>
      </c>
      <c r="F1862" s="15">
        <v>0</v>
      </c>
    </row>
    <row r="1863" spans="2:6" hidden="1" x14ac:dyDescent="0.2">
      <c r="B1863" s="14">
        <v>2013</v>
      </c>
      <c r="C1863" s="13" t="s">
        <v>1780</v>
      </c>
      <c r="D1863" s="13" t="s">
        <v>1781</v>
      </c>
      <c r="E1863" s="13" t="s">
        <v>1798</v>
      </c>
      <c r="F1863" s="15">
        <v>0</v>
      </c>
    </row>
    <row r="1864" spans="2:6" hidden="1" x14ac:dyDescent="0.2">
      <c r="B1864" s="14">
        <v>2013</v>
      </c>
      <c r="C1864" s="13" t="s">
        <v>1780</v>
      </c>
      <c r="D1864" s="13" t="s">
        <v>1781</v>
      </c>
      <c r="E1864" s="13" t="s">
        <v>1799</v>
      </c>
      <c r="F1864" s="15">
        <v>0</v>
      </c>
    </row>
    <row r="1865" spans="2:6" hidden="1" x14ac:dyDescent="0.2">
      <c r="B1865" s="14">
        <v>2013</v>
      </c>
      <c r="C1865" s="13" t="s">
        <v>1780</v>
      </c>
      <c r="D1865" s="13" t="s">
        <v>1781</v>
      </c>
      <c r="E1865" s="13" t="s">
        <v>1800</v>
      </c>
      <c r="F1865" s="15">
        <v>0</v>
      </c>
    </row>
    <row r="1866" spans="2:6" hidden="1" x14ac:dyDescent="0.2">
      <c r="B1866" s="14">
        <v>2013</v>
      </c>
      <c r="C1866" s="13" t="s">
        <v>1780</v>
      </c>
      <c r="D1866" s="13" t="s">
        <v>1781</v>
      </c>
      <c r="E1866" s="13" t="s">
        <v>1801</v>
      </c>
      <c r="F1866" s="15">
        <v>0</v>
      </c>
    </row>
    <row r="1867" spans="2:6" hidden="1" x14ac:dyDescent="0.2">
      <c r="B1867" s="14">
        <v>2013</v>
      </c>
      <c r="C1867" s="13" t="s">
        <v>1780</v>
      </c>
      <c r="D1867" s="13" t="s">
        <v>1802</v>
      </c>
      <c r="E1867" s="13" t="s">
        <v>1802</v>
      </c>
      <c r="F1867" s="15">
        <v>25</v>
      </c>
    </row>
    <row r="1868" spans="2:6" hidden="1" x14ac:dyDescent="0.2">
      <c r="B1868" s="14">
        <v>2013</v>
      </c>
      <c r="C1868" s="13" t="s">
        <v>1780</v>
      </c>
      <c r="D1868" s="13" t="s">
        <v>1802</v>
      </c>
      <c r="E1868" s="13" t="s">
        <v>1803</v>
      </c>
      <c r="F1868" s="15">
        <v>3</v>
      </c>
    </row>
    <row r="1869" spans="2:6" hidden="1" x14ac:dyDescent="0.2">
      <c r="B1869" s="14">
        <v>2013</v>
      </c>
      <c r="C1869" s="13" t="s">
        <v>1780</v>
      </c>
      <c r="D1869" s="13" t="s">
        <v>1802</v>
      </c>
      <c r="E1869" s="13" t="s">
        <v>1804</v>
      </c>
      <c r="F1869" s="15">
        <v>1</v>
      </c>
    </row>
    <row r="1870" spans="2:6" hidden="1" x14ac:dyDescent="0.2">
      <c r="B1870" s="14">
        <v>2013</v>
      </c>
      <c r="C1870" s="13" t="s">
        <v>1780</v>
      </c>
      <c r="D1870" s="13" t="s">
        <v>1802</v>
      </c>
      <c r="E1870" s="13" t="s">
        <v>1805</v>
      </c>
      <c r="F1870" s="15">
        <v>0</v>
      </c>
    </row>
    <row r="1871" spans="2:6" hidden="1" x14ac:dyDescent="0.2">
      <c r="B1871" s="14">
        <v>2013</v>
      </c>
      <c r="C1871" s="13" t="s">
        <v>1780</v>
      </c>
      <c r="D1871" s="13" t="s">
        <v>1802</v>
      </c>
      <c r="E1871" s="13" t="s">
        <v>1806</v>
      </c>
      <c r="F1871" s="15">
        <v>4</v>
      </c>
    </row>
    <row r="1872" spans="2:6" hidden="1" x14ac:dyDescent="0.2">
      <c r="B1872" s="14">
        <v>2013</v>
      </c>
      <c r="C1872" s="13" t="s">
        <v>1780</v>
      </c>
      <c r="D1872" s="13" t="s">
        <v>1802</v>
      </c>
      <c r="E1872" s="13" t="s">
        <v>1807</v>
      </c>
      <c r="F1872" s="15">
        <v>1</v>
      </c>
    </row>
    <row r="1873" spans="2:6" hidden="1" x14ac:dyDescent="0.2">
      <c r="B1873" s="14">
        <v>2013</v>
      </c>
      <c r="C1873" s="13" t="s">
        <v>1780</v>
      </c>
      <c r="D1873" s="13" t="s">
        <v>1808</v>
      </c>
      <c r="E1873" s="13" t="s">
        <v>1809</v>
      </c>
      <c r="F1873" s="15">
        <v>0</v>
      </c>
    </row>
    <row r="1874" spans="2:6" hidden="1" x14ac:dyDescent="0.2">
      <c r="B1874" s="14">
        <v>2013</v>
      </c>
      <c r="C1874" s="13" t="s">
        <v>1780</v>
      </c>
      <c r="D1874" s="13" t="s">
        <v>1808</v>
      </c>
      <c r="E1874" s="13" t="s">
        <v>1810</v>
      </c>
      <c r="F1874" s="15">
        <v>5</v>
      </c>
    </row>
    <row r="1875" spans="2:6" hidden="1" x14ac:dyDescent="0.2">
      <c r="B1875" s="14">
        <v>2013</v>
      </c>
      <c r="C1875" s="13" t="s">
        <v>1780</v>
      </c>
      <c r="D1875" s="13" t="s">
        <v>1808</v>
      </c>
      <c r="E1875" s="13" t="s">
        <v>1811</v>
      </c>
      <c r="F1875" s="15">
        <v>0</v>
      </c>
    </row>
    <row r="1876" spans="2:6" hidden="1" x14ac:dyDescent="0.2">
      <c r="B1876" s="14">
        <v>2013</v>
      </c>
      <c r="C1876" s="13" t="s">
        <v>1780</v>
      </c>
      <c r="D1876" s="13" t="s">
        <v>1808</v>
      </c>
      <c r="E1876" s="13" t="s">
        <v>1812</v>
      </c>
      <c r="F1876" s="15">
        <v>0</v>
      </c>
    </row>
    <row r="1877" spans="2:6" hidden="1" x14ac:dyDescent="0.2">
      <c r="B1877" s="14">
        <v>2013</v>
      </c>
      <c r="C1877" s="13" t="s">
        <v>1780</v>
      </c>
      <c r="D1877" s="13" t="s">
        <v>1808</v>
      </c>
      <c r="E1877" s="13" t="s">
        <v>1813</v>
      </c>
      <c r="F1877" s="15">
        <v>0</v>
      </c>
    </row>
    <row r="1878" spans="2:6" hidden="1" x14ac:dyDescent="0.2">
      <c r="B1878" s="14">
        <v>2013</v>
      </c>
      <c r="C1878" s="13" t="s">
        <v>1780</v>
      </c>
      <c r="D1878" s="13" t="s">
        <v>1808</v>
      </c>
      <c r="E1878" s="13" t="s">
        <v>1814</v>
      </c>
      <c r="F1878" s="15">
        <v>3</v>
      </c>
    </row>
    <row r="1879" spans="2:6" hidden="1" x14ac:dyDescent="0.2">
      <c r="B1879" s="14">
        <v>2013</v>
      </c>
      <c r="C1879" s="13" t="s">
        <v>1780</v>
      </c>
      <c r="D1879" s="13" t="s">
        <v>1808</v>
      </c>
      <c r="E1879" s="13" t="s">
        <v>1815</v>
      </c>
      <c r="F1879" s="15">
        <v>2</v>
      </c>
    </row>
    <row r="1880" spans="2:6" hidden="1" x14ac:dyDescent="0.2">
      <c r="B1880" s="14">
        <v>2013</v>
      </c>
      <c r="C1880" s="13" t="s">
        <v>1780</v>
      </c>
      <c r="D1880" s="13" t="s">
        <v>1808</v>
      </c>
      <c r="E1880" s="13" t="s">
        <v>1816</v>
      </c>
      <c r="F1880" s="15">
        <v>0</v>
      </c>
    </row>
    <row r="1881" spans="2:6" hidden="1" x14ac:dyDescent="0.2">
      <c r="B1881" s="14">
        <v>2013</v>
      </c>
      <c r="C1881" s="13" t="s">
        <v>1780</v>
      </c>
      <c r="D1881" s="13" t="s">
        <v>1808</v>
      </c>
      <c r="E1881" s="13" t="s">
        <v>1817</v>
      </c>
      <c r="F1881" s="15">
        <v>0</v>
      </c>
    </row>
    <row r="1882" spans="2:6" hidden="1" x14ac:dyDescent="0.2">
      <c r="B1882" s="14">
        <v>2013</v>
      </c>
      <c r="C1882" s="13" t="s">
        <v>1780</v>
      </c>
      <c r="D1882" s="13" t="s">
        <v>1808</v>
      </c>
      <c r="E1882" s="13" t="s">
        <v>1818</v>
      </c>
      <c r="F1882" s="15">
        <v>0</v>
      </c>
    </row>
    <row r="1883" spans="2:6" hidden="1" x14ac:dyDescent="0.2">
      <c r="B1883" s="14">
        <v>2013</v>
      </c>
      <c r="C1883" s="13" t="s">
        <v>1780</v>
      </c>
      <c r="D1883" s="13" t="s">
        <v>1808</v>
      </c>
      <c r="E1883" s="13" t="s">
        <v>1819</v>
      </c>
      <c r="F1883" s="15">
        <v>4</v>
      </c>
    </row>
    <row r="1884" spans="2:6" hidden="1" x14ac:dyDescent="0.2">
      <c r="B1884" s="14">
        <v>2013</v>
      </c>
      <c r="C1884" s="13" t="s">
        <v>1780</v>
      </c>
      <c r="D1884" s="13" t="s">
        <v>1808</v>
      </c>
      <c r="E1884" s="13" t="s">
        <v>1820</v>
      </c>
      <c r="F1884" s="15">
        <v>1</v>
      </c>
    </row>
    <row r="1885" spans="2:6" hidden="1" x14ac:dyDescent="0.2">
      <c r="B1885" s="14">
        <v>2013</v>
      </c>
      <c r="C1885" s="13" t="s">
        <v>1780</v>
      </c>
      <c r="D1885" s="13" t="s">
        <v>1821</v>
      </c>
      <c r="E1885" s="13" t="s">
        <v>1822</v>
      </c>
      <c r="F1885" s="15">
        <v>2</v>
      </c>
    </row>
    <row r="1886" spans="2:6" hidden="1" x14ac:dyDescent="0.2">
      <c r="B1886" s="14">
        <v>2013</v>
      </c>
      <c r="C1886" s="13" t="s">
        <v>1780</v>
      </c>
      <c r="D1886" s="13" t="s">
        <v>1821</v>
      </c>
      <c r="E1886" s="13" t="s">
        <v>1823</v>
      </c>
      <c r="F1886" s="15">
        <v>0</v>
      </c>
    </row>
    <row r="1887" spans="2:6" hidden="1" x14ac:dyDescent="0.2">
      <c r="B1887" s="14">
        <v>2013</v>
      </c>
      <c r="C1887" s="13" t="s">
        <v>1780</v>
      </c>
      <c r="D1887" s="13" t="s">
        <v>1821</v>
      </c>
      <c r="E1887" s="13" t="s">
        <v>1824</v>
      </c>
      <c r="F1887" s="15">
        <v>0</v>
      </c>
    </row>
    <row r="1888" spans="2:6" hidden="1" x14ac:dyDescent="0.2">
      <c r="B1888" s="14">
        <v>2013</v>
      </c>
      <c r="C1888" s="13" t="s">
        <v>1780</v>
      </c>
      <c r="D1888" s="13" t="s">
        <v>1825</v>
      </c>
      <c r="E1888" s="13" t="s">
        <v>1826</v>
      </c>
      <c r="F1888" s="15">
        <v>1</v>
      </c>
    </row>
    <row r="1889" spans="2:6" hidden="1" x14ac:dyDescent="0.2">
      <c r="B1889" s="14">
        <v>2013</v>
      </c>
      <c r="C1889" s="13" t="s">
        <v>1780</v>
      </c>
      <c r="D1889" s="13" t="s">
        <v>1825</v>
      </c>
      <c r="E1889" s="13" t="s">
        <v>1827</v>
      </c>
      <c r="F1889" s="15">
        <v>0</v>
      </c>
    </row>
    <row r="1890" spans="2:6" hidden="1" x14ac:dyDescent="0.2">
      <c r="B1890" s="14">
        <v>2013</v>
      </c>
      <c r="C1890" s="13" t="s">
        <v>1780</v>
      </c>
      <c r="D1890" s="13" t="s">
        <v>1825</v>
      </c>
      <c r="E1890" s="13" t="s">
        <v>1828</v>
      </c>
      <c r="F1890" s="15">
        <v>0</v>
      </c>
    </row>
    <row r="1891" spans="2:6" hidden="1" x14ac:dyDescent="0.2">
      <c r="B1891" s="14">
        <v>2013</v>
      </c>
      <c r="C1891" s="13" t="s">
        <v>1780</v>
      </c>
      <c r="D1891" s="13" t="s">
        <v>1825</v>
      </c>
      <c r="E1891" s="13" t="s">
        <v>1829</v>
      </c>
      <c r="F1891" s="15">
        <v>0</v>
      </c>
    </row>
    <row r="1892" spans="2:6" hidden="1" x14ac:dyDescent="0.2">
      <c r="B1892" s="14">
        <v>2013</v>
      </c>
      <c r="C1892" s="13" t="s">
        <v>1780</v>
      </c>
      <c r="D1892" s="13" t="s">
        <v>1825</v>
      </c>
      <c r="E1892" s="13" t="s">
        <v>1830</v>
      </c>
      <c r="F1892" s="15">
        <v>0</v>
      </c>
    </row>
    <row r="1893" spans="2:6" hidden="1" x14ac:dyDescent="0.2">
      <c r="B1893" s="14">
        <v>2013</v>
      </c>
      <c r="C1893" s="13" t="s">
        <v>1780</v>
      </c>
      <c r="D1893" s="13" t="s">
        <v>1825</v>
      </c>
      <c r="E1893" s="13" t="s">
        <v>1831</v>
      </c>
      <c r="F1893" s="15">
        <v>0</v>
      </c>
    </row>
    <row r="1894" spans="2:6" hidden="1" x14ac:dyDescent="0.2">
      <c r="B1894" s="14">
        <v>2013</v>
      </c>
      <c r="C1894" s="13" t="s">
        <v>1780</v>
      </c>
      <c r="D1894" s="13" t="s">
        <v>1825</v>
      </c>
      <c r="E1894" s="13" t="s">
        <v>1832</v>
      </c>
      <c r="F1894" s="15">
        <v>0</v>
      </c>
    </row>
    <row r="1895" spans="2:6" hidden="1" x14ac:dyDescent="0.2">
      <c r="B1895" s="14">
        <v>2013</v>
      </c>
      <c r="C1895" s="13" t="s">
        <v>1780</v>
      </c>
      <c r="D1895" s="13" t="s">
        <v>1825</v>
      </c>
      <c r="E1895" s="13" t="s">
        <v>1833</v>
      </c>
      <c r="F1895" s="15">
        <v>0</v>
      </c>
    </row>
    <row r="1896" spans="2:6" hidden="1" x14ac:dyDescent="0.2">
      <c r="B1896" s="14">
        <v>2013</v>
      </c>
      <c r="C1896" s="13" t="s">
        <v>1780</v>
      </c>
      <c r="D1896" s="13" t="s">
        <v>1825</v>
      </c>
      <c r="E1896" s="13" t="s">
        <v>1825</v>
      </c>
      <c r="F1896" s="15">
        <v>1</v>
      </c>
    </row>
    <row r="1897" spans="2:6" hidden="1" x14ac:dyDescent="0.2">
      <c r="B1897" s="14">
        <v>2013</v>
      </c>
      <c r="C1897" s="13" t="s">
        <v>1780</v>
      </c>
      <c r="D1897" s="13" t="s">
        <v>1825</v>
      </c>
      <c r="E1897" s="13" t="s">
        <v>1834</v>
      </c>
      <c r="F1897" s="15">
        <v>0</v>
      </c>
    </row>
    <row r="1898" spans="2:6" hidden="1" x14ac:dyDescent="0.2">
      <c r="B1898" s="14">
        <v>2013</v>
      </c>
      <c r="C1898" s="13" t="s">
        <v>1780</v>
      </c>
      <c r="D1898" s="13" t="s">
        <v>1825</v>
      </c>
      <c r="E1898" s="13" t="s">
        <v>1835</v>
      </c>
      <c r="F1898" s="15">
        <v>1</v>
      </c>
    </row>
    <row r="1899" spans="2:6" hidden="1" x14ac:dyDescent="0.2">
      <c r="B1899" s="14">
        <v>2013</v>
      </c>
      <c r="C1899" s="13" t="s">
        <v>1780</v>
      </c>
      <c r="D1899" s="13" t="s">
        <v>1825</v>
      </c>
      <c r="E1899" s="13" t="s">
        <v>1836</v>
      </c>
      <c r="F1899" s="15">
        <v>0</v>
      </c>
    </row>
    <row r="1900" spans="2:6" hidden="1" x14ac:dyDescent="0.2">
      <c r="B1900" s="14">
        <v>2013</v>
      </c>
      <c r="C1900" s="13" t="s">
        <v>1780</v>
      </c>
      <c r="D1900" s="13" t="s">
        <v>1825</v>
      </c>
      <c r="E1900" s="13" t="s">
        <v>1837</v>
      </c>
      <c r="F1900" s="15">
        <v>0</v>
      </c>
    </row>
    <row r="1901" spans="2:6" hidden="1" x14ac:dyDescent="0.2">
      <c r="B1901" s="14">
        <v>2013</v>
      </c>
      <c r="C1901" s="13" t="s">
        <v>1780</v>
      </c>
      <c r="D1901" s="13" t="s">
        <v>1825</v>
      </c>
      <c r="E1901" s="13" t="s">
        <v>1838</v>
      </c>
      <c r="F1901" s="15">
        <v>0</v>
      </c>
    </row>
    <row r="1902" spans="2:6" hidden="1" x14ac:dyDescent="0.2">
      <c r="B1902" s="14">
        <v>2013</v>
      </c>
      <c r="C1902" s="13" t="s">
        <v>1780</v>
      </c>
      <c r="D1902" s="13" t="s">
        <v>1825</v>
      </c>
      <c r="E1902" s="13" t="s">
        <v>1839</v>
      </c>
      <c r="F1902" s="15">
        <v>0</v>
      </c>
    </row>
    <row r="1903" spans="2:6" hidden="1" x14ac:dyDescent="0.2">
      <c r="B1903" s="14">
        <v>2013</v>
      </c>
      <c r="C1903" s="13" t="s">
        <v>1780</v>
      </c>
      <c r="D1903" s="13" t="s">
        <v>1825</v>
      </c>
      <c r="E1903" s="13" t="s">
        <v>1840</v>
      </c>
      <c r="F1903" s="15">
        <v>0</v>
      </c>
    </row>
    <row r="1904" spans="2:6" hidden="1" x14ac:dyDescent="0.2">
      <c r="B1904" s="14">
        <v>2013</v>
      </c>
      <c r="C1904" s="13" t="s">
        <v>1780</v>
      </c>
      <c r="D1904" s="13" t="s">
        <v>1825</v>
      </c>
      <c r="E1904" s="13" t="s">
        <v>1841</v>
      </c>
      <c r="F1904" s="15">
        <v>0</v>
      </c>
    </row>
    <row r="1905" spans="2:6" hidden="1" x14ac:dyDescent="0.2">
      <c r="B1905" s="14">
        <v>2013</v>
      </c>
      <c r="C1905" s="13" t="s">
        <v>1780</v>
      </c>
      <c r="D1905" s="13" t="s">
        <v>1825</v>
      </c>
      <c r="E1905" s="13" t="s">
        <v>1842</v>
      </c>
      <c r="F1905" s="15">
        <v>0</v>
      </c>
    </row>
    <row r="1906" spans="2:6" hidden="1" x14ac:dyDescent="0.2">
      <c r="B1906" s="14">
        <v>2013</v>
      </c>
      <c r="C1906" s="13" t="s">
        <v>1780</v>
      </c>
      <c r="D1906" s="13" t="s">
        <v>1825</v>
      </c>
      <c r="E1906" s="13" t="s">
        <v>1843</v>
      </c>
      <c r="F1906" s="15">
        <v>0</v>
      </c>
    </row>
    <row r="1907" spans="2:6" hidden="1" x14ac:dyDescent="0.2">
      <c r="B1907" s="14">
        <v>2013</v>
      </c>
      <c r="C1907" s="13" t="s">
        <v>1780</v>
      </c>
      <c r="D1907" s="13" t="s">
        <v>1825</v>
      </c>
      <c r="E1907" s="13" t="s">
        <v>1844</v>
      </c>
      <c r="F1907" s="15">
        <v>0</v>
      </c>
    </row>
    <row r="1908" spans="2:6" hidden="1" x14ac:dyDescent="0.2">
      <c r="B1908" s="14">
        <v>2013</v>
      </c>
      <c r="C1908" s="13" t="s">
        <v>1780</v>
      </c>
      <c r="D1908" s="13" t="s">
        <v>1825</v>
      </c>
      <c r="E1908" s="13" t="s">
        <v>1845</v>
      </c>
      <c r="F1908" s="15">
        <v>0</v>
      </c>
    </row>
    <row r="1909" spans="2:6" hidden="1" x14ac:dyDescent="0.2">
      <c r="B1909" s="14">
        <v>2013</v>
      </c>
      <c r="C1909" s="13" t="s">
        <v>1780</v>
      </c>
      <c r="D1909" s="13" t="s">
        <v>1825</v>
      </c>
      <c r="E1909" s="13" t="s">
        <v>1846</v>
      </c>
      <c r="F1909" s="15">
        <v>1</v>
      </c>
    </row>
    <row r="1910" spans="2:6" hidden="1" x14ac:dyDescent="0.2">
      <c r="B1910" s="14">
        <v>2013</v>
      </c>
      <c r="C1910" s="13" t="s">
        <v>1780</v>
      </c>
      <c r="D1910" s="13" t="s">
        <v>1825</v>
      </c>
      <c r="E1910" s="13" t="s">
        <v>1847</v>
      </c>
      <c r="F1910" s="15">
        <v>0</v>
      </c>
    </row>
    <row r="1911" spans="2:6" hidden="1" x14ac:dyDescent="0.2">
      <c r="B1911" s="14">
        <v>2013</v>
      </c>
      <c r="C1911" s="13" t="s">
        <v>1780</v>
      </c>
      <c r="D1911" s="13" t="s">
        <v>1848</v>
      </c>
      <c r="E1911" s="13" t="s">
        <v>1849</v>
      </c>
      <c r="F1911" s="15">
        <v>4</v>
      </c>
    </row>
    <row r="1912" spans="2:6" hidden="1" x14ac:dyDescent="0.2">
      <c r="B1912" s="14">
        <v>2013</v>
      </c>
      <c r="C1912" s="13" t="s">
        <v>1780</v>
      </c>
      <c r="D1912" s="13" t="s">
        <v>1848</v>
      </c>
      <c r="E1912" s="13" t="s">
        <v>1850</v>
      </c>
      <c r="F1912" s="15">
        <v>4</v>
      </c>
    </row>
    <row r="1913" spans="2:6" hidden="1" x14ac:dyDescent="0.2">
      <c r="B1913" s="14">
        <v>2013</v>
      </c>
      <c r="C1913" s="13" t="s">
        <v>1780</v>
      </c>
      <c r="D1913" s="13" t="s">
        <v>1848</v>
      </c>
      <c r="E1913" s="13" t="s">
        <v>1851</v>
      </c>
      <c r="F1913" s="15">
        <v>0</v>
      </c>
    </row>
    <row r="1914" spans="2:6" hidden="1" x14ac:dyDescent="0.2">
      <c r="B1914" s="14">
        <v>2013</v>
      </c>
      <c r="C1914" s="13" t="s">
        <v>1780</v>
      </c>
      <c r="D1914" s="13" t="s">
        <v>1848</v>
      </c>
      <c r="E1914" s="13" t="s">
        <v>1852</v>
      </c>
      <c r="F1914" s="15">
        <v>1</v>
      </c>
    </row>
    <row r="1915" spans="2:6" hidden="1" x14ac:dyDescent="0.2">
      <c r="B1915" s="14">
        <v>2013</v>
      </c>
      <c r="C1915" s="13" t="s">
        <v>1780</v>
      </c>
      <c r="D1915" s="13" t="s">
        <v>1848</v>
      </c>
      <c r="E1915" s="13" t="s">
        <v>1853</v>
      </c>
      <c r="F1915" s="15">
        <v>2</v>
      </c>
    </row>
    <row r="1916" spans="2:6" hidden="1" x14ac:dyDescent="0.2">
      <c r="B1916" s="14">
        <v>2013</v>
      </c>
      <c r="C1916" s="13" t="s">
        <v>1780</v>
      </c>
      <c r="D1916" s="13" t="s">
        <v>1848</v>
      </c>
      <c r="E1916" s="13" t="s">
        <v>1854</v>
      </c>
      <c r="F1916" s="15">
        <v>2</v>
      </c>
    </row>
    <row r="1917" spans="2:6" hidden="1" x14ac:dyDescent="0.2">
      <c r="B1917" s="14">
        <v>2013</v>
      </c>
      <c r="C1917" s="13" t="s">
        <v>1780</v>
      </c>
      <c r="D1917" s="13" t="s">
        <v>1848</v>
      </c>
      <c r="E1917" s="13" t="s">
        <v>1855</v>
      </c>
      <c r="F1917" s="15">
        <v>10</v>
      </c>
    </row>
    <row r="1918" spans="2:6" hidden="1" x14ac:dyDescent="0.2">
      <c r="B1918" s="14">
        <v>2013</v>
      </c>
      <c r="C1918" s="13" t="s">
        <v>1780</v>
      </c>
      <c r="D1918" s="13" t="s">
        <v>1848</v>
      </c>
      <c r="E1918" s="13" t="s">
        <v>1856</v>
      </c>
      <c r="F1918" s="15">
        <v>6</v>
      </c>
    </row>
    <row r="1919" spans="2:6" hidden="1" x14ac:dyDescent="0.2">
      <c r="B1919" s="14">
        <v>2013</v>
      </c>
      <c r="C1919" s="13" t="s">
        <v>1780</v>
      </c>
      <c r="D1919" s="13" t="s">
        <v>1848</v>
      </c>
      <c r="E1919" s="13" t="s">
        <v>1857</v>
      </c>
      <c r="F1919" s="15">
        <v>0</v>
      </c>
    </row>
    <row r="1920" spans="2:6" hidden="1" x14ac:dyDescent="0.2">
      <c r="B1920" s="14">
        <v>2013</v>
      </c>
      <c r="C1920" s="13" t="s">
        <v>1780</v>
      </c>
      <c r="D1920" s="13" t="s">
        <v>1848</v>
      </c>
      <c r="E1920" s="13" t="s">
        <v>1858</v>
      </c>
      <c r="F1920" s="15">
        <v>6</v>
      </c>
    </row>
    <row r="1921" spans="2:6" hidden="1" x14ac:dyDescent="0.2">
      <c r="B1921" s="14">
        <v>2013</v>
      </c>
      <c r="C1921" s="13" t="s">
        <v>1780</v>
      </c>
      <c r="D1921" s="13" t="s">
        <v>1848</v>
      </c>
      <c r="E1921" s="13" t="s">
        <v>1859</v>
      </c>
      <c r="F1921" s="15">
        <v>0</v>
      </c>
    </row>
    <row r="1922" spans="2:6" hidden="1" x14ac:dyDescent="0.2">
      <c r="B1922" s="14">
        <v>2013</v>
      </c>
      <c r="C1922" s="13" t="s">
        <v>1780</v>
      </c>
      <c r="D1922" s="13" t="s">
        <v>1848</v>
      </c>
      <c r="E1922" s="13" t="s">
        <v>1860</v>
      </c>
      <c r="F1922" s="15">
        <v>0</v>
      </c>
    </row>
    <row r="1923" spans="2:6" hidden="1" x14ac:dyDescent="0.2">
      <c r="B1923" s="14">
        <v>2013</v>
      </c>
      <c r="C1923" s="13" t="s">
        <v>1780</v>
      </c>
      <c r="D1923" s="13" t="s">
        <v>1861</v>
      </c>
      <c r="E1923" s="13" t="s">
        <v>1862</v>
      </c>
      <c r="F1923" s="15">
        <v>88</v>
      </c>
    </row>
    <row r="1924" spans="2:6" hidden="1" x14ac:dyDescent="0.2">
      <c r="B1924" s="14">
        <v>2013</v>
      </c>
      <c r="C1924" s="13" t="s">
        <v>1780</v>
      </c>
      <c r="D1924" s="13" t="s">
        <v>1861</v>
      </c>
      <c r="E1924" s="13" t="s">
        <v>1863</v>
      </c>
      <c r="F1924" s="15">
        <v>1</v>
      </c>
    </row>
    <row r="1925" spans="2:6" hidden="1" x14ac:dyDescent="0.2">
      <c r="B1925" s="14">
        <v>2013</v>
      </c>
      <c r="C1925" s="13" t="s">
        <v>1780</v>
      </c>
      <c r="D1925" s="13" t="s">
        <v>1861</v>
      </c>
      <c r="E1925" s="13" t="s">
        <v>1864</v>
      </c>
      <c r="F1925" s="15">
        <v>1</v>
      </c>
    </row>
    <row r="1926" spans="2:6" hidden="1" x14ac:dyDescent="0.2">
      <c r="B1926" s="14">
        <v>2013</v>
      </c>
      <c r="C1926" s="13" t="s">
        <v>1780</v>
      </c>
      <c r="D1926" s="13" t="s">
        <v>1861</v>
      </c>
      <c r="E1926" s="13" t="s">
        <v>1865</v>
      </c>
      <c r="F1926" s="15">
        <v>0</v>
      </c>
    </row>
    <row r="1927" spans="2:6" hidden="1" x14ac:dyDescent="0.2">
      <c r="B1927" s="14">
        <v>2013</v>
      </c>
      <c r="C1927" s="13" t="s">
        <v>1780</v>
      </c>
      <c r="D1927" s="13" t="s">
        <v>1861</v>
      </c>
      <c r="E1927" s="13" t="s">
        <v>1866</v>
      </c>
      <c r="F1927" s="15">
        <v>1</v>
      </c>
    </row>
    <row r="1928" spans="2:6" hidden="1" x14ac:dyDescent="0.2">
      <c r="B1928" s="14">
        <v>2013</v>
      </c>
      <c r="C1928" s="13" t="s">
        <v>1780</v>
      </c>
      <c r="D1928" s="13" t="s">
        <v>1861</v>
      </c>
      <c r="E1928" s="13" t="s">
        <v>1867</v>
      </c>
      <c r="F1928" s="15">
        <v>4</v>
      </c>
    </row>
    <row r="1929" spans="2:6" hidden="1" x14ac:dyDescent="0.2">
      <c r="B1929" s="14">
        <v>2013</v>
      </c>
      <c r="C1929" s="13" t="s">
        <v>1780</v>
      </c>
      <c r="D1929" s="13" t="s">
        <v>1861</v>
      </c>
      <c r="E1929" s="13" t="s">
        <v>1868</v>
      </c>
      <c r="F1929" s="15">
        <v>0</v>
      </c>
    </row>
    <row r="1930" spans="2:6" hidden="1" x14ac:dyDescent="0.2">
      <c r="B1930" s="14">
        <v>2013</v>
      </c>
      <c r="C1930" s="13" t="s">
        <v>1869</v>
      </c>
      <c r="D1930" s="13" t="s">
        <v>1870</v>
      </c>
      <c r="E1930" s="13" t="s">
        <v>1870</v>
      </c>
      <c r="F1930" s="15">
        <v>78</v>
      </c>
    </row>
    <row r="1931" spans="2:6" hidden="1" x14ac:dyDescent="0.2">
      <c r="B1931" s="14">
        <v>2013</v>
      </c>
      <c r="C1931" s="13" t="s">
        <v>1869</v>
      </c>
      <c r="D1931" s="13" t="s">
        <v>1870</v>
      </c>
      <c r="E1931" s="13" t="s">
        <v>1871</v>
      </c>
      <c r="F1931" s="15">
        <v>0</v>
      </c>
    </row>
    <row r="1932" spans="2:6" hidden="1" x14ac:dyDescent="0.2">
      <c r="B1932" s="14">
        <v>2013</v>
      </c>
      <c r="C1932" s="13" t="s">
        <v>1869</v>
      </c>
      <c r="D1932" s="13" t="s">
        <v>1870</v>
      </c>
      <c r="E1932" s="13" t="s">
        <v>1872</v>
      </c>
      <c r="F1932" s="15">
        <v>0</v>
      </c>
    </row>
    <row r="1933" spans="2:6" hidden="1" x14ac:dyDescent="0.2">
      <c r="B1933" s="14">
        <v>2013</v>
      </c>
      <c r="C1933" s="13" t="s">
        <v>1869</v>
      </c>
      <c r="D1933" s="13" t="s">
        <v>1870</v>
      </c>
      <c r="E1933" s="13" t="s">
        <v>1873</v>
      </c>
      <c r="F1933" s="15">
        <v>2</v>
      </c>
    </row>
    <row r="1934" spans="2:6" hidden="1" x14ac:dyDescent="0.2">
      <c r="B1934" s="14">
        <v>2013</v>
      </c>
      <c r="C1934" s="13" t="s">
        <v>1869</v>
      </c>
      <c r="D1934" s="13" t="s">
        <v>1870</v>
      </c>
      <c r="E1934" s="13" t="s">
        <v>1874</v>
      </c>
      <c r="F1934" s="15">
        <v>60</v>
      </c>
    </row>
    <row r="1935" spans="2:6" hidden="1" x14ac:dyDescent="0.2">
      <c r="B1935" s="14">
        <v>2013</v>
      </c>
      <c r="C1935" s="13" t="s">
        <v>1869</v>
      </c>
      <c r="D1935" s="13" t="s">
        <v>1870</v>
      </c>
      <c r="E1935" s="13" t="s">
        <v>1875</v>
      </c>
      <c r="F1935" s="15">
        <v>0</v>
      </c>
    </row>
    <row r="1936" spans="2:6" hidden="1" x14ac:dyDescent="0.2">
      <c r="B1936" s="14">
        <v>2013</v>
      </c>
      <c r="C1936" s="13" t="s">
        <v>1869</v>
      </c>
      <c r="D1936" s="13" t="s">
        <v>1870</v>
      </c>
      <c r="E1936" s="13" t="s">
        <v>1876</v>
      </c>
      <c r="F1936" s="15">
        <v>3</v>
      </c>
    </row>
    <row r="1937" spans="2:6" hidden="1" x14ac:dyDescent="0.2">
      <c r="B1937" s="14">
        <v>2013</v>
      </c>
      <c r="C1937" s="13" t="s">
        <v>1869</v>
      </c>
      <c r="D1937" s="13" t="s">
        <v>1870</v>
      </c>
      <c r="E1937" s="13" t="s">
        <v>1796</v>
      </c>
      <c r="F1937" s="15">
        <v>0</v>
      </c>
    </row>
    <row r="1938" spans="2:6" hidden="1" x14ac:dyDescent="0.2">
      <c r="B1938" s="14">
        <v>2013</v>
      </c>
      <c r="C1938" s="13" t="s">
        <v>1869</v>
      </c>
      <c r="D1938" s="13" t="s">
        <v>1870</v>
      </c>
      <c r="E1938" s="13" t="s">
        <v>1877</v>
      </c>
      <c r="F1938" s="15">
        <v>1</v>
      </c>
    </row>
    <row r="1939" spans="2:6" hidden="1" x14ac:dyDescent="0.2">
      <c r="B1939" s="14">
        <v>2013</v>
      </c>
      <c r="C1939" s="13" t="s">
        <v>1869</v>
      </c>
      <c r="D1939" s="13" t="s">
        <v>1870</v>
      </c>
      <c r="E1939" s="13" t="s">
        <v>1878</v>
      </c>
      <c r="F1939" s="15">
        <v>1</v>
      </c>
    </row>
    <row r="1940" spans="2:6" hidden="1" x14ac:dyDescent="0.2">
      <c r="B1940" s="14">
        <v>2013</v>
      </c>
      <c r="C1940" s="13" t="s">
        <v>1869</v>
      </c>
      <c r="D1940" s="13" t="s">
        <v>1870</v>
      </c>
      <c r="E1940" s="13" t="s">
        <v>1879</v>
      </c>
      <c r="F1940" s="15">
        <v>6</v>
      </c>
    </row>
    <row r="1941" spans="2:6" hidden="1" x14ac:dyDescent="0.2">
      <c r="B1941" s="14">
        <v>2013</v>
      </c>
      <c r="C1941" s="13" t="s">
        <v>1869</v>
      </c>
      <c r="D1941" s="13" t="s">
        <v>1870</v>
      </c>
      <c r="E1941" s="13" t="s">
        <v>1880</v>
      </c>
      <c r="F1941" s="15">
        <v>6</v>
      </c>
    </row>
    <row r="1942" spans="2:6" hidden="1" x14ac:dyDescent="0.2">
      <c r="B1942" s="14">
        <v>2013</v>
      </c>
      <c r="C1942" s="13" t="s">
        <v>1869</v>
      </c>
      <c r="D1942" s="13" t="s">
        <v>1881</v>
      </c>
      <c r="E1942" s="13" t="s">
        <v>1881</v>
      </c>
      <c r="F1942" s="15">
        <v>2</v>
      </c>
    </row>
    <row r="1943" spans="2:6" hidden="1" x14ac:dyDescent="0.2">
      <c r="B1943" s="14">
        <v>2013</v>
      </c>
      <c r="C1943" s="13" t="s">
        <v>1869</v>
      </c>
      <c r="D1943" s="13" t="s">
        <v>1881</v>
      </c>
      <c r="E1943" s="13" t="s">
        <v>1882</v>
      </c>
      <c r="F1943" s="15">
        <v>2</v>
      </c>
    </row>
    <row r="1944" spans="2:6" hidden="1" x14ac:dyDescent="0.2">
      <c r="B1944" s="14">
        <v>2013</v>
      </c>
      <c r="C1944" s="13" t="s">
        <v>1869</v>
      </c>
      <c r="D1944" s="13" t="s">
        <v>1881</v>
      </c>
      <c r="E1944" s="13" t="s">
        <v>1883</v>
      </c>
      <c r="F1944" s="15">
        <v>0</v>
      </c>
    </row>
    <row r="1945" spans="2:6" hidden="1" x14ac:dyDescent="0.2">
      <c r="B1945" s="14">
        <v>2013</v>
      </c>
      <c r="C1945" s="13" t="s">
        <v>1869</v>
      </c>
      <c r="D1945" s="13" t="s">
        <v>1881</v>
      </c>
      <c r="E1945" s="13" t="s">
        <v>1884</v>
      </c>
      <c r="F1945" s="15">
        <v>0</v>
      </c>
    </row>
    <row r="1946" spans="2:6" hidden="1" x14ac:dyDescent="0.2">
      <c r="B1946" s="14">
        <v>2013</v>
      </c>
      <c r="C1946" s="13" t="s">
        <v>1869</v>
      </c>
      <c r="D1946" s="13" t="s">
        <v>1881</v>
      </c>
      <c r="E1946" s="13" t="s">
        <v>1885</v>
      </c>
      <c r="F1946" s="15">
        <v>0</v>
      </c>
    </row>
    <row r="1947" spans="2:6" hidden="1" x14ac:dyDescent="0.2">
      <c r="B1947" s="14">
        <v>2013</v>
      </c>
      <c r="C1947" s="13" t="s">
        <v>1869</v>
      </c>
      <c r="D1947" s="13" t="s">
        <v>1886</v>
      </c>
      <c r="E1947" s="13" t="s">
        <v>1887</v>
      </c>
      <c r="F1947" s="15">
        <v>2</v>
      </c>
    </row>
    <row r="1948" spans="2:6" hidden="1" x14ac:dyDescent="0.2">
      <c r="B1948" s="14">
        <v>2013</v>
      </c>
      <c r="C1948" s="13" t="s">
        <v>1869</v>
      </c>
      <c r="D1948" s="13" t="s">
        <v>1886</v>
      </c>
      <c r="E1948" s="13" t="s">
        <v>1888</v>
      </c>
      <c r="F1948" s="15">
        <v>0</v>
      </c>
    </row>
    <row r="1949" spans="2:6" hidden="1" x14ac:dyDescent="0.2">
      <c r="B1949" s="14">
        <v>2013</v>
      </c>
      <c r="C1949" s="13" t="s">
        <v>1869</v>
      </c>
      <c r="D1949" s="13" t="s">
        <v>1886</v>
      </c>
      <c r="E1949" s="13" t="s">
        <v>1889</v>
      </c>
      <c r="F1949" s="15">
        <v>0</v>
      </c>
    </row>
    <row r="1950" spans="2:6" hidden="1" x14ac:dyDescent="0.2">
      <c r="B1950" s="14">
        <v>2013</v>
      </c>
      <c r="C1950" s="13" t="s">
        <v>1869</v>
      </c>
      <c r="D1950" s="13" t="s">
        <v>1886</v>
      </c>
      <c r="E1950" s="13" t="s">
        <v>1890</v>
      </c>
      <c r="F1950" s="15">
        <v>0</v>
      </c>
    </row>
    <row r="1951" spans="2:6" hidden="1" x14ac:dyDescent="0.2">
      <c r="B1951" s="14">
        <v>2013</v>
      </c>
      <c r="C1951" s="13" t="s">
        <v>1869</v>
      </c>
      <c r="D1951" s="13" t="s">
        <v>1886</v>
      </c>
      <c r="E1951" s="13" t="s">
        <v>1891</v>
      </c>
      <c r="F1951" s="15">
        <v>0</v>
      </c>
    </row>
    <row r="1952" spans="2:6" hidden="1" x14ac:dyDescent="0.2">
      <c r="B1952" s="14">
        <v>2013</v>
      </c>
      <c r="C1952" s="13" t="s">
        <v>1869</v>
      </c>
      <c r="D1952" s="13" t="s">
        <v>1886</v>
      </c>
      <c r="E1952" s="13" t="s">
        <v>1892</v>
      </c>
      <c r="F1952" s="15">
        <v>0</v>
      </c>
    </row>
    <row r="1953" spans="2:6" hidden="1" x14ac:dyDescent="0.2">
      <c r="B1953" s="14">
        <v>2013</v>
      </c>
      <c r="C1953" s="13" t="s">
        <v>1869</v>
      </c>
      <c r="D1953" s="13" t="s">
        <v>1782</v>
      </c>
      <c r="E1953" s="13" t="s">
        <v>1893</v>
      </c>
      <c r="F1953" s="15">
        <v>2</v>
      </c>
    </row>
    <row r="1954" spans="2:6" hidden="1" x14ac:dyDescent="0.2">
      <c r="B1954" s="14">
        <v>2013</v>
      </c>
      <c r="C1954" s="13" t="s">
        <v>1869</v>
      </c>
      <c r="D1954" s="13" t="s">
        <v>1782</v>
      </c>
      <c r="E1954" s="13" t="s">
        <v>1894</v>
      </c>
      <c r="F1954" s="15">
        <v>0</v>
      </c>
    </row>
    <row r="1955" spans="2:6" hidden="1" x14ac:dyDescent="0.2">
      <c r="B1955" s="14">
        <v>2013</v>
      </c>
      <c r="C1955" s="13" t="s">
        <v>1869</v>
      </c>
      <c r="D1955" s="13" t="s">
        <v>1895</v>
      </c>
      <c r="E1955" s="13" t="s">
        <v>1896</v>
      </c>
      <c r="F1955" s="15">
        <v>2</v>
      </c>
    </row>
    <row r="1956" spans="2:6" hidden="1" x14ac:dyDescent="0.2">
      <c r="B1956" s="14">
        <v>2013</v>
      </c>
      <c r="C1956" s="13" t="s">
        <v>1869</v>
      </c>
      <c r="D1956" s="13" t="s">
        <v>1895</v>
      </c>
      <c r="E1956" s="13" t="s">
        <v>1897</v>
      </c>
      <c r="F1956" s="15">
        <v>0</v>
      </c>
    </row>
    <row r="1957" spans="2:6" hidden="1" x14ac:dyDescent="0.2">
      <c r="B1957" s="14">
        <v>2013</v>
      </c>
      <c r="C1957" s="13" t="s">
        <v>1869</v>
      </c>
      <c r="D1957" s="13" t="s">
        <v>1895</v>
      </c>
      <c r="E1957" s="13" t="s">
        <v>1886</v>
      </c>
      <c r="F1957" s="15">
        <v>0</v>
      </c>
    </row>
    <row r="1958" spans="2:6" hidden="1" x14ac:dyDescent="0.2">
      <c r="B1958" s="14">
        <v>2013</v>
      </c>
      <c r="C1958" s="13" t="s">
        <v>1869</v>
      </c>
      <c r="D1958" s="13" t="s">
        <v>1895</v>
      </c>
      <c r="E1958" s="13" t="s">
        <v>1898</v>
      </c>
      <c r="F1958" s="15">
        <v>10</v>
      </c>
    </row>
    <row r="1959" spans="2:6" hidden="1" x14ac:dyDescent="0.2">
      <c r="B1959" s="14">
        <v>2013</v>
      </c>
      <c r="C1959" s="13" t="s">
        <v>1869</v>
      </c>
      <c r="D1959" s="13" t="s">
        <v>1895</v>
      </c>
      <c r="E1959" s="13" t="s">
        <v>1899</v>
      </c>
      <c r="F1959" s="15">
        <v>1</v>
      </c>
    </row>
    <row r="1960" spans="2:6" hidden="1" x14ac:dyDescent="0.2">
      <c r="B1960" s="14">
        <v>2013</v>
      </c>
      <c r="C1960" s="13" t="s">
        <v>1869</v>
      </c>
      <c r="D1960" s="13" t="s">
        <v>1895</v>
      </c>
      <c r="E1960" s="13" t="s">
        <v>1900</v>
      </c>
      <c r="F1960" s="15">
        <v>0</v>
      </c>
    </row>
    <row r="1961" spans="2:6" hidden="1" x14ac:dyDescent="0.2">
      <c r="B1961" s="14">
        <v>2013</v>
      </c>
      <c r="C1961" s="13" t="s">
        <v>1869</v>
      </c>
      <c r="D1961" s="13" t="s">
        <v>1895</v>
      </c>
      <c r="E1961" s="13" t="s">
        <v>1901</v>
      </c>
      <c r="F1961" s="15">
        <v>3</v>
      </c>
    </row>
    <row r="1962" spans="2:6" hidden="1" x14ac:dyDescent="0.2">
      <c r="B1962" s="14">
        <v>2013</v>
      </c>
      <c r="C1962" s="13" t="s">
        <v>1869</v>
      </c>
      <c r="D1962" s="13" t="s">
        <v>1895</v>
      </c>
      <c r="E1962" s="13" t="s">
        <v>1902</v>
      </c>
      <c r="F1962" s="15">
        <v>3</v>
      </c>
    </row>
    <row r="1963" spans="2:6" hidden="1" x14ac:dyDescent="0.2">
      <c r="B1963" s="14">
        <v>2013</v>
      </c>
      <c r="C1963" s="13" t="s">
        <v>1869</v>
      </c>
      <c r="D1963" s="13" t="s">
        <v>1895</v>
      </c>
      <c r="E1963" s="13" t="s">
        <v>1903</v>
      </c>
      <c r="F1963" s="15">
        <v>0</v>
      </c>
    </row>
    <row r="1964" spans="2:6" hidden="1" x14ac:dyDescent="0.2">
      <c r="B1964" s="14">
        <v>2013</v>
      </c>
      <c r="C1964" s="13" t="s">
        <v>1869</v>
      </c>
      <c r="D1964" s="13" t="s">
        <v>1895</v>
      </c>
      <c r="E1964" s="13" t="s">
        <v>1904</v>
      </c>
      <c r="F1964" s="15">
        <v>0</v>
      </c>
    </row>
    <row r="1965" spans="2:6" hidden="1" x14ac:dyDescent="0.2">
      <c r="B1965" s="14">
        <v>2013</v>
      </c>
      <c r="C1965" s="13" t="s">
        <v>1869</v>
      </c>
      <c r="D1965" s="13" t="s">
        <v>1895</v>
      </c>
      <c r="E1965" s="13" t="s">
        <v>1905</v>
      </c>
      <c r="F1965" s="15">
        <v>0</v>
      </c>
    </row>
    <row r="1966" spans="2:6" hidden="1" x14ac:dyDescent="0.2">
      <c r="B1966" s="14">
        <v>2013</v>
      </c>
      <c r="C1966" s="13" t="s">
        <v>1869</v>
      </c>
      <c r="D1966" s="13" t="s">
        <v>1895</v>
      </c>
      <c r="E1966" s="13" t="s">
        <v>1906</v>
      </c>
      <c r="F1966" s="15">
        <v>0</v>
      </c>
    </row>
    <row r="1967" spans="2:6" hidden="1" x14ac:dyDescent="0.2">
      <c r="B1967" s="14">
        <v>2013</v>
      </c>
      <c r="C1967" s="13" t="s">
        <v>1869</v>
      </c>
      <c r="D1967" s="13" t="s">
        <v>1895</v>
      </c>
      <c r="E1967" s="13" t="s">
        <v>1907</v>
      </c>
      <c r="F1967" s="15">
        <v>0</v>
      </c>
    </row>
    <row r="1968" spans="2:6" hidden="1" x14ac:dyDescent="0.2">
      <c r="B1968" s="14">
        <v>2013</v>
      </c>
      <c r="C1968" s="13" t="s">
        <v>1869</v>
      </c>
      <c r="D1968" s="13" t="s">
        <v>1895</v>
      </c>
      <c r="E1968" s="13" t="s">
        <v>1908</v>
      </c>
      <c r="F1968" s="15">
        <v>0</v>
      </c>
    </row>
    <row r="1969" spans="2:6" hidden="1" x14ac:dyDescent="0.2">
      <c r="B1969" s="14">
        <v>2013</v>
      </c>
      <c r="C1969" s="13" t="s">
        <v>1869</v>
      </c>
      <c r="D1969" s="13" t="s">
        <v>1895</v>
      </c>
      <c r="E1969" s="13" t="s">
        <v>1909</v>
      </c>
      <c r="F1969" s="15">
        <v>0</v>
      </c>
    </row>
    <row r="1970" spans="2:6" hidden="1" x14ac:dyDescent="0.2">
      <c r="B1970" s="14">
        <v>2013</v>
      </c>
      <c r="C1970" s="13" t="s">
        <v>1869</v>
      </c>
      <c r="D1970" s="13" t="s">
        <v>1910</v>
      </c>
      <c r="E1970" s="13" t="s">
        <v>1910</v>
      </c>
      <c r="F1970" s="15">
        <v>8</v>
      </c>
    </row>
    <row r="1971" spans="2:6" hidden="1" x14ac:dyDescent="0.2">
      <c r="B1971" s="14">
        <v>2013</v>
      </c>
      <c r="C1971" s="13" t="s">
        <v>1869</v>
      </c>
      <c r="D1971" s="13" t="s">
        <v>1910</v>
      </c>
      <c r="E1971" s="13" t="s">
        <v>1911</v>
      </c>
      <c r="F1971" s="15">
        <v>0</v>
      </c>
    </row>
    <row r="1972" spans="2:6" hidden="1" x14ac:dyDescent="0.2">
      <c r="B1972" s="14">
        <v>2013</v>
      </c>
      <c r="C1972" s="13" t="s">
        <v>1869</v>
      </c>
      <c r="D1972" s="13" t="s">
        <v>1910</v>
      </c>
      <c r="E1972" s="13" t="s">
        <v>1912</v>
      </c>
      <c r="F1972" s="15">
        <v>0</v>
      </c>
    </row>
    <row r="1973" spans="2:6" hidden="1" x14ac:dyDescent="0.2">
      <c r="B1973" s="14">
        <v>2013</v>
      </c>
      <c r="C1973" s="13" t="s">
        <v>1869</v>
      </c>
      <c r="D1973" s="13" t="s">
        <v>1910</v>
      </c>
      <c r="E1973" s="13" t="s">
        <v>1913</v>
      </c>
      <c r="F1973" s="15">
        <v>0</v>
      </c>
    </row>
    <row r="1974" spans="2:6" hidden="1" x14ac:dyDescent="0.2">
      <c r="B1974" s="14">
        <v>2013</v>
      </c>
      <c r="C1974" s="13" t="s">
        <v>1869</v>
      </c>
      <c r="D1974" s="13" t="s">
        <v>1910</v>
      </c>
      <c r="E1974" s="13" t="s">
        <v>1914</v>
      </c>
      <c r="F1974" s="15">
        <v>0</v>
      </c>
    </row>
    <row r="1975" spans="2:6" hidden="1" x14ac:dyDescent="0.2">
      <c r="B1975" s="14">
        <v>2013</v>
      </c>
      <c r="C1975" s="13" t="s">
        <v>1869</v>
      </c>
      <c r="D1975" s="13" t="s">
        <v>1910</v>
      </c>
      <c r="E1975" s="13" t="s">
        <v>1915</v>
      </c>
      <c r="F1975" s="15">
        <v>3</v>
      </c>
    </row>
    <row r="1976" spans="2:6" hidden="1" x14ac:dyDescent="0.2">
      <c r="B1976" s="14">
        <v>2013</v>
      </c>
      <c r="C1976" s="13" t="s">
        <v>1869</v>
      </c>
      <c r="D1976" s="13" t="s">
        <v>1910</v>
      </c>
      <c r="E1976" s="13" t="s">
        <v>1916</v>
      </c>
      <c r="F1976" s="15">
        <v>0</v>
      </c>
    </row>
    <row r="1977" spans="2:6" hidden="1" x14ac:dyDescent="0.2">
      <c r="B1977" s="14">
        <v>2013</v>
      </c>
      <c r="C1977" s="13" t="s">
        <v>1869</v>
      </c>
      <c r="D1977" s="13" t="s">
        <v>1910</v>
      </c>
      <c r="E1977" s="13" t="s">
        <v>1917</v>
      </c>
      <c r="F1977" s="15">
        <v>0</v>
      </c>
    </row>
    <row r="1978" spans="2:6" hidden="1" x14ac:dyDescent="0.2">
      <c r="B1978" s="14">
        <v>2013</v>
      </c>
      <c r="C1978" s="13" t="s">
        <v>1869</v>
      </c>
      <c r="D1978" s="13" t="s">
        <v>1910</v>
      </c>
      <c r="E1978" s="13" t="s">
        <v>1918</v>
      </c>
      <c r="F1978" s="15">
        <v>3</v>
      </c>
    </row>
    <row r="1979" spans="2:6" hidden="1" x14ac:dyDescent="0.2">
      <c r="B1979" s="14">
        <v>2013</v>
      </c>
      <c r="C1979" s="13" t="s">
        <v>1869</v>
      </c>
      <c r="D1979" s="13" t="s">
        <v>1910</v>
      </c>
      <c r="E1979" s="13" t="s">
        <v>1919</v>
      </c>
      <c r="F1979" s="15">
        <v>0</v>
      </c>
    </row>
    <row r="1980" spans="2:6" hidden="1" x14ac:dyDescent="0.2">
      <c r="B1980" s="14">
        <v>2013</v>
      </c>
      <c r="C1980" s="13" t="s">
        <v>1869</v>
      </c>
      <c r="D1980" s="13" t="s">
        <v>1910</v>
      </c>
      <c r="E1980" s="13" t="s">
        <v>1920</v>
      </c>
      <c r="F1980" s="15">
        <v>0</v>
      </c>
    </row>
    <row r="1981" spans="2:6" hidden="1" x14ac:dyDescent="0.2">
      <c r="B1981" s="14">
        <v>2013</v>
      </c>
      <c r="C1981" s="13" t="s">
        <v>1869</v>
      </c>
      <c r="D1981" s="13" t="s">
        <v>1921</v>
      </c>
      <c r="E1981" s="13" t="s">
        <v>1922</v>
      </c>
      <c r="F1981" s="15">
        <v>2</v>
      </c>
    </row>
    <row r="1982" spans="2:6" hidden="1" x14ac:dyDescent="0.2">
      <c r="B1982" s="14">
        <v>2013</v>
      </c>
      <c r="C1982" s="13" t="s">
        <v>1869</v>
      </c>
      <c r="D1982" s="13" t="s">
        <v>1921</v>
      </c>
      <c r="E1982" s="13" t="s">
        <v>1849</v>
      </c>
      <c r="F1982" s="15">
        <v>0</v>
      </c>
    </row>
    <row r="1983" spans="2:6" hidden="1" x14ac:dyDescent="0.2">
      <c r="B1983" s="14">
        <v>2013</v>
      </c>
      <c r="C1983" s="13" t="s">
        <v>1869</v>
      </c>
      <c r="D1983" s="13" t="s">
        <v>1921</v>
      </c>
      <c r="E1983" s="13" t="s">
        <v>1923</v>
      </c>
      <c r="F1983" s="15">
        <v>3</v>
      </c>
    </row>
    <row r="1984" spans="2:6" hidden="1" x14ac:dyDescent="0.2">
      <c r="B1984" s="14">
        <v>2013</v>
      </c>
      <c r="C1984" s="13" t="s">
        <v>1869</v>
      </c>
      <c r="D1984" s="13" t="s">
        <v>1924</v>
      </c>
      <c r="E1984" s="13" t="s">
        <v>1924</v>
      </c>
      <c r="F1984" s="15">
        <v>17</v>
      </c>
    </row>
    <row r="1985" spans="2:6" hidden="1" x14ac:dyDescent="0.2">
      <c r="B1985" s="14">
        <v>2013</v>
      </c>
      <c r="C1985" s="13" t="s">
        <v>1869</v>
      </c>
      <c r="D1985" s="13" t="s">
        <v>1924</v>
      </c>
      <c r="E1985" s="13" t="s">
        <v>1925</v>
      </c>
      <c r="F1985" s="15">
        <v>1</v>
      </c>
    </row>
    <row r="1986" spans="2:6" hidden="1" x14ac:dyDescent="0.2">
      <c r="B1986" s="14">
        <v>2013</v>
      </c>
      <c r="C1986" s="13" t="s">
        <v>1869</v>
      </c>
      <c r="D1986" s="13" t="s">
        <v>1924</v>
      </c>
      <c r="E1986" s="13" t="s">
        <v>1926</v>
      </c>
      <c r="F1986" s="15">
        <v>5</v>
      </c>
    </row>
    <row r="1987" spans="2:6" hidden="1" x14ac:dyDescent="0.2">
      <c r="B1987" s="14">
        <v>2013</v>
      </c>
      <c r="C1987" s="13" t="s">
        <v>1869</v>
      </c>
      <c r="D1987" s="13" t="s">
        <v>1924</v>
      </c>
      <c r="E1987" s="13" t="s">
        <v>1927</v>
      </c>
      <c r="F1987" s="15">
        <v>5</v>
      </c>
    </row>
    <row r="1988" spans="2:6" hidden="1" x14ac:dyDescent="0.2">
      <c r="B1988" s="14">
        <v>2013</v>
      </c>
      <c r="C1988" s="13" t="s">
        <v>1869</v>
      </c>
      <c r="D1988" s="13" t="s">
        <v>1928</v>
      </c>
      <c r="E1988" s="13" t="s">
        <v>1928</v>
      </c>
      <c r="F1988" s="15">
        <v>3</v>
      </c>
    </row>
    <row r="1989" spans="2:6" hidden="1" x14ac:dyDescent="0.2">
      <c r="B1989" s="14">
        <v>2013</v>
      </c>
      <c r="C1989" s="13" t="s">
        <v>1869</v>
      </c>
      <c r="D1989" s="13" t="s">
        <v>1928</v>
      </c>
      <c r="E1989" s="13" t="s">
        <v>1929</v>
      </c>
      <c r="F1989" s="15">
        <v>0</v>
      </c>
    </row>
    <row r="1990" spans="2:6" hidden="1" x14ac:dyDescent="0.2">
      <c r="B1990" s="14">
        <v>2013</v>
      </c>
      <c r="C1990" s="13" t="s">
        <v>1869</v>
      </c>
      <c r="D1990" s="13" t="s">
        <v>1928</v>
      </c>
      <c r="E1990" s="13" t="s">
        <v>1930</v>
      </c>
      <c r="F1990" s="15">
        <v>0</v>
      </c>
    </row>
    <row r="1991" spans="2:6" hidden="1" x14ac:dyDescent="0.2">
      <c r="B1991" s="14">
        <v>2013</v>
      </c>
      <c r="C1991" s="13" t="s">
        <v>1869</v>
      </c>
      <c r="D1991" s="13" t="s">
        <v>1928</v>
      </c>
      <c r="E1991" s="13" t="s">
        <v>1931</v>
      </c>
      <c r="F1991" s="15">
        <v>0</v>
      </c>
    </row>
    <row r="1992" spans="2:6" hidden="1" x14ac:dyDescent="0.2">
      <c r="B1992" s="14">
        <v>2013</v>
      </c>
      <c r="C1992" s="13" t="s">
        <v>1869</v>
      </c>
      <c r="D1992" s="13" t="s">
        <v>1928</v>
      </c>
      <c r="E1992" s="13" t="s">
        <v>1932</v>
      </c>
      <c r="F1992" s="15">
        <v>3</v>
      </c>
    </row>
    <row r="1993" spans="2:6" hidden="1" x14ac:dyDescent="0.2">
      <c r="B1993" s="14">
        <v>2013</v>
      </c>
      <c r="C1993" s="13" t="s">
        <v>1869</v>
      </c>
      <c r="D1993" s="13" t="s">
        <v>1928</v>
      </c>
      <c r="E1993" s="13" t="s">
        <v>1933</v>
      </c>
      <c r="F1993" s="15">
        <v>0</v>
      </c>
    </row>
    <row r="1994" spans="2:6" hidden="1" x14ac:dyDescent="0.2">
      <c r="B1994" s="14">
        <v>2013</v>
      </c>
      <c r="C1994" s="13" t="s">
        <v>1869</v>
      </c>
      <c r="D1994" s="13" t="s">
        <v>1928</v>
      </c>
      <c r="E1994" s="13" t="s">
        <v>1934</v>
      </c>
      <c r="F1994" s="15">
        <v>0</v>
      </c>
    </row>
    <row r="1995" spans="2:6" hidden="1" x14ac:dyDescent="0.2">
      <c r="B1995" s="14">
        <v>2013</v>
      </c>
      <c r="C1995" s="13" t="s">
        <v>1869</v>
      </c>
      <c r="D1995" s="13" t="s">
        <v>1935</v>
      </c>
      <c r="E1995" s="13" t="s">
        <v>1935</v>
      </c>
      <c r="F1995" s="15">
        <v>6</v>
      </c>
    </row>
    <row r="1996" spans="2:6" hidden="1" x14ac:dyDescent="0.2">
      <c r="B1996" s="14">
        <v>2013</v>
      </c>
      <c r="C1996" s="13" t="s">
        <v>1869</v>
      </c>
      <c r="D1996" s="13" t="s">
        <v>1935</v>
      </c>
      <c r="E1996" s="13" t="s">
        <v>1936</v>
      </c>
      <c r="F1996" s="15">
        <v>0</v>
      </c>
    </row>
    <row r="1997" spans="2:6" hidden="1" x14ac:dyDescent="0.2">
      <c r="B1997" s="14">
        <v>2013</v>
      </c>
      <c r="C1997" s="13" t="s">
        <v>1869</v>
      </c>
      <c r="D1997" s="13" t="s">
        <v>1935</v>
      </c>
      <c r="E1997" s="13" t="s">
        <v>1937</v>
      </c>
      <c r="F1997" s="15">
        <v>0</v>
      </c>
    </row>
    <row r="1998" spans="2:6" hidden="1" x14ac:dyDescent="0.2">
      <c r="B1998" s="14">
        <v>2013</v>
      </c>
      <c r="C1998" s="13" t="s">
        <v>1869</v>
      </c>
      <c r="D1998" s="13" t="s">
        <v>1935</v>
      </c>
      <c r="E1998" s="13" t="s">
        <v>1938</v>
      </c>
      <c r="F1998" s="15">
        <v>2</v>
      </c>
    </row>
    <row r="1999" spans="2:6" hidden="1" x14ac:dyDescent="0.2">
      <c r="B1999" s="14">
        <v>2013</v>
      </c>
      <c r="C1999" s="13" t="s">
        <v>1869</v>
      </c>
      <c r="D1999" s="13" t="s">
        <v>1935</v>
      </c>
      <c r="E1999" s="13" t="s">
        <v>1939</v>
      </c>
      <c r="F1999" s="15">
        <v>0</v>
      </c>
    </row>
    <row r="2000" spans="2:6" hidden="1" x14ac:dyDescent="0.2">
      <c r="B2000" s="14">
        <v>2013</v>
      </c>
      <c r="C2000" s="13" t="s">
        <v>1869</v>
      </c>
      <c r="D2000" s="13" t="s">
        <v>1935</v>
      </c>
      <c r="E2000" s="13" t="s">
        <v>1940</v>
      </c>
      <c r="F2000" s="15">
        <v>1</v>
      </c>
    </row>
    <row r="2001" spans="2:6" hidden="1" x14ac:dyDescent="0.2">
      <c r="B2001" s="14">
        <v>2013</v>
      </c>
      <c r="C2001" s="13" t="s">
        <v>1869</v>
      </c>
      <c r="D2001" s="13" t="s">
        <v>1935</v>
      </c>
      <c r="E2001" s="13" t="s">
        <v>1941</v>
      </c>
      <c r="F2001" s="15">
        <v>0</v>
      </c>
    </row>
    <row r="2002" spans="2:6" hidden="1" x14ac:dyDescent="0.2">
      <c r="B2002" s="14">
        <v>2013</v>
      </c>
      <c r="C2002" s="13" t="s">
        <v>1869</v>
      </c>
      <c r="D2002" s="13" t="s">
        <v>1935</v>
      </c>
      <c r="E2002" s="13" t="s">
        <v>1942</v>
      </c>
      <c r="F2002" s="15">
        <v>0</v>
      </c>
    </row>
    <row r="2003" spans="2:6" hidden="1" x14ac:dyDescent="0.2">
      <c r="B2003" s="14">
        <v>2013</v>
      </c>
      <c r="C2003" s="13" t="s">
        <v>1869</v>
      </c>
      <c r="D2003" s="13" t="s">
        <v>1935</v>
      </c>
      <c r="E2003" s="13" t="s">
        <v>1943</v>
      </c>
      <c r="F2003" s="15">
        <v>0</v>
      </c>
    </row>
    <row r="2004" spans="2:6" hidden="1" x14ac:dyDescent="0.2">
      <c r="B2004" s="14">
        <v>2013</v>
      </c>
      <c r="C2004" s="13" t="s">
        <v>1869</v>
      </c>
      <c r="D2004" s="13" t="s">
        <v>1935</v>
      </c>
      <c r="E2004" s="13" t="s">
        <v>1944</v>
      </c>
      <c r="F2004" s="15">
        <v>2</v>
      </c>
    </row>
    <row r="2005" spans="2:6" hidden="1" x14ac:dyDescent="0.2">
      <c r="B2005" s="14">
        <v>2013</v>
      </c>
      <c r="C2005" s="13" t="s">
        <v>1869</v>
      </c>
      <c r="D2005" s="13" t="s">
        <v>1935</v>
      </c>
      <c r="E2005" s="13" t="s">
        <v>1945</v>
      </c>
      <c r="F2005" s="15">
        <v>0</v>
      </c>
    </row>
    <row r="2006" spans="2:6" hidden="1" x14ac:dyDescent="0.2">
      <c r="B2006" s="14">
        <v>2013</v>
      </c>
      <c r="C2006" s="13" t="s">
        <v>1869</v>
      </c>
      <c r="D2006" s="13" t="s">
        <v>1935</v>
      </c>
      <c r="E2006" s="13" t="s">
        <v>1946</v>
      </c>
      <c r="F2006" s="15">
        <v>0</v>
      </c>
    </row>
    <row r="2007" spans="2:6" hidden="1" x14ac:dyDescent="0.2">
      <c r="B2007" s="14">
        <v>2013</v>
      </c>
      <c r="C2007" s="13" t="s">
        <v>1869</v>
      </c>
      <c r="D2007" s="13" t="s">
        <v>1935</v>
      </c>
      <c r="E2007" s="13" t="s">
        <v>1947</v>
      </c>
      <c r="F2007" s="15">
        <v>0</v>
      </c>
    </row>
    <row r="2008" spans="2:6" hidden="1" x14ac:dyDescent="0.2">
      <c r="B2008" s="14">
        <v>2013</v>
      </c>
      <c r="C2008" s="13" t="s">
        <v>1869</v>
      </c>
      <c r="D2008" s="13" t="s">
        <v>1935</v>
      </c>
      <c r="E2008" s="13" t="s">
        <v>1948</v>
      </c>
      <c r="F2008" s="15">
        <v>0</v>
      </c>
    </row>
    <row r="2009" spans="2:6" hidden="1" x14ac:dyDescent="0.2">
      <c r="B2009" s="14">
        <v>2013</v>
      </c>
      <c r="C2009" s="13" t="s">
        <v>1869</v>
      </c>
      <c r="D2009" s="13" t="s">
        <v>1935</v>
      </c>
      <c r="E2009" s="13" t="s">
        <v>1949</v>
      </c>
      <c r="F2009" s="15">
        <v>0</v>
      </c>
    </row>
    <row r="2010" spans="2:6" hidden="1" x14ac:dyDescent="0.2">
      <c r="B2010" s="14">
        <v>2013</v>
      </c>
      <c r="C2010" s="13" t="s">
        <v>1869</v>
      </c>
      <c r="D2010" s="13" t="s">
        <v>1935</v>
      </c>
      <c r="E2010" s="13" t="s">
        <v>1950</v>
      </c>
      <c r="F2010" s="15">
        <v>0</v>
      </c>
    </row>
    <row r="2011" spans="2:6" hidden="1" x14ac:dyDescent="0.2">
      <c r="B2011" s="14">
        <v>2013</v>
      </c>
      <c r="C2011" s="13" t="s">
        <v>1869</v>
      </c>
      <c r="D2011" s="13" t="s">
        <v>1951</v>
      </c>
      <c r="E2011" s="13" t="s">
        <v>1951</v>
      </c>
      <c r="F2011" s="15">
        <v>31</v>
      </c>
    </row>
    <row r="2012" spans="2:6" hidden="1" x14ac:dyDescent="0.2">
      <c r="B2012" s="14">
        <v>2013</v>
      </c>
      <c r="C2012" s="13" t="s">
        <v>1869</v>
      </c>
      <c r="D2012" s="13" t="s">
        <v>1951</v>
      </c>
      <c r="E2012" s="13" t="s">
        <v>1952</v>
      </c>
      <c r="F2012" s="15">
        <v>0</v>
      </c>
    </row>
    <row r="2013" spans="2:6" hidden="1" x14ac:dyDescent="0.2">
      <c r="B2013" s="14">
        <v>2013</v>
      </c>
      <c r="C2013" s="13" t="s">
        <v>1869</v>
      </c>
      <c r="D2013" s="13" t="s">
        <v>1951</v>
      </c>
      <c r="E2013" s="13" t="s">
        <v>1953</v>
      </c>
      <c r="F2013" s="15">
        <v>0</v>
      </c>
    </row>
    <row r="2014" spans="2:6" hidden="1" x14ac:dyDescent="0.2">
      <c r="B2014" s="14">
        <v>2013</v>
      </c>
      <c r="C2014" s="13" t="s">
        <v>1869</v>
      </c>
      <c r="D2014" s="13" t="s">
        <v>1951</v>
      </c>
      <c r="E2014" s="13" t="s">
        <v>1954</v>
      </c>
      <c r="F2014" s="15">
        <v>0</v>
      </c>
    </row>
    <row r="2015" spans="2:6" hidden="1" x14ac:dyDescent="0.2">
      <c r="B2015" s="14">
        <v>2013</v>
      </c>
      <c r="C2015" s="13" t="s">
        <v>1869</v>
      </c>
      <c r="D2015" s="13" t="s">
        <v>1951</v>
      </c>
      <c r="E2015" s="13" t="s">
        <v>1955</v>
      </c>
      <c r="F2015" s="15">
        <v>0</v>
      </c>
    </row>
    <row r="2016" spans="2:6" hidden="1" x14ac:dyDescent="0.2">
      <c r="B2016" s="14">
        <v>2013</v>
      </c>
      <c r="C2016" s="13" t="s">
        <v>1869</v>
      </c>
      <c r="D2016" s="13" t="s">
        <v>1956</v>
      </c>
      <c r="E2016" s="13" t="s">
        <v>1957</v>
      </c>
      <c r="F2016" s="15">
        <v>40</v>
      </c>
    </row>
    <row r="2017" spans="2:6" hidden="1" x14ac:dyDescent="0.2">
      <c r="B2017" s="14">
        <v>2013</v>
      </c>
      <c r="C2017" s="13" t="s">
        <v>1869</v>
      </c>
      <c r="D2017" s="13" t="s">
        <v>1956</v>
      </c>
      <c r="E2017" s="13" t="s">
        <v>1902</v>
      </c>
      <c r="F2017" s="15">
        <v>4</v>
      </c>
    </row>
    <row r="2018" spans="2:6" hidden="1" x14ac:dyDescent="0.2">
      <c r="B2018" s="14">
        <v>2013</v>
      </c>
      <c r="C2018" s="13" t="s">
        <v>1869</v>
      </c>
      <c r="D2018" s="13" t="s">
        <v>1956</v>
      </c>
      <c r="E2018" s="13" t="s">
        <v>1958</v>
      </c>
      <c r="F2018" s="15">
        <v>0</v>
      </c>
    </row>
    <row r="2019" spans="2:6" hidden="1" x14ac:dyDescent="0.2">
      <c r="B2019" s="14">
        <v>2013</v>
      </c>
      <c r="C2019" s="13" t="s">
        <v>1869</v>
      </c>
      <c r="D2019" s="13" t="s">
        <v>1956</v>
      </c>
      <c r="E2019" s="13" t="s">
        <v>1956</v>
      </c>
      <c r="F2019" s="15">
        <v>0</v>
      </c>
    </row>
    <row r="2020" spans="2:6" hidden="1" x14ac:dyDescent="0.2">
      <c r="B2020" s="14">
        <v>2013</v>
      </c>
      <c r="C2020" s="13" t="s">
        <v>1869</v>
      </c>
      <c r="D2020" s="13" t="s">
        <v>1956</v>
      </c>
      <c r="E2020" s="13" t="s">
        <v>1959</v>
      </c>
      <c r="F2020" s="15">
        <v>0</v>
      </c>
    </row>
    <row r="2021" spans="2:6" hidden="1" x14ac:dyDescent="0.2">
      <c r="B2021" s="14">
        <v>2013</v>
      </c>
      <c r="C2021" s="13" t="s">
        <v>1869</v>
      </c>
      <c r="D2021" s="13" t="s">
        <v>1956</v>
      </c>
      <c r="E2021" s="13" t="s">
        <v>1960</v>
      </c>
      <c r="F2021" s="15">
        <v>0</v>
      </c>
    </row>
    <row r="2022" spans="2:6" hidden="1" x14ac:dyDescent="0.2">
      <c r="B2022" s="14">
        <v>2013</v>
      </c>
      <c r="C2022" s="13" t="s">
        <v>1869</v>
      </c>
      <c r="D2022" s="13" t="s">
        <v>1956</v>
      </c>
      <c r="E2022" s="13" t="s">
        <v>1961</v>
      </c>
      <c r="F2022" s="15">
        <v>0</v>
      </c>
    </row>
    <row r="2023" spans="2:6" hidden="1" x14ac:dyDescent="0.2">
      <c r="B2023" s="14">
        <v>2013</v>
      </c>
      <c r="C2023" s="13" t="s">
        <v>1869</v>
      </c>
      <c r="D2023" s="13" t="s">
        <v>1956</v>
      </c>
      <c r="E2023" s="13" t="s">
        <v>1962</v>
      </c>
      <c r="F2023" s="15">
        <v>0</v>
      </c>
    </row>
    <row r="2024" spans="2:6" hidden="1" x14ac:dyDescent="0.2">
      <c r="B2024" s="14">
        <v>2013</v>
      </c>
      <c r="C2024" s="13" t="s">
        <v>1869</v>
      </c>
      <c r="D2024" s="13" t="s">
        <v>1956</v>
      </c>
      <c r="E2024" s="13" t="s">
        <v>1963</v>
      </c>
      <c r="F2024" s="15">
        <v>0</v>
      </c>
    </row>
    <row r="2025" spans="2:6" hidden="1" x14ac:dyDescent="0.2">
      <c r="B2025" s="14">
        <v>2013</v>
      </c>
      <c r="C2025" s="13" t="s">
        <v>1869</v>
      </c>
      <c r="D2025" s="13" t="s">
        <v>1956</v>
      </c>
      <c r="E2025" s="13" t="s">
        <v>1964</v>
      </c>
      <c r="F2025" s="15">
        <v>0</v>
      </c>
    </row>
    <row r="2026" spans="2:6" hidden="1" x14ac:dyDescent="0.2">
      <c r="B2026" s="14">
        <v>2013</v>
      </c>
      <c r="C2026" s="13" t="s">
        <v>1869</v>
      </c>
      <c r="D2026" s="13" t="s">
        <v>1965</v>
      </c>
      <c r="E2026" s="13" t="s">
        <v>1966</v>
      </c>
      <c r="F2026" s="15">
        <v>0</v>
      </c>
    </row>
    <row r="2027" spans="2:6" hidden="1" x14ac:dyDescent="0.2">
      <c r="B2027" s="14">
        <v>2013</v>
      </c>
      <c r="C2027" s="13" t="s">
        <v>1869</v>
      </c>
      <c r="D2027" s="13" t="s">
        <v>1965</v>
      </c>
      <c r="E2027" s="13" t="s">
        <v>1967</v>
      </c>
      <c r="F2027" s="15">
        <v>0</v>
      </c>
    </row>
    <row r="2028" spans="2:6" hidden="1" x14ac:dyDescent="0.2">
      <c r="B2028" s="14">
        <v>2013</v>
      </c>
      <c r="C2028" s="13" t="s">
        <v>1869</v>
      </c>
      <c r="D2028" s="13" t="s">
        <v>1965</v>
      </c>
      <c r="E2028" s="13" t="s">
        <v>1968</v>
      </c>
      <c r="F2028" s="15">
        <v>0</v>
      </c>
    </row>
    <row r="2029" spans="2:6" hidden="1" x14ac:dyDescent="0.2">
      <c r="B2029" s="14">
        <v>2013</v>
      </c>
      <c r="C2029" s="13" t="s">
        <v>1869</v>
      </c>
      <c r="D2029" s="13" t="s">
        <v>1965</v>
      </c>
      <c r="E2029" s="13" t="s">
        <v>1969</v>
      </c>
      <c r="F2029" s="15">
        <v>0</v>
      </c>
    </row>
    <row r="2030" spans="2:6" hidden="1" x14ac:dyDescent="0.2">
      <c r="B2030" s="14">
        <v>2013</v>
      </c>
      <c r="C2030" s="13" t="s">
        <v>1869</v>
      </c>
      <c r="D2030" s="13" t="s">
        <v>1965</v>
      </c>
      <c r="E2030" s="13" t="s">
        <v>1970</v>
      </c>
      <c r="F2030" s="15">
        <v>0</v>
      </c>
    </row>
    <row r="2031" spans="2:6" hidden="1" x14ac:dyDescent="0.2">
      <c r="B2031" s="14">
        <v>2013</v>
      </c>
      <c r="C2031" s="13" t="s">
        <v>1869</v>
      </c>
      <c r="D2031" s="13" t="s">
        <v>1965</v>
      </c>
      <c r="E2031" s="13" t="s">
        <v>1971</v>
      </c>
      <c r="F2031" s="15">
        <v>0</v>
      </c>
    </row>
    <row r="2032" spans="2:6" hidden="1" x14ac:dyDescent="0.2">
      <c r="B2032" s="14">
        <v>2013</v>
      </c>
      <c r="C2032" s="13" t="s">
        <v>1869</v>
      </c>
      <c r="D2032" s="13" t="s">
        <v>1965</v>
      </c>
      <c r="E2032" s="13" t="s">
        <v>1972</v>
      </c>
      <c r="F2032" s="15">
        <v>0</v>
      </c>
    </row>
    <row r="2033" spans="2:6" hidden="1" x14ac:dyDescent="0.2">
      <c r="B2033" s="14">
        <v>2013</v>
      </c>
      <c r="C2033" s="13" t="s">
        <v>1869</v>
      </c>
      <c r="D2033" s="13" t="s">
        <v>1965</v>
      </c>
      <c r="E2033" s="13" t="s">
        <v>1973</v>
      </c>
      <c r="F2033" s="15">
        <v>0</v>
      </c>
    </row>
    <row r="2034" spans="2:6" hidden="1" x14ac:dyDescent="0.2">
      <c r="B2034" s="14">
        <v>2013</v>
      </c>
      <c r="C2034" s="13" t="s">
        <v>1869</v>
      </c>
      <c r="D2034" s="13" t="s">
        <v>1974</v>
      </c>
      <c r="E2034" s="13" t="s">
        <v>1974</v>
      </c>
      <c r="F2034" s="15">
        <v>0</v>
      </c>
    </row>
    <row r="2035" spans="2:6" hidden="1" x14ac:dyDescent="0.2">
      <c r="B2035" s="14">
        <v>2013</v>
      </c>
      <c r="C2035" s="13" t="s">
        <v>1869</v>
      </c>
      <c r="D2035" s="13" t="s">
        <v>1974</v>
      </c>
      <c r="E2035" s="13" t="s">
        <v>1975</v>
      </c>
      <c r="F2035" s="15">
        <v>0</v>
      </c>
    </row>
    <row r="2036" spans="2:6" hidden="1" x14ac:dyDescent="0.2">
      <c r="B2036" s="14">
        <v>2013</v>
      </c>
      <c r="C2036" s="13" t="s">
        <v>1869</v>
      </c>
      <c r="D2036" s="13" t="s">
        <v>1974</v>
      </c>
      <c r="E2036" s="13" t="s">
        <v>1976</v>
      </c>
      <c r="F2036" s="15">
        <v>0</v>
      </c>
    </row>
    <row r="2037" spans="2:6" hidden="1" x14ac:dyDescent="0.2">
      <c r="B2037" s="14">
        <v>2013</v>
      </c>
      <c r="C2037" s="13" t="s">
        <v>1869</v>
      </c>
      <c r="D2037" s="13" t="s">
        <v>1974</v>
      </c>
      <c r="E2037" s="13" t="s">
        <v>1977</v>
      </c>
      <c r="F2037" s="15">
        <v>0</v>
      </c>
    </row>
    <row r="2038" spans="2:6" hidden="1" x14ac:dyDescent="0.2">
      <c r="B2038" s="14">
        <v>2013</v>
      </c>
      <c r="C2038" s="13" t="s">
        <v>1869</v>
      </c>
      <c r="D2038" s="13" t="s">
        <v>1974</v>
      </c>
      <c r="E2038" s="13" t="s">
        <v>1978</v>
      </c>
      <c r="F2038" s="15">
        <v>0</v>
      </c>
    </row>
    <row r="2039" spans="2:6" hidden="1" x14ac:dyDescent="0.2">
      <c r="B2039" s="14">
        <v>2013</v>
      </c>
      <c r="C2039" s="13" t="s">
        <v>1869</v>
      </c>
      <c r="D2039" s="13" t="s">
        <v>1974</v>
      </c>
      <c r="E2039" s="13" t="s">
        <v>1979</v>
      </c>
      <c r="F2039" s="15">
        <v>0</v>
      </c>
    </row>
    <row r="2040" spans="2:6" hidden="1" x14ac:dyDescent="0.2">
      <c r="B2040" s="14">
        <v>2013</v>
      </c>
      <c r="C2040" s="13" t="s">
        <v>1869</v>
      </c>
      <c r="D2040" s="13" t="s">
        <v>1974</v>
      </c>
      <c r="E2040" s="13" t="s">
        <v>1980</v>
      </c>
      <c r="F2040" s="15">
        <v>0</v>
      </c>
    </row>
    <row r="2041" spans="2:6" hidden="1" x14ac:dyDescent="0.2">
      <c r="B2041" s="14">
        <v>2013</v>
      </c>
      <c r="C2041" s="13" t="s">
        <v>1869</v>
      </c>
      <c r="D2041" s="13" t="s">
        <v>1974</v>
      </c>
      <c r="E2041" s="13" t="s">
        <v>1981</v>
      </c>
      <c r="F2041" s="15">
        <v>0</v>
      </c>
    </row>
    <row r="2042" spans="2:6" hidden="1" x14ac:dyDescent="0.2">
      <c r="B2042" s="14">
        <v>2013</v>
      </c>
      <c r="C2042" s="13" t="s">
        <v>1869</v>
      </c>
      <c r="D2042" s="13" t="s">
        <v>1974</v>
      </c>
      <c r="E2042" s="13" t="s">
        <v>1982</v>
      </c>
      <c r="F2042" s="15">
        <v>0</v>
      </c>
    </row>
    <row r="2043" spans="2:6" hidden="1" x14ac:dyDescent="0.2">
      <c r="B2043" s="14">
        <v>2013</v>
      </c>
      <c r="C2043" s="13" t="s">
        <v>1869</v>
      </c>
      <c r="D2043" s="13" t="s">
        <v>1974</v>
      </c>
      <c r="E2043" s="13" t="s">
        <v>1983</v>
      </c>
      <c r="F2043" s="15">
        <v>0</v>
      </c>
    </row>
    <row r="2044" spans="2:6" hidden="1" x14ac:dyDescent="0.2">
      <c r="B2044" s="14">
        <v>2013</v>
      </c>
      <c r="C2044" s="13" t="s">
        <v>1869</v>
      </c>
      <c r="D2044" s="13" t="s">
        <v>1984</v>
      </c>
      <c r="E2044" s="13" t="s">
        <v>1985</v>
      </c>
      <c r="F2044" s="15">
        <v>1</v>
      </c>
    </row>
    <row r="2045" spans="2:6" hidden="1" x14ac:dyDescent="0.2">
      <c r="B2045" s="14">
        <v>2013</v>
      </c>
      <c r="C2045" s="13" t="s">
        <v>1869</v>
      </c>
      <c r="D2045" s="13" t="s">
        <v>1984</v>
      </c>
      <c r="E2045" s="13" t="s">
        <v>1895</v>
      </c>
      <c r="F2045" s="15">
        <v>0</v>
      </c>
    </row>
    <row r="2046" spans="2:6" hidden="1" x14ac:dyDescent="0.2">
      <c r="B2046" s="14">
        <v>2013</v>
      </c>
      <c r="C2046" s="13" t="s">
        <v>1869</v>
      </c>
      <c r="D2046" s="13" t="s">
        <v>1984</v>
      </c>
      <c r="E2046" s="13" t="s">
        <v>1986</v>
      </c>
      <c r="F2046" s="15">
        <v>0</v>
      </c>
    </row>
    <row r="2047" spans="2:6" hidden="1" x14ac:dyDescent="0.2">
      <c r="B2047" s="14">
        <v>2013</v>
      </c>
      <c r="C2047" s="13" t="s">
        <v>1869</v>
      </c>
      <c r="D2047" s="13" t="s">
        <v>1984</v>
      </c>
      <c r="E2047" s="13" t="s">
        <v>1987</v>
      </c>
      <c r="F2047" s="15">
        <v>0</v>
      </c>
    </row>
    <row r="2048" spans="2:6" hidden="1" x14ac:dyDescent="0.2">
      <c r="B2048" s="14">
        <v>2013</v>
      </c>
      <c r="C2048" s="13" t="s">
        <v>1869</v>
      </c>
      <c r="D2048" s="13" t="s">
        <v>1984</v>
      </c>
      <c r="E2048" s="13" t="s">
        <v>1988</v>
      </c>
      <c r="F2048" s="15">
        <v>0</v>
      </c>
    </row>
    <row r="2049" spans="2:6" hidden="1" x14ac:dyDescent="0.2">
      <c r="B2049" s="14">
        <v>2013</v>
      </c>
      <c r="C2049" s="13" t="s">
        <v>1869</v>
      </c>
      <c r="D2049" s="13" t="s">
        <v>1984</v>
      </c>
      <c r="E2049" s="13" t="s">
        <v>1989</v>
      </c>
      <c r="F2049" s="15">
        <v>0</v>
      </c>
    </row>
    <row r="2050" spans="2:6" hidden="1" x14ac:dyDescent="0.2">
      <c r="B2050" s="14">
        <v>2013</v>
      </c>
      <c r="C2050" s="13" t="s">
        <v>1869</v>
      </c>
      <c r="D2050" s="13" t="s">
        <v>1984</v>
      </c>
      <c r="E2050" s="13" t="s">
        <v>1990</v>
      </c>
      <c r="F2050" s="15">
        <v>0</v>
      </c>
    </row>
    <row r="2051" spans="2:6" hidden="1" x14ac:dyDescent="0.2">
      <c r="B2051" s="14">
        <v>2013</v>
      </c>
      <c r="C2051" s="13" t="s">
        <v>1869</v>
      </c>
      <c r="D2051" s="13" t="s">
        <v>1984</v>
      </c>
      <c r="E2051" s="13" t="s">
        <v>1984</v>
      </c>
      <c r="F2051" s="15">
        <v>0</v>
      </c>
    </row>
    <row r="2052" spans="2:6" hidden="1" x14ac:dyDescent="0.2">
      <c r="B2052" s="14">
        <v>2013</v>
      </c>
      <c r="C2052" s="13" t="s">
        <v>1869</v>
      </c>
      <c r="D2052" s="13" t="s">
        <v>1984</v>
      </c>
      <c r="E2052" s="13" t="s">
        <v>1877</v>
      </c>
      <c r="F2052" s="15">
        <v>0</v>
      </c>
    </row>
    <row r="2053" spans="2:6" hidden="1" x14ac:dyDescent="0.2">
      <c r="B2053" s="14">
        <v>2013</v>
      </c>
      <c r="C2053" s="13" t="s">
        <v>1869</v>
      </c>
      <c r="D2053" s="13" t="s">
        <v>1984</v>
      </c>
      <c r="E2053" s="13" t="s">
        <v>1858</v>
      </c>
      <c r="F2053" s="15">
        <v>0</v>
      </c>
    </row>
    <row r="2054" spans="2:6" hidden="1" x14ac:dyDescent="0.2">
      <c r="B2054" s="14">
        <v>2013</v>
      </c>
      <c r="C2054" s="13" t="s">
        <v>1869</v>
      </c>
      <c r="D2054" s="13" t="s">
        <v>1984</v>
      </c>
      <c r="E2054" s="13" t="s">
        <v>1991</v>
      </c>
      <c r="F2054" s="15">
        <v>0</v>
      </c>
    </row>
    <row r="2055" spans="2:6" hidden="1" x14ac:dyDescent="0.2">
      <c r="B2055" s="14">
        <v>2013</v>
      </c>
      <c r="C2055" s="13" t="s">
        <v>1869</v>
      </c>
      <c r="D2055" s="13" t="s">
        <v>1992</v>
      </c>
      <c r="E2055" s="13" t="s">
        <v>1992</v>
      </c>
      <c r="F2055" s="15">
        <v>0</v>
      </c>
    </row>
    <row r="2056" spans="2:6" hidden="1" x14ac:dyDescent="0.2">
      <c r="B2056" s="14">
        <v>2013</v>
      </c>
      <c r="C2056" s="13" t="s">
        <v>1869</v>
      </c>
      <c r="D2056" s="13" t="s">
        <v>1992</v>
      </c>
      <c r="E2056" s="13" t="s">
        <v>1993</v>
      </c>
      <c r="F2056" s="15">
        <v>0</v>
      </c>
    </row>
    <row r="2057" spans="2:6" hidden="1" x14ac:dyDescent="0.2">
      <c r="B2057" s="14">
        <v>2013</v>
      </c>
      <c r="C2057" s="13" t="s">
        <v>1869</v>
      </c>
      <c r="D2057" s="13" t="s">
        <v>1992</v>
      </c>
      <c r="E2057" s="13" t="s">
        <v>1994</v>
      </c>
      <c r="F2057" s="15">
        <v>0</v>
      </c>
    </row>
    <row r="2058" spans="2:6" hidden="1" x14ac:dyDescent="0.2">
      <c r="B2058" s="14">
        <v>2013</v>
      </c>
      <c r="C2058" s="13" t="s">
        <v>1869</v>
      </c>
      <c r="D2058" s="13" t="s">
        <v>1992</v>
      </c>
      <c r="E2058" s="13" t="s">
        <v>1995</v>
      </c>
      <c r="F2058" s="15">
        <v>0</v>
      </c>
    </row>
    <row r="2059" spans="2:6" hidden="1" x14ac:dyDescent="0.2">
      <c r="B2059" s="14">
        <v>2013</v>
      </c>
      <c r="C2059" s="13" t="s">
        <v>1869</v>
      </c>
      <c r="D2059" s="13" t="s">
        <v>1996</v>
      </c>
      <c r="E2059" s="13" t="s">
        <v>1996</v>
      </c>
      <c r="F2059" s="15">
        <v>1</v>
      </c>
    </row>
    <row r="2060" spans="2:6" hidden="1" x14ac:dyDescent="0.2">
      <c r="B2060" s="14">
        <v>2013</v>
      </c>
      <c r="C2060" s="13" t="s">
        <v>1869</v>
      </c>
      <c r="D2060" s="13" t="s">
        <v>1996</v>
      </c>
      <c r="E2060" s="13" t="s">
        <v>1997</v>
      </c>
      <c r="F2060" s="15">
        <v>7</v>
      </c>
    </row>
    <row r="2061" spans="2:6" hidden="1" x14ac:dyDescent="0.2">
      <c r="B2061" s="14">
        <v>2013</v>
      </c>
      <c r="C2061" s="13" t="s">
        <v>1869</v>
      </c>
      <c r="D2061" s="13" t="s">
        <v>1996</v>
      </c>
      <c r="E2061" s="13" t="s">
        <v>1998</v>
      </c>
      <c r="F2061" s="15">
        <v>0</v>
      </c>
    </row>
    <row r="2062" spans="2:6" hidden="1" x14ac:dyDescent="0.2">
      <c r="B2062" s="14">
        <v>2013</v>
      </c>
      <c r="C2062" s="13" t="s">
        <v>1869</v>
      </c>
      <c r="D2062" s="13" t="s">
        <v>1996</v>
      </c>
      <c r="E2062" s="13" t="s">
        <v>1999</v>
      </c>
      <c r="F2062" s="15">
        <v>0</v>
      </c>
    </row>
    <row r="2063" spans="2:6" hidden="1" x14ac:dyDescent="0.2">
      <c r="B2063" s="14">
        <v>2013</v>
      </c>
      <c r="C2063" s="13" t="s">
        <v>1869</v>
      </c>
      <c r="D2063" s="13" t="s">
        <v>1996</v>
      </c>
      <c r="E2063" s="13" t="s">
        <v>2000</v>
      </c>
      <c r="F2063" s="15">
        <v>0</v>
      </c>
    </row>
    <row r="2064" spans="2:6" hidden="1" x14ac:dyDescent="0.2">
      <c r="B2064" s="14">
        <v>2013</v>
      </c>
      <c r="C2064" s="13" t="s">
        <v>1869</v>
      </c>
      <c r="D2064" s="13" t="s">
        <v>1996</v>
      </c>
      <c r="E2064" s="13" t="s">
        <v>2001</v>
      </c>
      <c r="F2064" s="15">
        <v>0</v>
      </c>
    </row>
    <row r="2065" spans="2:6" hidden="1" x14ac:dyDescent="0.2">
      <c r="B2065" s="14">
        <v>2013</v>
      </c>
      <c r="C2065" s="13" t="s">
        <v>1869</v>
      </c>
      <c r="D2065" s="13" t="s">
        <v>1996</v>
      </c>
      <c r="E2065" s="13" t="s">
        <v>2002</v>
      </c>
      <c r="F2065" s="15">
        <v>0</v>
      </c>
    </row>
    <row r="2066" spans="2:6" hidden="1" x14ac:dyDescent="0.2">
      <c r="B2066" s="14">
        <v>2013</v>
      </c>
      <c r="C2066" s="13" t="s">
        <v>1869</v>
      </c>
      <c r="D2066" s="13" t="s">
        <v>1996</v>
      </c>
      <c r="E2066" s="13" t="s">
        <v>2003</v>
      </c>
      <c r="F2066" s="15">
        <v>0</v>
      </c>
    </row>
    <row r="2067" spans="2:6" hidden="1" x14ac:dyDescent="0.2">
      <c r="B2067" s="14">
        <v>2013</v>
      </c>
      <c r="C2067" s="13" t="s">
        <v>1869</v>
      </c>
      <c r="D2067" s="13" t="s">
        <v>1996</v>
      </c>
      <c r="E2067" s="13" t="s">
        <v>2004</v>
      </c>
      <c r="F2067" s="15">
        <v>0</v>
      </c>
    </row>
    <row r="2068" spans="2:6" hidden="1" x14ac:dyDescent="0.2">
      <c r="B2068" s="14">
        <v>2013</v>
      </c>
      <c r="C2068" s="13" t="s">
        <v>1869</v>
      </c>
      <c r="D2068" s="13" t="s">
        <v>1996</v>
      </c>
      <c r="E2068" s="13" t="s">
        <v>2005</v>
      </c>
      <c r="F2068" s="15">
        <v>1</v>
      </c>
    </row>
    <row r="2069" spans="2:6" hidden="1" x14ac:dyDescent="0.2">
      <c r="B2069" s="14">
        <v>2013</v>
      </c>
      <c r="C2069" s="13" t="s">
        <v>1869</v>
      </c>
      <c r="D2069" s="13" t="s">
        <v>2006</v>
      </c>
      <c r="E2069" s="13" t="s">
        <v>2007</v>
      </c>
      <c r="F2069" s="15">
        <v>61</v>
      </c>
    </row>
    <row r="2070" spans="2:6" hidden="1" x14ac:dyDescent="0.2">
      <c r="B2070" s="14">
        <v>2013</v>
      </c>
      <c r="C2070" s="13" t="s">
        <v>1869</v>
      </c>
      <c r="D2070" s="13" t="s">
        <v>2006</v>
      </c>
      <c r="E2070" s="13" t="s">
        <v>2008</v>
      </c>
      <c r="F2070" s="15">
        <v>5</v>
      </c>
    </row>
    <row r="2071" spans="2:6" hidden="1" x14ac:dyDescent="0.2">
      <c r="B2071" s="14">
        <v>2013</v>
      </c>
      <c r="C2071" s="13" t="s">
        <v>1869</v>
      </c>
      <c r="D2071" s="13" t="s">
        <v>2006</v>
      </c>
      <c r="E2071" s="13" t="s">
        <v>2009</v>
      </c>
      <c r="F2071" s="15">
        <v>7</v>
      </c>
    </row>
    <row r="2072" spans="2:6" hidden="1" x14ac:dyDescent="0.2">
      <c r="B2072" s="14">
        <v>2013</v>
      </c>
      <c r="C2072" s="13" t="s">
        <v>1869</v>
      </c>
      <c r="D2072" s="13" t="s">
        <v>2006</v>
      </c>
      <c r="E2072" s="13" t="s">
        <v>2010</v>
      </c>
      <c r="F2072" s="15">
        <v>0</v>
      </c>
    </row>
    <row r="2073" spans="2:6" hidden="1" x14ac:dyDescent="0.2">
      <c r="B2073" s="14">
        <v>2013</v>
      </c>
      <c r="C2073" s="13" t="s">
        <v>1869</v>
      </c>
      <c r="D2073" s="13" t="s">
        <v>2006</v>
      </c>
      <c r="E2073" s="13" t="s">
        <v>2011</v>
      </c>
      <c r="F2073" s="15">
        <v>3</v>
      </c>
    </row>
    <row r="2074" spans="2:6" hidden="1" x14ac:dyDescent="0.2">
      <c r="B2074" s="14">
        <v>2013</v>
      </c>
      <c r="C2074" s="13" t="s">
        <v>1869</v>
      </c>
      <c r="D2074" s="13" t="s">
        <v>2006</v>
      </c>
      <c r="E2074" s="13" t="s">
        <v>2012</v>
      </c>
      <c r="F2074" s="15">
        <v>6</v>
      </c>
    </row>
    <row r="2075" spans="2:6" hidden="1" x14ac:dyDescent="0.2">
      <c r="B2075" s="14">
        <v>2013</v>
      </c>
      <c r="C2075" s="13" t="s">
        <v>1869</v>
      </c>
      <c r="D2075" s="13" t="s">
        <v>2006</v>
      </c>
      <c r="E2075" s="13" t="s">
        <v>2013</v>
      </c>
      <c r="F2075" s="15">
        <v>3</v>
      </c>
    </row>
    <row r="2076" spans="2:6" hidden="1" x14ac:dyDescent="0.2">
      <c r="B2076" s="14">
        <v>2013</v>
      </c>
      <c r="C2076" s="13" t="s">
        <v>1869</v>
      </c>
      <c r="D2076" s="13" t="s">
        <v>2006</v>
      </c>
      <c r="E2076" s="13" t="s">
        <v>2006</v>
      </c>
      <c r="F2076" s="15">
        <v>17</v>
      </c>
    </row>
    <row r="2077" spans="2:6" hidden="1" x14ac:dyDescent="0.2">
      <c r="B2077" s="14">
        <v>2013</v>
      </c>
      <c r="C2077" s="13" t="s">
        <v>1869</v>
      </c>
      <c r="D2077" s="13" t="s">
        <v>2006</v>
      </c>
      <c r="E2077" s="13" t="s">
        <v>2014</v>
      </c>
      <c r="F2077" s="15">
        <v>107</v>
      </c>
    </row>
    <row r="2078" spans="2:6" hidden="1" x14ac:dyDescent="0.2">
      <c r="B2078" s="14">
        <v>2013</v>
      </c>
      <c r="C2078" s="13" t="s">
        <v>1869</v>
      </c>
      <c r="D2078" s="13" t="s">
        <v>2015</v>
      </c>
      <c r="E2078" s="13" t="s">
        <v>2015</v>
      </c>
      <c r="F2078" s="15">
        <v>2</v>
      </c>
    </row>
    <row r="2079" spans="2:6" hidden="1" x14ac:dyDescent="0.2">
      <c r="B2079" s="14">
        <v>2013</v>
      </c>
      <c r="C2079" s="13" t="s">
        <v>1869</v>
      </c>
      <c r="D2079" s="13" t="s">
        <v>2015</v>
      </c>
      <c r="E2079" s="13" t="s">
        <v>2016</v>
      </c>
      <c r="F2079" s="15">
        <v>0</v>
      </c>
    </row>
    <row r="2080" spans="2:6" hidden="1" x14ac:dyDescent="0.2">
      <c r="B2080" s="14">
        <v>2013</v>
      </c>
      <c r="C2080" s="13" t="s">
        <v>1869</v>
      </c>
      <c r="D2080" s="13" t="s">
        <v>2015</v>
      </c>
      <c r="E2080" s="13" t="s">
        <v>2017</v>
      </c>
      <c r="F2080" s="15">
        <v>0</v>
      </c>
    </row>
    <row r="2081" spans="2:6" hidden="1" x14ac:dyDescent="0.2">
      <c r="B2081" s="14">
        <v>2013</v>
      </c>
      <c r="C2081" s="13" t="s">
        <v>1869</v>
      </c>
      <c r="D2081" s="13" t="s">
        <v>2015</v>
      </c>
      <c r="E2081" s="13" t="s">
        <v>2018</v>
      </c>
      <c r="F2081" s="15">
        <v>0</v>
      </c>
    </row>
    <row r="2082" spans="2:6" hidden="1" x14ac:dyDescent="0.2">
      <c r="B2082" s="14">
        <v>2013</v>
      </c>
      <c r="C2082" s="13" t="s">
        <v>1869</v>
      </c>
      <c r="D2082" s="13" t="s">
        <v>2015</v>
      </c>
      <c r="E2082" s="13" t="s">
        <v>2019</v>
      </c>
      <c r="F2082" s="15">
        <v>0</v>
      </c>
    </row>
    <row r="2083" spans="2:6" hidden="1" x14ac:dyDescent="0.2">
      <c r="B2083" s="14">
        <v>2013</v>
      </c>
      <c r="C2083" s="13" t="s">
        <v>1869</v>
      </c>
      <c r="D2083" s="13" t="s">
        <v>2015</v>
      </c>
      <c r="E2083" s="13" t="s">
        <v>2020</v>
      </c>
      <c r="F2083" s="15">
        <v>1</v>
      </c>
    </row>
    <row r="2084" spans="2:6" hidden="1" x14ac:dyDescent="0.2">
      <c r="B2084" s="14">
        <v>2013</v>
      </c>
      <c r="C2084" s="13" t="s">
        <v>1869</v>
      </c>
      <c r="D2084" s="13" t="s">
        <v>2015</v>
      </c>
      <c r="E2084" s="13" t="s">
        <v>2021</v>
      </c>
      <c r="F2084" s="15">
        <v>0</v>
      </c>
    </row>
    <row r="2085" spans="2:6" hidden="1" x14ac:dyDescent="0.2">
      <c r="B2085" s="14">
        <v>2013</v>
      </c>
      <c r="C2085" s="13" t="s">
        <v>1869</v>
      </c>
      <c r="D2085" s="13" t="s">
        <v>2015</v>
      </c>
      <c r="E2085" s="13" t="s">
        <v>2022</v>
      </c>
      <c r="F2085" s="15">
        <v>0</v>
      </c>
    </row>
    <row r="2086" spans="2:6" hidden="1" x14ac:dyDescent="0.2">
      <c r="B2086" s="14">
        <v>2013</v>
      </c>
      <c r="C2086" s="13" t="s">
        <v>1869</v>
      </c>
      <c r="D2086" s="13" t="s">
        <v>2015</v>
      </c>
      <c r="E2086" s="13" t="s">
        <v>2023</v>
      </c>
      <c r="F2086" s="15">
        <v>0</v>
      </c>
    </row>
    <row r="2087" spans="2:6" hidden="1" x14ac:dyDescent="0.2">
      <c r="B2087" s="14">
        <v>2013</v>
      </c>
      <c r="C2087" s="13" t="s">
        <v>1869</v>
      </c>
      <c r="D2087" s="13" t="s">
        <v>2015</v>
      </c>
      <c r="E2087" s="13" t="s">
        <v>2024</v>
      </c>
      <c r="F2087" s="15">
        <v>0</v>
      </c>
    </row>
    <row r="2088" spans="2:6" hidden="1" x14ac:dyDescent="0.2">
      <c r="B2088" s="14">
        <v>2013</v>
      </c>
      <c r="C2088" s="13" t="s">
        <v>1869</v>
      </c>
      <c r="D2088" s="13" t="s">
        <v>2025</v>
      </c>
      <c r="E2088" s="13" t="s">
        <v>2025</v>
      </c>
      <c r="F2088" s="15">
        <v>15</v>
      </c>
    </row>
    <row r="2089" spans="2:6" hidden="1" x14ac:dyDescent="0.2">
      <c r="B2089" s="14">
        <v>2013</v>
      </c>
      <c r="C2089" s="13" t="s">
        <v>1869</v>
      </c>
      <c r="D2089" s="13" t="s">
        <v>2025</v>
      </c>
      <c r="E2089" s="13" t="s">
        <v>2026</v>
      </c>
      <c r="F2089" s="15">
        <v>0</v>
      </c>
    </row>
    <row r="2090" spans="2:6" hidden="1" x14ac:dyDescent="0.2">
      <c r="B2090" s="14">
        <v>2013</v>
      </c>
      <c r="C2090" s="13" t="s">
        <v>1869</v>
      </c>
      <c r="D2090" s="13" t="s">
        <v>2025</v>
      </c>
      <c r="E2090" s="13" t="s">
        <v>2027</v>
      </c>
      <c r="F2090" s="15">
        <v>3</v>
      </c>
    </row>
    <row r="2091" spans="2:6" hidden="1" x14ac:dyDescent="0.2">
      <c r="B2091" s="14">
        <v>2013</v>
      </c>
      <c r="C2091" s="13" t="s">
        <v>1869</v>
      </c>
      <c r="D2091" s="13" t="s">
        <v>2025</v>
      </c>
      <c r="E2091" s="13" t="s">
        <v>2028</v>
      </c>
      <c r="F2091" s="15">
        <v>0</v>
      </c>
    </row>
    <row r="2092" spans="2:6" hidden="1" x14ac:dyDescent="0.2">
      <c r="B2092" s="14">
        <v>2013</v>
      </c>
      <c r="C2092" s="13" t="s">
        <v>1869</v>
      </c>
      <c r="D2092" s="13" t="s">
        <v>2025</v>
      </c>
      <c r="E2092" s="13" t="s">
        <v>2029</v>
      </c>
      <c r="F2092" s="15">
        <v>2</v>
      </c>
    </row>
    <row r="2093" spans="2:6" hidden="1" x14ac:dyDescent="0.2">
      <c r="B2093" s="14">
        <v>2013</v>
      </c>
      <c r="C2093" s="13" t="s">
        <v>1869</v>
      </c>
      <c r="D2093" s="13" t="s">
        <v>2025</v>
      </c>
      <c r="E2093" s="13" t="s">
        <v>2030</v>
      </c>
      <c r="F2093" s="15">
        <v>0</v>
      </c>
    </row>
    <row r="2094" spans="2:6" hidden="1" x14ac:dyDescent="0.2">
      <c r="B2094" s="14">
        <v>2013</v>
      </c>
      <c r="C2094" s="13" t="s">
        <v>1869</v>
      </c>
      <c r="D2094" s="13" t="s">
        <v>2025</v>
      </c>
      <c r="E2094" s="13" t="s">
        <v>2031</v>
      </c>
      <c r="F2094" s="15">
        <v>0</v>
      </c>
    </row>
    <row r="2095" spans="2:6" hidden="1" x14ac:dyDescent="0.2">
      <c r="B2095" s="14">
        <v>2013</v>
      </c>
      <c r="C2095" s="13" t="s">
        <v>1869</v>
      </c>
      <c r="D2095" s="13" t="s">
        <v>2025</v>
      </c>
      <c r="E2095" s="13" t="s">
        <v>2032</v>
      </c>
      <c r="F2095" s="15">
        <v>1</v>
      </c>
    </row>
    <row r="2096" spans="2:6" hidden="1" x14ac:dyDescent="0.2">
      <c r="B2096" s="14">
        <v>2013</v>
      </c>
      <c r="C2096" s="13" t="s">
        <v>2033</v>
      </c>
      <c r="D2096" s="13" t="s">
        <v>2034</v>
      </c>
      <c r="E2096" s="13" t="s">
        <v>2034</v>
      </c>
      <c r="F2096" s="15">
        <v>34</v>
      </c>
    </row>
    <row r="2097" spans="2:6" hidden="1" x14ac:dyDescent="0.2">
      <c r="B2097" s="14">
        <v>2013</v>
      </c>
      <c r="C2097" s="13" t="s">
        <v>2033</v>
      </c>
      <c r="D2097" s="13" t="s">
        <v>2034</v>
      </c>
      <c r="E2097" s="13" t="s">
        <v>2035</v>
      </c>
      <c r="F2097" s="15">
        <v>0</v>
      </c>
    </row>
    <row r="2098" spans="2:6" hidden="1" x14ac:dyDescent="0.2">
      <c r="B2098" s="14">
        <v>2013</v>
      </c>
      <c r="C2098" s="13" t="s">
        <v>2033</v>
      </c>
      <c r="D2098" s="13" t="s">
        <v>2034</v>
      </c>
      <c r="E2098" s="13" t="s">
        <v>2036</v>
      </c>
      <c r="F2098" s="15">
        <v>2</v>
      </c>
    </row>
    <row r="2099" spans="2:6" hidden="1" x14ac:dyDescent="0.2">
      <c r="B2099" s="14">
        <v>2013</v>
      </c>
      <c r="C2099" s="13" t="s">
        <v>2033</v>
      </c>
      <c r="D2099" s="13" t="s">
        <v>2034</v>
      </c>
      <c r="E2099" s="13" t="s">
        <v>2037</v>
      </c>
      <c r="F2099" s="15">
        <v>0</v>
      </c>
    </row>
    <row r="2100" spans="2:6" hidden="1" x14ac:dyDescent="0.2">
      <c r="B2100" s="14">
        <v>2013</v>
      </c>
      <c r="C2100" s="13" t="s">
        <v>2033</v>
      </c>
      <c r="D2100" s="13" t="s">
        <v>2034</v>
      </c>
      <c r="E2100" s="13" t="s">
        <v>2038</v>
      </c>
      <c r="F2100" s="15">
        <v>0</v>
      </c>
    </row>
    <row r="2101" spans="2:6" hidden="1" x14ac:dyDescent="0.2">
      <c r="B2101" s="14">
        <v>2013</v>
      </c>
      <c r="C2101" s="13" t="s">
        <v>2033</v>
      </c>
      <c r="D2101" s="13" t="s">
        <v>2034</v>
      </c>
      <c r="E2101" s="13" t="s">
        <v>2039</v>
      </c>
      <c r="F2101" s="15">
        <v>1</v>
      </c>
    </row>
    <row r="2102" spans="2:6" hidden="1" x14ac:dyDescent="0.2">
      <c r="B2102" s="14">
        <v>2013</v>
      </c>
      <c r="C2102" s="13" t="s">
        <v>2033</v>
      </c>
      <c r="D2102" s="13" t="s">
        <v>2034</v>
      </c>
      <c r="E2102" s="13" t="s">
        <v>2040</v>
      </c>
      <c r="F2102" s="15">
        <v>0</v>
      </c>
    </row>
    <row r="2103" spans="2:6" hidden="1" x14ac:dyDescent="0.2">
      <c r="B2103" s="14">
        <v>2013</v>
      </c>
      <c r="C2103" s="13" t="s">
        <v>2033</v>
      </c>
      <c r="D2103" s="13" t="s">
        <v>2034</v>
      </c>
      <c r="E2103" s="13" t="s">
        <v>2041</v>
      </c>
      <c r="F2103" s="15">
        <v>0</v>
      </c>
    </row>
    <row r="2104" spans="2:6" hidden="1" x14ac:dyDescent="0.2">
      <c r="B2104" s="14">
        <v>2013</v>
      </c>
      <c r="C2104" s="13" t="s">
        <v>2033</v>
      </c>
      <c r="D2104" s="13" t="s">
        <v>2034</v>
      </c>
      <c r="E2104" s="13" t="s">
        <v>2042</v>
      </c>
      <c r="F2104" s="15">
        <v>1</v>
      </c>
    </row>
    <row r="2105" spans="2:6" hidden="1" x14ac:dyDescent="0.2">
      <c r="B2105" s="14">
        <v>2013</v>
      </c>
      <c r="C2105" s="13" t="s">
        <v>2033</v>
      </c>
      <c r="D2105" s="13" t="s">
        <v>2043</v>
      </c>
      <c r="E2105" s="13" t="s">
        <v>2043</v>
      </c>
      <c r="F2105" s="15">
        <v>50</v>
      </c>
    </row>
    <row r="2106" spans="2:6" hidden="1" x14ac:dyDescent="0.2">
      <c r="B2106" s="14">
        <v>2013</v>
      </c>
      <c r="C2106" s="13" t="s">
        <v>2033</v>
      </c>
      <c r="D2106" s="13" t="s">
        <v>2043</v>
      </c>
      <c r="E2106" s="13" t="s">
        <v>2044</v>
      </c>
      <c r="F2106" s="15">
        <v>2</v>
      </c>
    </row>
    <row r="2107" spans="2:6" hidden="1" x14ac:dyDescent="0.2">
      <c r="B2107" s="14">
        <v>2013</v>
      </c>
      <c r="C2107" s="13" t="s">
        <v>2033</v>
      </c>
      <c r="D2107" s="13" t="s">
        <v>2043</v>
      </c>
      <c r="E2107" s="13" t="s">
        <v>2045</v>
      </c>
      <c r="F2107" s="15">
        <v>0</v>
      </c>
    </row>
    <row r="2108" spans="2:6" hidden="1" x14ac:dyDescent="0.2">
      <c r="B2108" s="14">
        <v>2013</v>
      </c>
      <c r="C2108" s="13" t="s">
        <v>2033</v>
      </c>
      <c r="D2108" s="13" t="s">
        <v>2043</v>
      </c>
      <c r="E2108" s="13" t="s">
        <v>2046</v>
      </c>
      <c r="F2108" s="15">
        <v>6</v>
      </c>
    </row>
    <row r="2109" spans="2:6" hidden="1" x14ac:dyDescent="0.2">
      <c r="B2109" s="14">
        <v>2013</v>
      </c>
      <c r="C2109" s="13" t="s">
        <v>2033</v>
      </c>
      <c r="D2109" s="13" t="s">
        <v>2043</v>
      </c>
      <c r="E2109" s="13" t="s">
        <v>2047</v>
      </c>
      <c r="F2109" s="15">
        <v>0</v>
      </c>
    </row>
    <row r="2110" spans="2:6" hidden="1" x14ac:dyDescent="0.2">
      <c r="B2110" s="14">
        <v>2013</v>
      </c>
      <c r="C2110" s="13" t="s">
        <v>2033</v>
      </c>
      <c r="D2110" s="13" t="s">
        <v>2043</v>
      </c>
      <c r="E2110" s="13" t="s">
        <v>2048</v>
      </c>
      <c r="F2110" s="15">
        <v>0</v>
      </c>
    </row>
    <row r="2111" spans="2:6" hidden="1" x14ac:dyDescent="0.2">
      <c r="B2111" s="14">
        <v>2013</v>
      </c>
      <c r="C2111" s="13" t="s">
        <v>2033</v>
      </c>
      <c r="D2111" s="13" t="s">
        <v>2043</v>
      </c>
      <c r="E2111" s="13" t="s">
        <v>2049</v>
      </c>
      <c r="F2111" s="15">
        <v>4</v>
      </c>
    </row>
    <row r="2112" spans="2:6" hidden="1" x14ac:dyDescent="0.2">
      <c r="B2112" s="14">
        <v>2013</v>
      </c>
      <c r="C2112" s="13" t="s">
        <v>2033</v>
      </c>
      <c r="D2112" s="13" t="s">
        <v>2043</v>
      </c>
      <c r="E2112" s="13" t="s">
        <v>2050</v>
      </c>
      <c r="F2112" s="15">
        <v>0</v>
      </c>
    </row>
    <row r="2113" spans="2:6" hidden="1" x14ac:dyDescent="0.2">
      <c r="B2113" s="14">
        <v>2013</v>
      </c>
      <c r="C2113" s="13" t="s">
        <v>2033</v>
      </c>
      <c r="D2113" s="13" t="s">
        <v>2043</v>
      </c>
      <c r="E2113" s="13" t="s">
        <v>2051</v>
      </c>
      <c r="F2113" s="15">
        <v>7</v>
      </c>
    </row>
    <row r="2114" spans="2:6" hidden="1" x14ac:dyDescent="0.2">
      <c r="B2114" s="14">
        <v>2013</v>
      </c>
      <c r="C2114" s="13" t="s">
        <v>2033</v>
      </c>
      <c r="D2114" s="13" t="s">
        <v>2043</v>
      </c>
      <c r="E2114" s="13" t="s">
        <v>2052</v>
      </c>
      <c r="F2114" s="15">
        <v>0</v>
      </c>
    </row>
    <row r="2115" spans="2:6" hidden="1" x14ac:dyDescent="0.2">
      <c r="B2115" s="14">
        <v>2013</v>
      </c>
      <c r="C2115" s="13" t="s">
        <v>2033</v>
      </c>
      <c r="D2115" s="13" t="s">
        <v>2043</v>
      </c>
      <c r="E2115" s="13" t="s">
        <v>2053</v>
      </c>
      <c r="F2115" s="15">
        <v>2</v>
      </c>
    </row>
    <row r="2116" spans="2:6" hidden="1" x14ac:dyDescent="0.2">
      <c r="B2116" s="14">
        <v>2013</v>
      </c>
      <c r="C2116" s="13" t="s">
        <v>2033</v>
      </c>
      <c r="D2116" s="13" t="s">
        <v>2043</v>
      </c>
      <c r="E2116" s="13" t="s">
        <v>2054</v>
      </c>
      <c r="F2116" s="15">
        <v>0</v>
      </c>
    </row>
    <row r="2117" spans="2:6" hidden="1" x14ac:dyDescent="0.2">
      <c r="B2117" s="14">
        <v>2013</v>
      </c>
      <c r="C2117" s="13" t="s">
        <v>2033</v>
      </c>
      <c r="D2117" s="13" t="s">
        <v>2043</v>
      </c>
      <c r="E2117" s="13" t="s">
        <v>1842</v>
      </c>
      <c r="F2117" s="15">
        <v>6</v>
      </c>
    </row>
    <row r="2118" spans="2:6" hidden="1" x14ac:dyDescent="0.2">
      <c r="B2118" s="14">
        <v>2013</v>
      </c>
      <c r="C2118" s="13" t="s">
        <v>2033</v>
      </c>
      <c r="D2118" s="13" t="s">
        <v>2043</v>
      </c>
      <c r="E2118" s="13" t="s">
        <v>2055</v>
      </c>
      <c r="F2118" s="15">
        <v>0</v>
      </c>
    </row>
    <row r="2119" spans="2:6" hidden="1" x14ac:dyDescent="0.2">
      <c r="B2119" s="14">
        <v>2013</v>
      </c>
      <c r="C2119" s="13" t="s">
        <v>2033</v>
      </c>
      <c r="D2119" s="13" t="s">
        <v>2043</v>
      </c>
      <c r="E2119" s="13" t="s">
        <v>2056</v>
      </c>
      <c r="F2119" s="15">
        <v>3</v>
      </c>
    </row>
    <row r="2120" spans="2:6" hidden="1" x14ac:dyDescent="0.2">
      <c r="B2120" s="14">
        <v>2013</v>
      </c>
      <c r="C2120" s="13" t="s">
        <v>2033</v>
      </c>
      <c r="D2120" s="13" t="s">
        <v>2043</v>
      </c>
      <c r="E2120" s="13" t="s">
        <v>2057</v>
      </c>
      <c r="F2120" s="15">
        <v>2</v>
      </c>
    </row>
    <row r="2121" spans="2:6" hidden="1" x14ac:dyDescent="0.2">
      <c r="B2121" s="14">
        <v>2013</v>
      </c>
      <c r="C2121" s="13" t="s">
        <v>2033</v>
      </c>
      <c r="D2121" s="13" t="s">
        <v>2043</v>
      </c>
      <c r="E2121" s="13" t="s">
        <v>2058</v>
      </c>
      <c r="F2121" s="15">
        <v>0</v>
      </c>
    </row>
    <row r="2122" spans="2:6" hidden="1" x14ac:dyDescent="0.2">
      <c r="B2122" s="14">
        <v>2013</v>
      </c>
      <c r="C2122" s="13" t="s">
        <v>2033</v>
      </c>
      <c r="D2122" s="13" t="s">
        <v>2043</v>
      </c>
      <c r="E2122" s="13" t="s">
        <v>2059</v>
      </c>
      <c r="F2122" s="15">
        <v>0</v>
      </c>
    </row>
    <row r="2123" spans="2:6" hidden="1" x14ac:dyDescent="0.2">
      <c r="B2123" s="14">
        <v>2013</v>
      </c>
      <c r="C2123" s="13" t="s">
        <v>2033</v>
      </c>
      <c r="D2123" s="13" t="s">
        <v>2043</v>
      </c>
      <c r="E2123" s="13" t="s">
        <v>2060</v>
      </c>
      <c r="F2123" s="15">
        <v>0</v>
      </c>
    </row>
    <row r="2124" spans="2:6" hidden="1" x14ac:dyDescent="0.2">
      <c r="B2124" s="14">
        <v>2013</v>
      </c>
      <c r="C2124" s="13" t="s">
        <v>2033</v>
      </c>
      <c r="D2124" s="13" t="s">
        <v>2061</v>
      </c>
      <c r="E2124" s="13" t="s">
        <v>2061</v>
      </c>
      <c r="F2124" s="15">
        <v>1</v>
      </c>
    </row>
    <row r="2125" spans="2:6" hidden="1" x14ac:dyDescent="0.2">
      <c r="B2125" s="14">
        <v>2013</v>
      </c>
      <c r="C2125" s="13" t="s">
        <v>2033</v>
      </c>
      <c r="D2125" s="13" t="s">
        <v>2061</v>
      </c>
      <c r="E2125" s="13" t="s">
        <v>2062</v>
      </c>
      <c r="F2125" s="15">
        <v>0</v>
      </c>
    </row>
    <row r="2126" spans="2:6" hidden="1" x14ac:dyDescent="0.2">
      <c r="B2126" s="14">
        <v>2013</v>
      </c>
      <c r="C2126" s="13" t="s">
        <v>2033</v>
      </c>
      <c r="D2126" s="13" t="s">
        <v>2061</v>
      </c>
      <c r="E2126" s="13" t="s">
        <v>2063</v>
      </c>
      <c r="F2126" s="15">
        <v>1</v>
      </c>
    </row>
    <row r="2127" spans="2:6" hidden="1" x14ac:dyDescent="0.2">
      <c r="B2127" s="14">
        <v>2013</v>
      </c>
      <c r="C2127" s="13" t="s">
        <v>2033</v>
      </c>
      <c r="D2127" s="13" t="s">
        <v>2061</v>
      </c>
      <c r="E2127" s="13" t="s">
        <v>2064</v>
      </c>
      <c r="F2127" s="15">
        <v>0</v>
      </c>
    </row>
    <row r="2128" spans="2:6" hidden="1" x14ac:dyDescent="0.2">
      <c r="B2128" s="14">
        <v>2013</v>
      </c>
      <c r="C2128" s="13" t="s">
        <v>2033</v>
      </c>
      <c r="D2128" s="13" t="s">
        <v>2061</v>
      </c>
      <c r="E2128" s="13" t="s">
        <v>2065</v>
      </c>
      <c r="F2128" s="15">
        <v>5</v>
      </c>
    </row>
    <row r="2129" spans="2:6" hidden="1" x14ac:dyDescent="0.2">
      <c r="B2129" s="14">
        <v>2013</v>
      </c>
      <c r="C2129" s="13" t="s">
        <v>2033</v>
      </c>
      <c r="D2129" s="13" t="s">
        <v>2061</v>
      </c>
      <c r="E2129" s="13" t="s">
        <v>2066</v>
      </c>
      <c r="F2129" s="15">
        <v>2</v>
      </c>
    </row>
    <row r="2130" spans="2:6" hidden="1" x14ac:dyDescent="0.2">
      <c r="B2130" s="14">
        <v>2013</v>
      </c>
      <c r="C2130" s="13" t="s">
        <v>2033</v>
      </c>
      <c r="D2130" s="13" t="s">
        <v>2061</v>
      </c>
      <c r="E2130" s="13" t="s">
        <v>2067</v>
      </c>
      <c r="F2130" s="15">
        <v>0</v>
      </c>
    </row>
    <row r="2131" spans="2:6" hidden="1" x14ac:dyDescent="0.2">
      <c r="B2131" s="14">
        <v>2013</v>
      </c>
      <c r="C2131" s="13" t="s">
        <v>2033</v>
      </c>
      <c r="D2131" s="13" t="s">
        <v>2068</v>
      </c>
      <c r="E2131" s="13" t="s">
        <v>2069</v>
      </c>
      <c r="F2131" s="15">
        <v>5</v>
      </c>
    </row>
    <row r="2132" spans="2:6" hidden="1" x14ac:dyDescent="0.2">
      <c r="B2132" s="14">
        <v>2013</v>
      </c>
      <c r="C2132" s="13" t="s">
        <v>2033</v>
      </c>
      <c r="D2132" s="13" t="s">
        <v>2068</v>
      </c>
      <c r="E2132" s="13" t="s">
        <v>2070</v>
      </c>
      <c r="F2132" s="15">
        <v>0</v>
      </c>
    </row>
    <row r="2133" spans="2:6" hidden="1" x14ac:dyDescent="0.2">
      <c r="B2133" s="14">
        <v>2013</v>
      </c>
      <c r="C2133" s="13" t="s">
        <v>2033</v>
      </c>
      <c r="D2133" s="13" t="s">
        <v>2068</v>
      </c>
      <c r="E2133" s="13" t="s">
        <v>2071</v>
      </c>
      <c r="F2133" s="15">
        <v>0</v>
      </c>
    </row>
    <row r="2134" spans="2:6" hidden="1" x14ac:dyDescent="0.2">
      <c r="B2134" s="14">
        <v>2013</v>
      </c>
      <c r="C2134" s="13" t="s">
        <v>2033</v>
      </c>
      <c r="D2134" s="13" t="s">
        <v>2068</v>
      </c>
      <c r="E2134" s="13" t="s">
        <v>2072</v>
      </c>
      <c r="F2134" s="15">
        <v>0</v>
      </c>
    </row>
    <row r="2135" spans="2:6" hidden="1" x14ac:dyDescent="0.2">
      <c r="B2135" s="14">
        <v>2013</v>
      </c>
      <c r="C2135" s="13" t="s">
        <v>2033</v>
      </c>
      <c r="D2135" s="13" t="s">
        <v>2068</v>
      </c>
      <c r="E2135" s="13" t="s">
        <v>1872</v>
      </c>
      <c r="F2135" s="15">
        <v>0</v>
      </c>
    </row>
    <row r="2136" spans="2:6" hidden="1" x14ac:dyDescent="0.2">
      <c r="B2136" s="14">
        <v>2013</v>
      </c>
      <c r="C2136" s="13" t="s">
        <v>2033</v>
      </c>
      <c r="D2136" s="13" t="s">
        <v>2068</v>
      </c>
      <c r="E2136" s="13" t="s">
        <v>2073</v>
      </c>
      <c r="F2136" s="15">
        <v>1</v>
      </c>
    </row>
    <row r="2137" spans="2:6" hidden="1" x14ac:dyDescent="0.2">
      <c r="B2137" s="14">
        <v>2013</v>
      </c>
      <c r="C2137" s="13" t="s">
        <v>2033</v>
      </c>
      <c r="D2137" s="13" t="s">
        <v>2068</v>
      </c>
      <c r="E2137" s="13" t="s">
        <v>2074</v>
      </c>
      <c r="F2137" s="15">
        <v>0</v>
      </c>
    </row>
    <row r="2138" spans="2:6" hidden="1" x14ac:dyDescent="0.2">
      <c r="B2138" s="14">
        <v>2013</v>
      </c>
      <c r="C2138" s="13" t="s">
        <v>2033</v>
      </c>
      <c r="D2138" s="13" t="s">
        <v>2068</v>
      </c>
      <c r="E2138" s="13" t="s">
        <v>2075</v>
      </c>
      <c r="F2138" s="15">
        <v>0</v>
      </c>
    </row>
    <row r="2139" spans="2:6" hidden="1" x14ac:dyDescent="0.2">
      <c r="B2139" s="14">
        <v>2013</v>
      </c>
      <c r="C2139" s="13" t="s">
        <v>2033</v>
      </c>
      <c r="D2139" s="13" t="s">
        <v>2068</v>
      </c>
      <c r="E2139" s="13" t="s">
        <v>2076</v>
      </c>
      <c r="F2139" s="15">
        <v>0</v>
      </c>
    </row>
    <row r="2140" spans="2:6" hidden="1" x14ac:dyDescent="0.2">
      <c r="B2140" s="14">
        <v>2013</v>
      </c>
      <c r="C2140" s="13" t="s">
        <v>2033</v>
      </c>
      <c r="D2140" s="13" t="s">
        <v>2068</v>
      </c>
      <c r="E2140" s="13" t="s">
        <v>2077</v>
      </c>
      <c r="F2140" s="15">
        <v>0</v>
      </c>
    </row>
    <row r="2141" spans="2:6" hidden="1" x14ac:dyDescent="0.2">
      <c r="B2141" s="14">
        <v>2013</v>
      </c>
      <c r="C2141" s="13" t="s">
        <v>2033</v>
      </c>
      <c r="D2141" s="13" t="s">
        <v>2068</v>
      </c>
      <c r="E2141" s="13" t="s">
        <v>2078</v>
      </c>
      <c r="F2141" s="15">
        <v>1</v>
      </c>
    </row>
    <row r="2142" spans="2:6" hidden="1" x14ac:dyDescent="0.2">
      <c r="B2142" s="14">
        <v>2013</v>
      </c>
      <c r="C2142" s="13" t="s">
        <v>2033</v>
      </c>
      <c r="D2142" s="13" t="s">
        <v>2068</v>
      </c>
      <c r="E2142" s="13" t="s">
        <v>2079</v>
      </c>
      <c r="F2142" s="15">
        <v>0</v>
      </c>
    </row>
    <row r="2143" spans="2:6" hidden="1" x14ac:dyDescent="0.2">
      <c r="B2143" s="14">
        <v>2013</v>
      </c>
      <c r="C2143" s="13" t="s">
        <v>2033</v>
      </c>
      <c r="D2143" s="13" t="s">
        <v>2068</v>
      </c>
      <c r="E2143" s="13" t="s">
        <v>2080</v>
      </c>
      <c r="F2143" s="15">
        <v>0</v>
      </c>
    </row>
    <row r="2144" spans="2:6" hidden="1" x14ac:dyDescent="0.2">
      <c r="B2144" s="14">
        <v>2013</v>
      </c>
      <c r="C2144" s="13" t="s">
        <v>2033</v>
      </c>
      <c r="D2144" s="13" t="s">
        <v>2068</v>
      </c>
      <c r="E2144" s="13" t="s">
        <v>2081</v>
      </c>
      <c r="F2144" s="15">
        <v>0</v>
      </c>
    </row>
    <row r="2145" spans="2:6" hidden="1" x14ac:dyDescent="0.2">
      <c r="B2145" s="14">
        <v>2013</v>
      </c>
      <c r="C2145" s="13" t="s">
        <v>2033</v>
      </c>
      <c r="D2145" s="13" t="s">
        <v>2068</v>
      </c>
      <c r="E2145" s="13" t="s">
        <v>2082</v>
      </c>
      <c r="F2145" s="15">
        <v>0</v>
      </c>
    </row>
    <row r="2146" spans="2:6" hidden="1" x14ac:dyDescent="0.2">
      <c r="B2146" s="14">
        <v>2013</v>
      </c>
      <c r="C2146" s="13" t="s">
        <v>2033</v>
      </c>
      <c r="D2146" s="13" t="s">
        <v>2068</v>
      </c>
      <c r="E2146" s="13" t="s">
        <v>2083</v>
      </c>
      <c r="F2146" s="15">
        <v>1</v>
      </c>
    </row>
    <row r="2147" spans="2:6" hidden="1" x14ac:dyDescent="0.2">
      <c r="B2147" s="14">
        <v>2013</v>
      </c>
      <c r="C2147" s="13" t="s">
        <v>2033</v>
      </c>
      <c r="D2147" s="13" t="s">
        <v>2068</v>
      </c>
      <c r="E2147" s="13" t="s">
        <v>2084</v>
      </c>
      <c r="F2147" s="15">
        <v>0</v>
      </c>
    </row>
    <row r="2148" spans="2:6" hidden="1" x14ac:dyDescent="0.2">
      <c r="B2148" s="14">
        <v>2013</v>
      </c>
      <c r="C2148" s="13" t="s">
        <v>2033</v>
      </c>
      <c r="D2148" s="13" t="s">
        <v>2085</v>
      </c>
      <c r="E2148" s="13" t="s">
        <v>2086</v>
      </c>
      <c r="F2148" s="15">
        <v>2</v>
      </c>
    </row>
    <row r="2149" spans="2:6" hidden="1" x14ac:dyDescent="0.2">
      <c r="B2149" s="14">
        <v>2013</v>
      </c>
      <c r="C2149" s="13" t="s">
        <v>2033</v>
      </c>
      <c r="D2149" s="13" t="s">
        <v>2085</v>
      </c>
      <c r="E2149" s="13" t="s">
        <v>2085</v>
      </c>
      <c r="F2149" s="15">
        <v>6</v>
      </c>
    </row>
    <row r="2150" spans="2:6" hidden="1" x14ac:dyDescent="0.2">
      <c r="B2150" s="14">
        <v>2013</v>
      </c>
      <c r="C2150" s="13" t="s">
        <v>2033</v>
      </c>
      <c r="D2150" s="13" t="s">
        <v>2085</v>
      </c>
      <c r="E2150" s="13" t="s">
        <v>2087</v>
      </c>
      <c r="F2150" s="15">
        <v>1</v>
      </c>
    </row>
    <row r="2151" spans="2:6" hidden="1" x14ac:dyDescent="0.2">
      <c r="B2151" s="14">
        <v>2013</v>
      </c>
      <c r="C2151" s="13" t="s">
        <v>2033</v>
      </c>
      <c r="D2151" s="13" t="s">
        <v>2085</v>
      </c>
      <c r="E2151" s="13" t="s">
        <v>2088</v>
      </c>
      <c r="F2151" s="15">
        <v>8</v>
      </c>
    </row>
    <row r="2152" spans="2:6" hidden="1" x14ac:dyDescent="0.2">
      <c r="B2152" s="14">
        <v>2013</v>
      </c>
      <c r="C2152" s="13" t="s">
        <v>2033</v>
      </c>
      <c r="D2152" s="13" t="s">
        <v>2085</v>
      </c>
      <c r="E2152" s="13" t="s">
        <v>2089</v>
      </c>
      <c r="F2152" s="15">
        <v>4</v>
      </c>
    </row>
    <row r="2153" spans="2:6" hidden="1" x14ac:dyDescent="0.2">
      <c r="B2153" s="14">
        <v>2013</v>
      </c>
      <c r="C2153" s="13" t="s">
        <v>2033</v>
      </c>
      <c r="D2153" s="13" t="s">
        <v>2085</v>
      </c>
      <c r="E2153" s="13" t="s">
        <v>2090</v>
      </c>
      <c r="F2153" s="15">
        <v>30</v>
      </c>
    </row>
    <row r="2154" spans="2:6" hidden="1" x14ac:dyDescent="0.2">
      <c r="B2154" s="14">
        <v>2013</v>
      </c>
      <c r="C2154" s="13" t="s">
        <v>2033</v>
      </c>
      <c r="D2154" s="13" t="s">
        <v>2091</v>
      </c>
      <c r="E2154" s="13" t="s">
        <v>2091</v>
      </c>
      <c r="F2154" s="15">
        <v>2</v>
      </c>
    </row>
    <row r="2155" spans="2:6" hidden="1" x14ac:dyDescent="0.2">
      <c r="B2155" s="14">
        <v>2013</v>
      </c>
      <c r="C2155" s="13" t="s">
        <v>2033</v>
      </c>
      <c r="D2155" s="13" t="s">
        <v>2091</v>
      </c>
      <c r="E2155" s="13" t="s">
        <v>2092</v>
      </c>
      <c r="F2155" s="15">
        <v>0</v>
      </c>
    </row>
    <row r="2156" spans="2:6" hidden="1" x14ac:dyDescent="0.2">
      <c r="B2156" s="14">
        <v>2013</v>
      </c>
      <c r="C2156" s="13" t="s">
        <v>2033</v>
      </c>
      <c r="D2156" s="13" t="s">
        <v>2091</v>
      </c>
      <c r="E2156" s="13" t="s">
        <v>2093</v>
      </c>
      <c r="F2156" s="15">
        <v>0</v>
      </c>
    </row>
    <row r="2157" spans="2:6" hidden="1" x14ac:dyDescent="0.2">
      <c r="B2157" s="14">
        <v>2013</v>
      </c>
      <c r="C2157" s="13" t="s">
        <v>2033</v>
      </c>
      <c r="D2157" s="13" t="s">
        <v>2091</v>
      </c>
      <c r="E2157" s="13" t="s">
        <v>2094</v>
      </c>
      <c r="F2157" s="15">
        <v>2</v>
      </c>
    </row>
    <row r="2158" spans="2:6" hidden="1" x14ac:dyDescent="0.2">
      <c r="B2158" s="14">
        <v>2013</v>
      </c>
      <c r="C2158" s="13" t="s">
        <v>2033</v>
      </c>
      <c r="D2158" s="13" t="s">
        <v>2091</v>
      </c>
      <c r="E2158" s="13" t="s">
        <v>2095</v>
      </c>
      <c r="F2158" s="15">
        <v>3</v>
      </c>
    </row>
    <row r="2159" spans="2:6" hidden="1" x14ac:dyDescent="0.2">
      <c r="B2159" s="14">
        <v>2013</v>
      </c>
      <c r="C2159" s="13" t="s">
        <v>2033</v>
      </c>
      <c r="D2159" s="13" t="s">
        <v>2091</v>
      </c>
      <c r="E2159" s="13" t="s">
        <v>2096</v>
      </c>
      <c r="F2159" s="15">
        <v>2</v>
      </c>
    </row>
    <row r="2160" spans="2:6" hidden="1" x14ac:dyDescent="0.2">
      <c r="B2160" s="14">
        <v>2013</v>
      </c>
      <c r="C2160" s="13" t="s">
        <v>2033</v>
      </c>
      <c r="D2160" s="13" t="s">
        <v>2091</v>
      </c>
      <c r="E2160" s="13" t="s">
        <v>2097</v>
      </c>
      <c r="F2160" s="15">
        <v>0</v>
      </c>
    </row>
    <row r="2161" spans="2:6" hidden="1" x14ac:dyDescent="0.2">
      <c r="B2161" s="14">
        <v>2013</v>
      </c>
      <c r="C2161" s="13" t="s">
        <v>2033</v>
      </c>
      <c r="D2161" s="13" t="s">
        <v>2091</v>
      </c>
      <c r="E2161" s="13" t="s">
        <v>2098</v>
      </c>
      <c r="F2161" s="15">
        <v>0</v>
      </c>
    </row>
    <row r="2162" spans="2:6" hidden="1" x14ac:dyDescent="0.2">
      <c r="B2162" s="14">
        <v>2013</v>
      </c>
      <c r="C2162" s="13" t="s">
        <v>2033</v>
      </c>
      <c r="D2162" s="13" t="s">
        <v>2099</v>
      </c>
      <c r="E2162" s="13" t="s">
        <v>2100</v>
      </c>
      <c r="F2162" s="15">
        <v>2</v>
      </c>
    </row>
    <row r="2163" spans="2:6" hidden="1" x14ac:dyDescent="0.2">
      <c r="B2163" s="14">
        <v>2013</v>
      </c>
      <c r="C2163" s="13" t="s">
        <v>2033</v>
      </c>
      <c r="D2163" s="13" t="s">
        <v>2099</v>
      </c>
      <c r="E2163" s="13" t="s">
        <v>2101</v>
      </c>
      <c r="F2163" s="15">
        <v>1</v>
      </c>
    </row>
    <row r="2164" spans="2:6" hidden="1" x14ac:dyDescent="0.2">
      <c r="B2164" s="14">
        <v>2013</v>
      </c>
      <c r="C2164" s="13" t="s">
        <v>2033</v>
      </c>
      <c r="D2164" s="13" t="s">
        <v>2099</v>
      </c>
      <c r="E2164" s="13" t="s">
        <v>2102</v>
      </c>
      <c r="F2164" s="15">
        <v>0</v>
      </c>
    </row>
    <row r="2165" spans="2:6" hidden="1" x14ac:dyDescent="0.2">
      <c r="B2165" s="14">
        <v>2013</v>
      </c>
      <c r="C2165" s="13" t="s">
        <v>2033</v>
      </c>
      <c r="D2165" s="13" t="s">
        <v>2099</v>
      </c>
      <c r="E2165" s="13" t="s">
        <v>2103</v>
      </c>
      <c r="F2165" s="15">
        <v>0</v>
      </c>
    </row>
    <row r="2166" spans="2:6" hidden="1" x14ac:dyDescent="0.2">
      <c r="B2166" s="14">
        <v>2013</v>
      </c>
      <c r="C2166" s="13" t="s">
        <v>2033</v>
      </c>
      <c r="D2166" s="13" t="s">
        <v>2099</v>
      </c>
      <c r="E2166" s="13" t="s">
        <v>2104</v>
      </c>
      <c r="F2166" s="15">
        <v>0</v>
      </c>
    </row>
    <row r="2167" spans="2:6" hidden="1" x14ac:dyDescent="0.2">
      <c r="B2167" s="14">
        <v>2013</v>
      </c>
      <c r="C2167" s="13" t="s">
        <v>2033</v>
      </c>
      <c r="D2167" s="13" t="s">
        <v>2099</v>
      </c>
      <c r="E2167" s="13" t="s">
        <v>2105</v>
      </c>
      <c r="F2167" s="15">
        <v>0</v>
      </c>
    </row>
    <row r="2168" spans="2:6" hidden="1" x14ac:dyDescent="0.2">
      <c r="B2168" s="14">
        <v>2013</v>
      </c>
      <c r="C2168" s="13" t="s">
        <v>2033</v>
      </c>
      <c r="D2168" s="13" t="s">
        <v>2099</v>
      </c>
      <c r="E2168" s="13" t="s">
        <v>2106</v>
      </c>
      <c r="F2168" s="15">
        <v>0</v>
      </c>
    </row>
    <row r="2169" spans="2:6" hidden="1" x14ac:dyDescent="0.2">
      <c r="B2169" s="14">
        <v>2013</v>
      </c>
      <c r="C2169" s="13" t="s">
        <v>2033</v>
      </c>
      <c r="D2169" s="13" t="s">
        <v>2099</v>
      </c>
      <c r="E2169" s="13" t="s">
        <v>2107</v>
      </c>
      <c r="F2169" s="15">
        <v>1</v>
      </c>
    </row>
    <row r="2170" spans="2:6" hidden="1" x14ac:dyDescent="0.2">
      <c r="B2170" s="14">
        <v>2013</v>
      </c>
      <c r="C2170" s="13" t="s">
        <v>2033</v>
      </c>
      <c r="D2170" s="13" t="s">
        <v>2099</v>
      </c>
      <c r="E2170" s="13" t="s">
        <v>2108</v>
      </c>
      <c r="F2170" s="15">
        <v>0</v>
      </c>
    </row>
    <row r="2171" spans="2:6" hidden="1" x14ac:dyDescent="0.2">
      <c r="B2171" s="14">
        <v>2013</v>
      </c>
      <c r="C2171" s="13" t="s">
        <v>2033</v>
      </c>
      <c r="D2171" s="13" t="s">
        <v>2099</v>
      </c>
      <c r="E2171" s="13" t="s">
        <v>1858</v>
      </c>
      <c r="F2171" s="15">
        <v>0</v>
      </c>
    </row>
    <row r="2172" spans="2:6" hidden="1" x14ac:dyDescent="0.2">
      <c r="B2172" s="14">
        <v>2013</v>
      </c>
      <c r="C2172" s="13" t="s">
        <v>2033</v>
      </c>
      <c r="D2172" s="13" t="s">
        <v>2099</v>
      </c>
      <c r="E2172" s="13" t="s">
        <v>2109</v>
      </c>
      <c r="F2172" s="15">
        <v>0</v>
      </c>
    </row>
    <row r="2173" spans="2:6" hidden="1" x14ac:dyDescent="0.2">
      <c r="B2173" s="14">
        <v>2013</v>
      </c>
      <c r="C2173" s="13" t="s">
        <v>2033</v>
      </c>
      <c r="D2173" s="13" t="s">
        <v>2099</v>
      </c>
      <c r="E2173" s="13" t="s">
        <v>2110</v>
      </c>
      <c r="F2173" s="15">
        <v>10</v>
      </c>
    </row>
    <row r="2174" spans="2:6" hidden="1" x14ac:dyDescent="0.2">
      <c r="B2174" s="14">
        <v>2013</v>
      </c>
      <c r="C2174" s="13" t="s">
        <v>2033</v>
      </c>
      <c r="D2174" s="13" t="s">
        <v>2099</v>
      </c>
      <c r="E2174" s="13" t="s">
        <v>2111</v>
      </c>
      <c r="F2174" s="15">
        <v>0</v>
      </c>
    </row>
    <row r="2175" spans="2:6" hidden="1" x14ac:dyDescent="0.2">
      <c r="B2175" s="14">
        <v>2013</v>
      </c>
      <c r="C2175" s="13" t="s">
        <v>2033</v>
      </c>
      <c r="D2175" s="13" t="s">
        <v>2099</v>
      </c>
      <c r="E2175" s="13" t="s">
        <v>2112</v>
      </c>
      <c r="F2175" s="15">
        <v>0</v>
      </c>
    </row>
    <row r="2176" spans="2:6" hidden="1" x14ac:dyDescent="0.2">
      <c r="B2176" s="14">
        <v>2013</v>
      </c>
      <c r="C2176" s="13" t="s">
        <v>2113</v>
      </c>
      <c r="D2176" s="13" t="s">
        <v>2113</v>
      </c>
      <c r="E2176" s="13" t="s">
        <v>2113</v>
      </c>
      <c r="F2176" s="15">
        <v>112</v>
      </c>
    </row>
    <row r="2177" spans="2:6" hidden="1" x14ac:dyDescent="0.2">
      <c r="B2177" s="14">
        <v>2013</v>
      </c>
      <c r="C2177" s="13" t="s">
        <v>2113</v>
      </c>
      <c r="D2177" s="13" t="s">
        <v>2113</v>
      </c>
      <c r="E2177" s="13" t="s">
        <v>2114</v>
      </c>
      <c r="F2177" s="15">
        <v>32</v>
      </c>
    </row>
    <row r="2178" spans="2:6" hidden="1" x14ac:dyDescent="0.2">
      <c r="B2178" s="14">
        <v>2013</v>
      </c>
      <c r="C2178" s="13" t="s">
        <v>2113</v>
      </c>
      <c r="D2178" s="13" t="s">
        <v>2113</v>
      </c>
      <c r="E2178" s="13" t="s">
        <v>2115</v>
      </c>
      <c r="F2178" s="15">
        <v>38</v>
      </c>
    </row>
    <row r="2179" spans="2:6" hidden="1" x14ac:dyDescent="0.2">
      <c r="B2179" s="14">
        <v>2013</v>
      </c>
      <c r="C2179" s="13" t="s">
        <v>2113</v>
      </c>
      <c r="D2179" s="13" t="s">
        <v>2113</v>
      </c>
      <c r="E2179" s="13" t="s">
        <v>2116</v>
      </c>
      <c r="F2179" s="15">
        <v>50</v>
      </c>
    </row>
    <row r="2180" spans="2:6" hidden="1" x14ac:dyDescent="0.2">
      <c r="B2180" s="14">
        <v>2013</v>
      </c>
      <c r="C2180" s="13" t="s">
        <v>2113</v>
      </c>
      <c r="D2180" s="13" t="s">
        <v>2113</v>
      </c>
      <c r="E2180" s="13" t="s">
        <v>2117</v>
      </c>
      <c r="F2180" s="15">
        <v>1</v>
      </c>
    </row>
    <row r="2181" spans="2:6" hidden="1" x14ac:dyDescent="0.2">
      <c r="B2181" s="14">
        <v>2013</v>
      </c>
      <c r="C2181" s="13" t="s">
        <v>2113</v>
      </c>
      <c r="D2181" s="13" t="s">
        <v>2113</v>
      </c>
      <c r="E2181" s="13" t="s">
        <v>2118</v>
      </c>
      <c r="F2181" s="15">
        <v>2</v>
      </c>
    </row>
    <row r="2182" spans="2:6" hidden="1" x14ac:dyDescent="0.2">
      <c r="B2182" s="14">
        <v>2013</v>
      </c>
      <c r="C2182" s="13" t="s">
        <v>2113</v>
      </c>
      <c r="D2182" s="13" t="s">
        <v>2113</v>
      </c>
      <c r="E2182" s="13" t="s">
        <v>2119</v>
      </c>
      <c r="F2182" s="15">
        <v>44</v>
      </c>
    </row>
    <row r="2183" spans="2:6" hidden="1" x14ac:dyDescent="0.2">
      <c r="B2183" s="14">
        <v>2013</v>
      </c>
      <c r="C2183" s="13" t="s">
        <v>2113</v>
      </c>
      <c r="D2183" s="13" t="s">
        <v>2113</v>
      </c>
      <c r="E2183" s="13" t="s">
        <v>2120</v>
      </c>
      <c r="F2183" s="15">
        <v>19</v>
      </c>
    </row>
    <row r="2184" spans="2:6" hidden="1" x14ac:dyDescent="0.2">
      <c r="B2184" s="14">
        <v>2013</v>
      </c>
      <c r="C2184" s="13" t="s">
        <v>2113</v>
      </c>
      <c r="D2184" s="13" t="s">
        <v>2113</v>
      </c>
      <c r="E2184" s="13" t="s">
        <v>2121</v>
      </c>
      <c r="F2184" s="15">
        <v>26</v>
      </c>
    </row>
    <row r="2185" spans="2:6" hidden="1" x14ac:dyDescent="0.2">
      <c r="B2185" s="14">
        <v>2013</v>
      </c>
      <c r="C2185" s="13" t="s">
        <v>2113</v>
      </c>
      <c r="D2185" s="13" t="s">
        <v>2113</v>
      </c>
      <c r="E2185" s="13" t="s">
        <v>2122</v>
      </c>
      <c r="F2185" s="15">
        <v>38</v>
      </c>
    </row>
    <row r="2186" spans="2:6" hidden="1" x14ac:dyDescent="0.2">
      <c r="B2186" s="14">
        <v>2013</v>
      </c>
      <c r="C2186" s="13" t="s">
        <v>2113</v>
      </c>
      <c r="D2186" s="13" t="s">
        <v>2113</v>
      </c>
      <c r="E2186" s="13" t="s">
        <v>2123</v>
      </c>
      <c r="F2186" s="15">
        <v>0</v>
      </c>
    </row>
    <row r="2187" spans="2:6" hidden="1" x14ac:dyDescent="0.2">
      <c r="B2187" s="14">
        <v>2013</v>
      </c>
      <c r="C2187" s="13" t="s">
        <v>2113</v>
      </c>
      <c r="D2187" s="13" t="s">
        <v>2113</v>
      </c>
      <c r="E2187" s="13" t="s">
        <v>2124</v>
      </c>
      <c r="F2187" s="15">
        <v>7</v>
      </c>
    </row>
    <row r="2188" spans="2:6" hidden="1" x14ac:dyDescent="0.2">
      <c r="B2188" s="14">
        <v>2013</v>
      </c>
      <c r="C2188" s="13" t="s">
        <v>2113</v>
      </c>
      <c r="D2188" s="13" t="s">
        <v>2113</v>
      </c>
      <c r="E2188" s="13" t="s">
        <v>2125</v>
      </c>
      <c r="F2188" s="15">
        <v>0</v>
      </c>
    </row>
    <row r="2189" spans="2:6" hidden="1" x14ac:dyDescent="0.2">
      <c r="B2189" s="14">
        <v>2013</v>
      </c>
      <c r="C2189" s="13" t="s">
        <v>2113</v>
      </c>
      <c r="D2189" s="13" t="s">
        <v>2113</v>
      </c>
      <c r="E2189" s="13" t="s">
        <v>2126</v>
      </c>
      <c r="F2189" s="15">
        <v>0</v>
      </c>
    </row>
    <row r="2190" spans="2:6" hidden="1" x14ac:dyDescent="0.2">
      <c r="B2190" s="14">
        <v>2013</v>
      </c>
      <c r="C2190" s="13" t="s">
        <v>2113</v>
      </c>
      <c r="D2190" s="13" t="s">
        <v>2113</v>
      </c>
      <c r="E2190" s="13" t="s">
        <v>2127</v>
      </c>
      <c r="F2190" s="15">
        <v>0</v>
      </c>
    </row>
    <row r="2191" spans="2:6" hidden="1" x14ac:dyDescent="0.2">
      <c r="B2191" s="14">
        <v>2013</v>
      </c>
      <c r="C2191" s="13" t="s">
        <v>2113</v>
      </c>
      <c r="D2191" s="13" t="s">
        <v>2113</v>
      </c>
      <c r="E2191" s="13" t="s">
        <v>2128</v>
      </c>
      <c r="F2191" s="15">
        <v>1</v>
      </c>
    </row>
    <row r="2192" spans="2:6" hidden="1" x14ac:dyDescent="0.2">
      <c r="B2192" s="14">
        <v>2013</v>
      </c>
      <c r="C2192" s="13" t="s">
        <v>2113</v>
      </c>
      <c r="D2192" s="13" t="s">
        <v>2113</v>
      </c>
      <c r="E2192" s="13" t="s">
        <v>2129</v>
      </c>
      <c r="F2192" s="15">
        <v>14</v>
      </c>
    </row>
    <row r="2193" spans="2:6" hidden="1" x14ac:dyDescent="0.2">
      <c r="B2193" s="14">
        <v>2013</v>
      </c>
      <c r="C2193" s="13" t="s">
        <v>2113</v>
      </c>
      <c r="D2193" s="13" t="s">
        <v>2113</v>
      </c>
      <c r="E2193" s="13" t="s">
        <v>2130</v>
      </c>
      <c r="F2193" s="15">
        <v>0</v>
      </c>
    </row>
    <row r="2194" spans="2:6" hidden="1" x14ac:dyDescent="0.2">
      <c r="B2194" s="14">
        <v>2013</v>
      </c>
      <c r="C2194" s="13" t="s">
        <v>2113</v>
      </c>
      <c r="D2194" s="13" t="s">
        <v>2113</v>
      </c>
      <c r="E2194" s="13" t="s">
        <v>2131</v>
      </c>
      <c r="F2194" s="15">
        <v>0</v>
      </c>
    </row>
    <row r="2195" spans="2:6" hidden="1" x14ac:dyDescent="0.2">
      <c r="B2195" s="14">
        <v>2013</v>
      </c>
      <c r="C2195" s="13" t="s">
        <v>2113</v>
      </c>
      <c r="D2195" s="13" t="s">
        <v>2113</v>
      </c>
      <c r="E2195" s="13" t="s">
        <v>2132</v>
      </c>
      <c r="F2195" s="15">
        <v>0</v>
      </c>
    </row>
    <row r="2196" spans="2:6" hidden="1" x14ac:dyDescent="0.2">
      <c r="B2196" s="14">
        <v>2013</v>
      </c>
      <c r="C2196" s="13" t="s">
        <v>2113</v>
      </c>
      <c r="D2196" s="13" t="s">
        <v>2113</v>
      </c>
      <c r="E2196" s="13" t="s">
        <v>2133</v>
      </c>
      <c r="F2196" s="15">
        <v>0</v>
      </c>
    </row>
    <row r="2197" spans="2:6" hidden="1" x14ac:dyDescent="0.2">
      <c r="B2197" s="14">
        <v>2013</v>
      </c>
      <c r="C2197" s="13" t="s">
        <v>2113</v>
      </c>
      <c r="D2197" s="13" t="s">
        <v>2113</v>
      </c>
      <c r="E2197" s="13" t="s">
        <v>2134</v>
      </c>
      <c r="F2197" s="15">
        <v>67</v>
      </c>
    </row>
    <row r="2198" spans="2:6" hidden="1" x14ac:dyDescent="0.2">
      <c r="B2198" s="14">
        <v>2013</v>
      </c>
      <c r="C2198" s="13" t="s">
        <v>2113</v>
      </c>
      <c r="D2198" s="13" t="s">
        <v>2113</v>
      </c>
      <c r="E2198" s="13" t="s">
        <v>2135</v>
      </c>
      <c r="F2198" s="15">
        <v>13</v>
      </c>
    </row>
    <row r="2199" spans="2:6" hidden="1" x14ac:dyDescent="0.2">
      <c r="B2199" s="14">
        <v>2013</v>
      </c>
      <c r="C2199" s="13" t="s">
        <v>2113</v>
      </c>
      <c r="D2199" s="13" t="s">
        <v>2113</v>
      </c>
      <c r="E2199" s="13" t="s">
        <v>2136</v>
      </c>
      <c r="F2199" s="15">
        <v>4</v>
      </c>
    </row>
    <row r="2200" spans="2:6" hidden="1" x14ac:dyDescent="0.2">
      <c r="B2200" s="14">
        <v>2013</v>
      </c>
      <c r="C2200" s="13" t="s">
        <v>2113</v>
      </c>
      <c r="D2200" s="13" t="s">
        <v>2113</v>
      </c>
      <c r="E2200" s="13" t="s">
        <v>2137</v>
      </c>
      <c r="F2200" s="15">
        <v>0</v>
      </c>
    </row>
    <row r="2201" spans="2:6" hidden="1" x14ac:dyDescent="0.2">
      <c r="B2201" s="14">
        <v>2013</v>
      </c>
      <c r="C2201" s="13" t="s">
        <v>2113</v>
      </c>
      <c r="D2201" s="13" t="s">
        <v>2113</v>
      </c>
      <c r="E2201" s="13" t="s">
        <v>2138</v>
      </c>
      <c r="F2201" s="15">
        <v>17</v>
      </c>
    </row>
    <row r="2202" spans="2:6" hidden="1" x14ac:dyDescent="0.2">
      <c r="B2202" s="14">
        <v>2013</v>
      </c>
      <c r="C2202" s="13" t="s">
        <v>2113</v>
      </c>
      <c r="D2202" s="13" t="s">
        <v>2113</v>
      </c>
      <c r="E2202" s="13" t="s">
        <v>2139</v>
      </c>
      <c r="F2202" s="15">
        <v>3</v>
      </c>
    </row>
    <row r="2203" spans="2:6" hidden="1" x14ac:dyDescent="0.2">
      <c r="B2203" s="14">
        <v>2013</v>
      </c>
      <c r="C2203" s="13" t="s">
        <v>2113</v>
      </c>
      <c r="D2203" s="13" t="s">
        <v>2113</v>
      </c>
      <c r="E2203" s="13" t="s">
        <v>2140</v>
      </c>
      <c r="F2203" s="15">
        <v>2</v>
      </c>
    </row>
    <row r="2204" spans="2:6" hidden="1" x14ac:dyDescent="0.2">
      <c r="B2204" s="14">
        <v>2013</v>
      </c>
      <c r="C2204" s="13" t="s">
        <v>2113</v>
      </c>
      <c r="D2204" s="13" t="s">
        <v>2113</v>
      </c>
      <c r="E2204" s="13" t="s">
        <v>2141</v>
      </c>
      <c r="F2204" s="15">
        <v>47</v>
      </c>
    </row>
    <row r="2205" spans="2:6" hidden="1" x14ac:dyDescent="0.2">
      <c r="B2205" s="14">
        <v>2013</v>
      </c>
      <c r="C2205" s="13" t="s">
        <v>2113</v>
      </c>
      <c r="D2205" s="13" t="s">
        <v>2142</v>
      </c>
      <c r="E2205" s="13" t="s">
        <v>2142</v>
      </c>
      <c r="F2205" s="15">
        <v>38</v>
      </c>
    </row>
    <row r="2206" spans="2:6" hidden="1" x14ac:dyDescent="0.2">
      <c r="B2206" s="14">
        <v>2013</v>
      </c>
      <c r="C2206" s="13" t="s">
        <v>2113</v>
      </c>
      <c r="D2206" s="13" t="s">
        <v>2142</v>
      </c>
      <c r="E2206" s="13" t="s">
        <v>2143</v>
      </c>
      <c r="F2206" s="15">
        <v>0</v>
      </c>
    </row>
    <row r="2207" spans="2:6" hidden="1" x14ac:dyDescent="0.2">
      <c r="B2207" s="14">
        <v>2013</v>
      </c>
      <c r="C2207" s="13" t="s">
        <v>2113</v>
      </c>
      <c r="D2207" s="13" t="s">
        <v>2142</v>
      </c>
      <c r="E2207" s="13" t="s">
        <v>2144</v>
      </c>
      <c r="F2207" s="15">
        <v>7</v>
      </c>
    </row>
    <row r="2208" spans="2:6" hidden="1" x14ac:dyDescent="0.2">
      <c r="B2208" s="14">
        <v>2013</v>
      </c>
      <c r="C2208" s="13" t="s">
        <v>2113</v>
      </c>
      <c r="D2208" s="13" t="s">
        <v>2142</v>
      </c>
      <c r="E2208" s="13" t="s">
        <v>2145</v>
      </c>
      <c r="F2208" s="15">
        <v>2</v>
      </c>
    </row>
    <row r="2209" spans="2:6" hidden="1" x14ac:dyDescent="0.2">
      <c r="B2209" s="14">
        <v>2013</v>
      </c>
      <c r="C2209" s="13" t="s">
        <v>2113</v>
      </c>
      <c r="D2209" s="13" t="s">
        <v>2142</v>
      </c>
      <c r="E2209" s="13" t="s">
        <v>2146</v>
      </c>
      <c r="F2209" s="15">
        <v>1</v>
      </c>
    </row>
    <row r="2210" spans="2:6" hidden="1" x14ac:dyDescent="0.2">
      <c r="B2210" s="14">
        <v>2013</v>
      </c>
      <c r="C2210" s="13" t="s">
        <v>2113</v>
      </c>
      <c r="D2210" s="13" t="s">
        <v>2142</v>
      </c>
      <c r="E2210" s="13" t="s">
        <v>2147</v>
      </c>
      <c r="F2210" s="15">
        <v>2</v>
      </c>
    </row>
    <row r="2211" spans="2:6" hidden="1" x14ac:dyDescent="0.2">
      <c r="B2211" s="14">
        <v>2013</v>
      </c>
      <c r="C2211" s="13" t="s">
        <v>2113</v>
      </c>
      <c r="D2211" s="13" t="s">
        <v>2142</v>
      </c>
      <c r="E2211" s="13" t="s">
        <v>2148</v>
      </c>
      <c r="F2211" s="15">
        <v>0</v>
      </c>
    </row>
    <row r="2212" spans="2:6" hidden="1" x14ac:dyDescent="0.2">
      <c r="B2212" s="14">
        <v>2013</v>
      </c>
      <c r="C2212" s="13" t="s">
        <v>2113</v>
      </c>
      <c r="D2212" s="13" t="s">
        <v>2142</v>
      </c>
      <c r="E2212" s="13" t="s">
        <v>2149</v>
      </c>
      <c r="F2212" s="15">
        <v>1</v>
      </c>
    </row>
    <row r="2213" spans="2:6" hidden="1" x14ac:dyDescent="0.2">
      <c r="B2213" s="14">
        <v>2013</v>
      </c>
      <c r="C2213" s="13" t="s">
        <v>2113</v>
      </c>
      <c r="D2213" s="13" t="s">
        <v>2150</v>
      </c>
      <c r="E2213" s="13" t="s">
        <v>2150</v>
      </c>
      <c r="F2213" s="15">
        <v>0</v>
      </c>
    </row>
    <row r="2214" spans="2:6" hidden="1" x14ac:dyDescent="0.2">
      <c r="B2214" s="14">
        <v>2013</v>
      </c>
      <c r="C2214" s="13" t="s">
        <v>2113</v>
      </c>
      <c r="D2214" s="13" t="s">
        <v>2150</v>
      </c>
      <c r="E2214" s="13" t="s">
        <v>2151</v>
      </c>
      <c r="F2214" s="15">
        <v>1</v>
      </c>
    </row>
    <row r="2215" spans="2:6" hidden="1" x14ac:dyDescent="0.2">
      <c r="B2215" s="14">
        <v>2013</v>
      </c>
      <c r="C2215" s="13" t="s">
        <v>2113</v>
      </c>
      <c r="D2215" s="13" t="s">
        <v>2150</v>
      </c>
      <c r="E2215" s="13" t="s">
        <v>2152</v>
      </c>
      <c r="F2215" s="15">
        <v>1</v>
      </c>
    </row>
    <row r="2216" spans="2:6" hidden="1" x14ac:dyDescent="0.2">
      <c r="B2216" s="14">
        <v>2013</v>
      </c>
      <c r="C2216" s="13" t="s">
        <v>2113</v>
      </c>
      <c r="D2216" s="13" t="s">
        <v>2150</v>
      </c>
      <c r="E2216" s="13" t="s">
        <v>2153</v>
      </c>
      <c r="F2216" s="15">
        <v>0</v>
      </c>
    </row>
    <row r="2217" spans="2:6" hidden="1" x14ac:dyDescent="0.2">
      <c r="B2217" s="14">
        <v>2013</v>
      </c>
      <c r="C2217" s="13" t="s">
        <v>2113</v>
      </c>
      <c r="D2217" s="13" t="s">
        <v>2150</v>
      </c>
      <c r="E2217" s="13" t="s">
        <v>2154</v>
      </c>
      <c r="F2217" s="15">
        <v>0</v>
      </c>
    </row>
    <row r="2218" spans="2:6" hidden="1" x14ac:dyDescent="0.2">
      <c r="B2218" s="14">
        <v>2013</v>
      </c>
      <c r="C2218" s="13" t="s">
        <v>2113</v>
      </c>
      <c r="D2218" s="13" t="s">
        <v>2150</v>
      </c>
      <c r="E2218" s="13" t="s">
        <v>2155</v>
      </c>
      <c r="F2218" s="15">
        <v>0</v>
      </c>
    </row>
    <row r="2219" spans="2:6" hidden="1" x14ac:dyDescent="0.2">
      <c r="B2219" s="14">
        <v>2013</v>
      </c>
      <c r="C2219" s="13" t="s">
        <v>2113</v>
      </c>
      <c r="D2219" s="13" t="s">
        <v>2150</v>
      </c>
      <c r="E2219" s="13" t="s">
        <v>2156</v>
      </c>
      <c r="F2219" s="15">
        <v>4</v>
      </c>
    </row>
    <row r="2220" spans="2:6" hidden="1" x14ac:dyDescent="0.2">
      <c r="B2220" s="14">
        <v>2013</v>
      </c>
      <c r="C2220" s="13" t="s">
        <v>2113</v>
      </c>
      <c r="D2220" s="13" t="s">
        <v>2150</v>
      </c>
      <c r="E2220" s="13" t="s">
        <v>2157</v>
      </c>
      <c r="F2220" s="15">
        <v>0</v>
      </c>
    </row>
    <row r="2221" spans="2:6" hidden="1" x14ac:dyDescent="0.2">
      <c r="B2221" s="14">
        <v>2013</v>
      </c>
      <c r="C2221" s="13" t="s">
        <v>2113</v>
      </c>
      <c r="D2221" s="13" t="s">
        <v>2150</v>
      </c>
      <c r="E2221" s="13" t="s">
        <v>2158</v>
      </c>
      <c r="F2221" s="15">
        <v>5</v>
      </c>
    </row>
    <row r="2222" spans="2:6" hidden="1" x14ac:dyDescent="0.2">
      <c r="B2222" s="14">
        <v>2013</v>
      </c>
      <c r="C2222" s="13" t="s">
        <v>2113</v>
      </c>
      <c r="D2222" s="13" t="s">
        <v>2150</v>
      </c>
      <c r="E2222" s="13" t="s">
        <v>2159</v>
      </c>
      <c r="F2222" s="15">
        <v>2</v>
      </c>
    </row>
    <row r="2223" spans="2:6" hidden="1" x14ac:dyDescent="0.2">
      <c r="B2223" s="14">
        <v>2013</v>
      </c>
      <c r="C2223" s="13" t="s">
        <v>2113</v>
      </c>
      <c r="D2223" s="13" t="s">
        <v>2150</v>
      </c>
      <c r="E2223" s="13" t="s">
        <v>2160</v>
      </c>
      <c r="F2223" s="15">
        <v>1</v>
      </c>
    </row>
    <row r="2224" spans="2:6" hidden="1" x14ac:dyDescent="0.2">
      <c r="B2224" s="14">
        <v>2013</v>
      </c>
      <c r="C2224" s="13" t="s">
        <v>2113</v>
      </c>
      <c r="D2224" s="13" t="s">
        <v>2150</v>
      </c>
      <c r="E2224" s="13" t="s">
        <v>2161</v>
      </c>
      <c r="F2224" s="15">
        <v>0</v>
      </c>
    </row>
    <row r="2225" spans="2:6" hidden="1" x14ac:dyDescent="0.2">
      <c r="B2225" s="14">
        <v>2013</v>
      </c>
      <c r="C2225" s="13" t="s">
        <v>2113</v>
      </c>
      <c r="D2225" s="13" t="s">
        <v>2150</v>
      </c>
      <c r="E2225" s="13" t="s">
        <v>2162</v>
      </c>
      <c r="F2225" s="15">
        <v>2</v>
      </c>
    </row>
    <row r="2226" spans="2:6" hidden="1" x14ac:dyDescent="0.2">
      <c r="B2226" s="14">
        <v>2013</v>
      </c>
      <c r="C2226" s="13" t="s">
        <v>2113</v>
      </c>
      <c r="D2226" s="13" t="s">
        <v>2163</v>
      </c>
      <c r="E2226" s="13" t="s">
        <v>2164</v>
      </c>
      <c r="F2226" s="15">
        <v>3</v>
      </c>
    </row>
    <row r="2227" spans="2:6" hidden="1" x14ac:dyDescent="0.2">
      <c r="B2227" s="14">
        <v>2013</v>
      </c>
      <c r="C2227" s="13" t="s">
        <v>2113</v>
      </c>
      <c r="D2227" s="13" t="s">
        <v>2163</v>
      </c>
      <c r="E2227" s="13" t="s">
        <v>2165</v>
      </c>
      <c r="F2227" s="15">
        <v>0</v>
      </c>
    </row>
    <row r="2228" spans="2:6" hidden="1" x14ac:dyDescent="0.2">
      <c r="B2228" s="14">
        <v>2013</v>
      </c>
      <c r="C2228" s="13" t="s">
        <v>2113</v>
      </c>
      <c r="D2228" s="13" t="s">
        <v>2163</v>
      </c>
      <c r="E2228" s="13" t="s">
        <v>2166</v>
      </c>
      <c r="F2228" s="15">
        <v>0</v>
      </c>
    </row>
    <row r="2229" spans="2:6" hidden="1" x14ac:dyDescent="0.2">
      <c r="B2229" s="14">
        <v>2013</v>
      </c>
      <c r="C2229" s="13" t="s">
        <v>2113</v>
      </c>
      <c r="D2229" s="13" t="s">
        <v>2163</v>
      </c>
      <c r="E2229" s="13" t="s">
        <v>2167</v>
      </c>
      <c r="F2229" s="15">
        <v>0</v>
      </c>
    </row>
    <row r="2230" spans="2:6" hidden="1" x14ac:dyDescent="0.2">
      <c r="B2230" s="14">
        <v>2013</v>
      </c>
      <c r="C2230" s="13" t="s">
        <v>2113</v>
      </c>
      <c r="D2230" s="13" t="s">
        <v>2163</v>
      </c>
      <c r="E2230" s="13" t="s">
        <v>2168</v>
      </c>
      <c r="F2230" s="15">
        <v>0</v>
      </c>
    </row>
    <row r="2231" spans="2:6" hidden="1" x14ac:dyDescent="0.2">
      <c r="B2231" s="14">
        <v>2013</v>
      </c>
      <c r="C2231" s="13" t="s">
        <v>2113</v>
      </c>
      <c r="D2231" s="13" t="s">
        <v>2163</v>
      </c>
      <c r="E2231" s="13" t="s">
        <v>2169</v>
      </c>
      <c r="F2231" s="15">
        <v>0</v>
      </c>
    </row>
    <row r="2232" spans="2:6" hidden="1" x14ac:dyDescent="0.2">
      <c r="B2232" s="14">
        <v>2013</v>
      </c>
      <c r="C2232" s="13" t="s">
        <v>2113</v>
      </c>
      <c r="D2232" s="13" t="s">
        <v>2163</v>
      </c>
      <c r="E2232" s="13" t="s">
        <v>2170</v>
      </c>
      <c r="F2232" s="15">
        <v>0</v>
      </c>
    </row>
    <row r="2233" spans="2:6" hidden="1" x14ac:dyDescent="0.2">
      <c r="B2233" s="14">
        <v>2013</v>
      </c>
      <c r="C2233" s="13" t="s">
        <v>2113</v>
      </c>
      <c r="D2233" s="13" t="s">
        <v>2163</v>
      </c>
      <c r="E2233" s="13" t="s">
        <v>2171</v>
      </c>
      <c r="F2233" s="15">
        <v>0</v>
      </c>
    </row>
    <row r="2234" spans="2:6" hidden="1" x14ac:dyDescent="0.2">
      <c r="B2234" s="14">
        <v>2013</v>
      </c>
      <c r="C2234" s="13" t="s">
        <v>2113</v>
      </c>
      <c r="D2234" s="13" t="s">
        <v>2163</v>
      </c>
      <c r="E2234" s="13" t="s">
        <v>2172</v>
      </c>
      <c r="F2234" s="15">
        <v>0</v>
      </c>
    </row>
    <row r="2235" spans="2:6" hidden="1" x14ac:dyDescent="0.2">
      <c r="B2235" s="14">
        <v>2013</v>
      </c>
      <c r="C2235" s="13" t="s">
        <v>2113</v>
      </c>
      <c r="D2235" s="13" t="s">
        <v>2163</v>
      </c>
      <c r="E2235" s="13" t="s">
        <v>2173</v>
      </c>
      <c r="F2235" s="15">
        <v>1</v>
      </c>
    </row>
    <row r="2236" spans="2:6" hidden="1" x14ac:dyDescent="0.2">
      <c r="B2236" s="14">
        <v>2013</v>
      </c>
      <c r="C2236" s="13" t="s">
        <v>2113</v>
      </c>
      <c r="D2236" s="13" t="s">
        <v>2163</v>
      </c>
      <c r="E2236" s="13" t="s">
        <v>2174</v>
      </c>
      <c r="F2236" s="15">
        <v>0</v>
      </c>
    </row>
    <row r="2237" spans="2:6" hidden="1" x14ac:dyDescent="0.2">
      <c r="B2237" s="14">
        <v>2013</v>
      </c>
      <c r="C2237" s="13" t="s">
        <v>2113</v>
      </c>
      <c r="D2237" s="13" t="s">
        <v>2163</v>
      </c>
      <c r="E2237" s="13" t="s">
        <v>2175</v>
      </c>
      <c r="F2237" s="15">
        <v>0</v>
      </c>
    </row>
    <row r="2238" spans="2:6" hidden="1" x14ac:dyDescent="0.2">
      <c r="B2238" s="14">
        <v>2013</v>
      </c>
      <c r="C2238" s="13" t="s">
        <v>2113</v>
      </c>
      <c r="D2238" s="13" t="s">
        <v>2163</v>
      </c>
      <c r="E2238" s="13" t="s">
        <v>2176</v>
      </c>
      <c r="F2238" s="15">
        <v>1</v>
      </c>
    </row>
    <row r="2239" spans="2:6" hidden="1" x14ac:dyDescent="0.2">
      <c r="B2239" s="14">
        <v>2013</v>
      </c>
      <c r="C2239" s="13" t="s">
        <v>2113</v>
      </c>
      <c r="D2239" s="13" t="s">
        <v>2163</v>
      </c>
      <c r="E2239" s="13" t="s">
        <v>2177</v>
      </c>
      <c r="F2239" s="15">
        <v>0</v>
      </c>
    </row>
    <row r="2240" spans="2:6" hidden="1" x14ac:dyDescent="0.2">
      <c r="B2240" s="14">
        <v>2013</v>
      </c>
      <c r="C2240" s="13" t="s">
        <v>2113</v>
      </c>
      <c r="D2240" s="13" t="s">
        <v>2178</v>
      </c>
      <c r="E2240" s="13" t="s">
        <v>2179</v>
      </c>
      <c r="F2240" s="15">
        <v>8</v>
      </c>
    </row>
    <row r="2241" spans="2:6" hidden="1" x14ac:dyDescent="0.2">
      <c r="B2241" s="14">
        <v>2013</v>
      </c>
      <c r="C2241" s="13" t="s">
        <v>2113</v>
      </c>
      <c r="D2241" s="13" t="s">
        <v>2178</v>
      </c>
      <c r="E2241" s="13" t="s">
        <v>2180</v>
      </c>
      <c r="F2241" s="15">
        <v>0</v>
      </c>
    </row>
    <row r="2242" spans="2:6" hidden="1" x14ac:dyDescent="0.2">
      <c r="B2242" s="14">
        <v>2013</v>
      </c>
      <c r="C2242" s="13" t="s">
        <v>2113</v>
      </c>
      <c r="D2242" s="13" t="s">
        <v>2178</v>
      </c>
      <c r="E2242" s="13" t="s">
        <v>2181</v>
      </c>
      <c r="F2242" s="15">
        <v>0</v>
      </c>
    </row>
    <row r="2243" spans="2:6" hidden="1" x14ac:dyDescent="0.2">
      <c r="B2243" s="14">
        <v>2013</v>
      </c>
      <c r="C2243" s="13" t="s">
        <v>2113</v>
      </c>
      <c r="D2243" s="13" t="s">
        <v>2178</v>
      </c>
      <c r="E2243" s="13" t="s">
        <v>2182</v>
      </c>
      <c r="F2243" s="15">
        <v>2</v>
      </c>
    </row>
    <row r="2244" spans="2:6" hidden="1" x14ac:dyDescent="0.2">
      <c r="B2244" s="14">
        <v>2013</v>
      </c>
      <c r="C2244" s="13" t="s">
        <v>2113</v>
      </c>
      <c r="D2244" s="13" t="s">
        <v>2178</v>
      </c>
      <c r="E2244" s="13" t="s">
        <v>2178</v>
      </c>
      <c r="F2244" s="15">
        <v>1</v>
      </c>
    </row>
    <row r="2245" spans="2:6" hidden="1" x14ac:dyDescent="0.2">
      <c r="B2245" s="14">
        <v>2013</v>
      </c>
      <c r="C2245" s="13" t="s">
        <v>2113</v>
      </c>
      <c r="D2245" s="13" t="s">
        <v>2178</v>
      </c>
      <c r="E2245" s="13" t="s">
        <v>2183</v>
      </c>
      <c r="F2245" s="15">
        <v>1</v>
      </c>
    </row>
    <row r="2246" spans="2:6" hidden="1" x14ac:dyDescent="0.2">
      <c r="B2246" s="14">
        <v>2013</v>
      </c>
      <c r="C2246" s="13" t="s">
        <v>2113</v>
      </c>
      <c r="D2246" s="13" t="s">
        <v>2178</v>
      </c>
      <c r="E2246" s="13" t="s">
        <v>1852</v>
      </c>
      <c r="F2246" s="15">
        <v>0</v>
      </c>
    </row>
    <row r="2247" spans="2:6" hidden="1" x14ac:dyDescent="0.2">
      <c r="B2247" s="14">
        <v>2013</v>
      </c>
      <c r="C2247" s="13" t="s">
        <v>2113</v>
      </c>
      <c r="D2247" s="13" t="s">
        <v>2178</v>
      </c>
      <c r="E2247" s="13" t="s">
        <v>2184</v>
      </c>
      <c r="F2247" s="15">
        <v>0</v>
      </c>
    </row>
    <row r="2248" spans="2:6" hidden="1" x14ac:dyDescent="0.2">
      <c r="B2248" s="14">
        <v>2013</v>
      </c>
      <c r="C2248" s="13" t="s">
        <v>2113</v>
      </c>
      <c r="D2248" s="13" t="s">
        <v>2178</v>
      </c>
      <c r="E2248" s="13" t="s">
        <v>2185</v>
      </c>
      <c r="F2248" s="15">
        <v>0</v>
      </c>
    </row>
    <row r="2249" spans="2:6" hidden="1" x14ac:dyDescent="0.2">
      <c r="B2249" s="14">
        <v>2013</v>
      </c>
      <c r="C2249" s="13" t="s">
        <v>2113</v>
      </c>
      <c r="D2249" s="13" t="s">
        <v>2178</v>
      </c>
      <c r="E2249" s="13" t="s">
        <v>2186</v>
      </c>
      <c r="F2249" s="15">
        <v>0</v>
      </c>
    </row>
    <row r="2250" spans="2:6" hidden="1" x14ac:dyDescent="0.2">
      <c r="B2250" s="14">
        <v>2013</v>
      </c>
      <c r="C2250" s="13" t="s">
        <v>2113</v>
      </c>
      <c r="D2250" s="13" t="s">
        <v>2178</v>
      </c>
      <c r="E2250" s="13" t="s">
        <v>2187</v>
      </c>
      <c r="F2250" s="15">
        <v>0</v>
      </c>
    </row>
    <row r="2251" spans="2:6" hidden="1" x14ac:dyDescent="0.2">
      <c r="B2251" s="14">
        <v>2013</v>
      </c>
      <c r="C2251" s="13" t="s">
        <v>2113</v>
      </c>
      <c r="D2251" s="13" t="s">
        <v>2178</v>
      </c>
      <c r="E2251" s="13" t="s">
        <v>2188</v>
      </c>
      <c r="F2251" s="15">
        <v>0</v>
      </c>
    </row>
    <row r="2252" spans="2:6" hidden="1" x14ac:dyDescent="0.2">
      <c r="B2252" s="14">
        <v>2013</v>
      </c>
      <c r="C2252" s="13" t="s">
        <v>2113</v>
      </c>
      <c r="D2252" s="13" t="s">
        <v>2178</v>
      </c>
      <c r="E2252" s="13" t="s">
        <v>2189</v>
      </c>
      <c r="F2252" s="15">
        <v>0</v>
      </c>
    </row>
    <row r="2253" spans="2:6" hidden="1" x14ac:dyDescent="0.2">
      <c r="B2253" s="14">
        <v>2013</v>
      </c>
      <c r="C2253" s="13" t="s">
        <v>2113</v>
      </c>
      <c r="D2253" s="13" t="s">
        <v>2178</v>
      </c>
      <c r="E2253" s="13" t="s">
        <v>2190</v>
      </c>
      <c r="F2253" s="15">
        <v>2</v>
      </c>
    </row>
    <row r="2254" spans="2:6" hidden="1" x14ac:dyDescent="0.2">
      <c r="B2254" s="14">
        <v>2013</v>
      </c>
      <c r="C2254" s="13" t="s">
        <v>2113</v>
      </c>
      <c r="D2254" s="13" t="s">
        <v>2178</v>
      </c>
      <c r="E2254" s="13" t="s">
        <v>2191</v>
      </c>
      <c r="F2254" s="15">
        <v>0</v>
      </c>
    </row>
    <row r="2255" spans="2:6" hidden="1" x14ac:dyDescent="0.2">
      <c r="B2255" s="14">
        <v>2013</v>
      </c>
      <c r="C2255" s="13" t="s">
        <v>2113</v>
      </c>
      <c r="D2255" s="13" t="s">
        <v>2178</v>
      </c>
      <c r="E2255" s="13" t="s">
        <v>2192</v>
      </c>
      <c r="F2255" s="15">
        <v>0</v>
      </c>
    </row>
    <row r="2256" spans="2:6" hidden="1" x14ac:dyDescent="0.2">
      <c r="B2256" s="14">
        <v>2013</v>
      </c>
      <c r="C2256" s="13" t="s">
        <v>2113</v>
      </c>
      <c r="D2256" s="13" t="s">
        <v>2178</v>
      </c>
      <c r="E2256" s="13" t="s">
        <v>2193</v>
      </c>
      <c r="F2256" s="15">
        <v>0</v>
      </c>
    </row>
    <row r="2257" spans="2:6" hidden="1" x14ac:dyDescent="0.2">
      <c r="B2257" s="14">
        <v>2013</v>
      </c>
      <c r="C2257" s="13" t="s">
        <v>2113</v>
      </c>
      <c r="D2257" s="13" t="s">
        <v>2178</v>
      </c>
      <c r="E2257" s="13" t="s">
        <v>2194</v>
      </c>
      <c r="F2257" s="15">
        <v>1</v>
      </c>
    </row>
    <row r="2258" spans="2:6" hidden="1" x14ac:dyDescent="0.2">
      <c r="B2258" s="14">
        <v>2013</v>
      </c>
      <c r="C2258" s="13" t="s">
        <v>2113</v>
      </c>
      <c r="D2258" s="13" t="s">
        <v>2178</v>
      </c>
      <c r="E2258" s="13" t="s">
        <v>2195</v>
      </c>
      <c r="F2258" s="15">
        <v>0</v>
      </c>
    </row>
    <row r="2259" spans="2:6" hidden="1" x14ac:dyDescent="0.2">
      <c r="B2259" s="14">
        <v>2013</v>
      </c>
      <c r="C2259" s="13" t="s">
        <v>2113</v>
      </c>
      <c r="D2259" s="13" t="s">
        <v>2178</v>
      </c>
      <c r="E2259" s="13" t="s">
        <v>2196</v>
      </c>
      <c r="F2259" s="15">
        <v>46</v>
      </c>
    </row>
    <row r="2260" spans="2:6" hidden="1" x14ac:dyDescent="0.2">
      <c r="B2260" s="14">
        <v>2013</v>
      </c>
      <c r="C2260" s="13" t="s">
        <v>2113</v>
      </c>
      <c r="D2260" s="13" t="s">
        <v>2197</v>
      </c>
      <c r="E2260" s="13" t="s">
        <v>1786</v>
      </c>
      <c r="F2260" s="15">
        <v>0</v>
      </c>
    </row>
    <row r="2261" spans="2:6" hidden="1" x14ac:dyDescent="0.2">
      <c r="B2261" s="14">
        <v>2013</v>
      </c>
      <c r="C2261" s="13" t="s">
        <v>2113</v>
      </c>
      <c r="D2261" s="13" t="s">
        <v>2197</v>
      </c>
      <c r="E2261" s="13" t="s">
        <v>2198</v>
      </c>
      <c r="F2261" s="15">
        <v>0</v>
      </c>
    </row>
    <row r="2262" spans="2:6" hidden="1" x14ac:dyDescent="0.2">
      <c r="B2262" s="14">
        <v>2013</v>
      </c>
      <c r="C2262" s="13" t="s">
        <v>2113</v>
      </c>
      <c r="D2262" s="13" t="s">
        <v>2197</v>
      </c>
      <c r="E2262" s="13" t="s">
        <v>2199</v>
      </c>
      <c r="F2262" s="15">
        <v>0</v>
      </c>
    </row>
    <row r="2263" spans="2:6" hidden="1" x14ac:dyDescent="0.2">
      <c r="B2263" s="14">
        <v>2013</v>
      </c>
      <c r="C2263" s="13" t="s">
        <v>2113</v>
      </c>
      <c r="D2263" s="13" t="s">
        <v>2197</v>
      </c>
      <c r="E2263" s="13" t="s">
        <v>2200</v>
      </c>
      <c r="F2263" s="15">
        <v>0</v>
      </c>
    </row>
    <row r="2264" spans="2:6" hidden="1" x14ac:dyDescent="0.2">
      <c r="B2264" s="14">
        <v>2013</v>
      </c>
      <c r="C2264" s="13" t="s">
        <v>2113</v>
      </c>
      <c r="D2264" s="13" t="s">
        <v>2197</v>
      </c>
      <c r="E2264" s="13" t="s">
        <v>2201</v>
      </c>
      <c r="F2264" s="15">
        <v>0</v>
      </c>
    </row>
    <row r="2265" spans="2:6" hidden="1" x14ac:dyDescent="0.2">
      <c r="B2265" s="14">
        <v>2013</v>
      </c>
      <c r="C2265" s="13" t="s">
        <v>2113</v>
      </c>
      <c r="D2265" s="13" t="s">
        <v>2197</v>
      </c>
      <c r="E2265" s="13" t="s">
        <v>2202</v>
      </c>
      <c r="F2265" s="15">
        <v>0</v>
      </c>
    </row>
    <row r="2266" spans="2:6" hidden="1" x14ac:dyDescent="0.2">
      <c r="B2266" s="14">
        <v>2013</v>
      </c>
      <c r="C2266" s="13" t="s">
        <v>2113</v>
      </c>
      <c r="D2266" s="13" t="s">
        <v>2197</v>
      </c>
      <c r="E2266" s="13" t="s">
        <v>2203</v>
      </c>
      <c r="F2266" s="15">
        <v>0</v>
      </c>
    </row>
    <row r="2267" spans="2:6" hidden="1" x14ac:dyDescent="0.2">
      <c r="B2267" s="14">
        <v>2013</v>
      </c>
      <c r="C2267" s="13" t="s">
        <v>2113</v>
      </c>
      <c r="D2267" s="13" t="s">
        <v>2197</v>
      </c>
      <c r="E2267" s="13" t="s">
        <v>2204</v>
      </c>
      <c r="F2267" s="15">
        <v>0</v>
      </c>
    </row>
    <row r="2268" spans="2:6" hidden="1" x14ac:dyDescent="0.2">
      <c r="B2268" s="14">
        <v>2013</v>
      </c>
      <c r="C2268" s="13" t="s">
        <v>2113</v>
      </c>
      <c r="D2268" s="13" t="s">
        <v>2205</v>
      </c>
      <c r="E2268" s="13" t="s">
        <v>2206</v>
      </c>
      <c r="F2268" s="15">
        <v>191</v>
      </c>
    </row>
    <row r="2269" spans="2:6" hidden="1" x14ac:dyDescent="0.2">
      <c r="B2269" s="14">
        <v>2013</v>
      </c>
      <c r="C2269" s="13" t="s">
        <v>2113</v>
      </c>
      <c r="D2269" s="13" t="s">
        <v>2205</v>
      </c>
      <c r="E2269" s="13" t="s">
        <v>2207</v>
      </c>
      <c r="F2269" s="15">
        <v>1</v>
      </c>
    </row>
    <row r="2270" spans="2:6" hidden="1" x14ac:dyDescent="0.2">
      <c r="B2270" s="14">
        <v>2013</v>
      </c>
      <c r="C2270" s="13" t="s">
        <v>2113</v>
      </c>
      <c r="D2270" s="13" t="s">
        <v>2205</v>
      </c>
      <c r="E2270" s="13" t="s">
        <v>2208</v>
      </c>
      <c r="F2270" s="15">
        <v>2</v>
      </c>
    </row>
    <row r="2271" spans="2:6" hidden="1" x14ac:dyDescent="0.2">
      <c r="B2271" s="14">
        <v>2013</v>
      </c>
      <c r="C2271" s="13" t="s">
        <v>2113</v>
      </c>
      <c r="D2271" s="13" t="s">
        <v>2205</v>
      </c>
      <c r="E2271" s="13" t="s">
        <v>2205</v>
      </c>
      <c r="F2271" s="15">
        <v>4</v>
      </c>
    </row>
    <row r="2272" spans="2:6" hidden="1" x14ac:dyDescent="0.2">
      <c r="B2272" s="14">
        <v>2013</v>
      </c>
      <c r="C2272" s="13" t="s">
        <v>2113</v>
      </c>
      <c r="D2272" s="13" t="s">
        <v>2205</v>
      </c>
      <c r="E2272" s="13" t="s">
        <v>2209</v>
      </c>
      <c r="F2272" s="15">
        <v>0</v>
      </c>
    </row>
    <row r="2273" spans="2:6" hidden="1" x14ac:dyDescent="0.2">
      <c r="B2273" s="14">
        <v>2013</v>
      </c>
      <c r="C2273" s="13" t="s">
        <v>2113</v>
      </c>
      <c r="D2273" s="13" t="s">
        <v>2205</v>
      </c>
      <c r="E2273" s="13" t="s">
        <v>2210</v>
      </c>
      <c r="F2273" s="15">
        <v>0</v>
      </c>
    </row>
    <row r="2274" spans="2:6" hidden="1" x14ac:dyDescent="0.2">
      <c r="B2274" s="14">
        <v>2013</v>
      </c>
      <c r="C2274" s="13" t="s">
        <v>2113</v>
      </c>
      <c r="D2274" s="13" t="s">
        <v>2211</v>
      </c>
      <c r="E2274" s="13" t="s">
        <v>2212</v>
      </c>
      <c r="F2274" s="15">
        <v>0</v>
      </c>
    </row>
    <row r="2275" spans="2:6" hidden="1" x14ac:dyDescent="0.2">
      <c r="B2275" s="14">
        <v>2013</v>
      </c>
      <c r="C2275" s="13" t="s">
        <v>2113</v>
      </c>
      <c r="D2275" s="13" t="s">
        <v>2211</v>
      </c>
      <c r="E2275" s="13" t="s">
        <v>2213</v>
      </c>
      <c r="F2275" s="15">
        <v>0</v>
      </c>
    </row>
    <row r="2276" spans="2:6" hidden="1" x14ac:dyDescent="0.2">
      <c r="B2276" s="14">
        <v>2013</v>
      </c>
      <c r="C2276" s="13" t="s">
        <v>2113</v>
      </c>
      <c r="D2276" s="13" t="s">
        <v>2211</v>
      </c>
      <c r="E2276" s="13" t="s">
        <v>2214</v>
      </c>
      <c r="F2276" s="15">
        <v>0</v>
      </c>
    </row>
    <row r="2277" spans="2:6" hidden="1" x14ac:dyDescent="0.2">
      <c r="B2277" s="14">
        <v>2013</v>
      </c>
      <c r="C2277" s="13" t="s">
        <v>2113</v>
      </c>
      <c r="D2277" s="13" t="s">
        <v>2211</v>
      </c>
      <c r="E2277" s="13" t="s">
        <v>2215</v>
      </c>
      <c r="F2277" s="15">
        <v>0</v>
      </c>
    </row>
    <row r="2278" spans="2:6" hidden="1" x14ac:dyDescent="0.2">
      <c r="B2278" s="14">
        <v>2013</v>
      </c>
      <c r="C2278" s="13" t="s">
        <v>2113</v>
      </c>
      <c r="D2278" s="13" t="s">
        <v>2211</v>
      </c>
      <c r="E2278" s="13" t="s">
        <v>2216</v>
      </c>
      <c r="F2278" s="15">
        <v>0</v>
      </c>
    </row>
    <row r="2279" spans="2:6" hidden="1" x14ac:dyDescent="0.2">
      <c r="B2279" s="14">
        <v>2013</v>
      </c>
      <c r="C2279" s="13" t="s">
        <v>2113</v>
      </c>
      <c r="D2279" s="13" t="s">
        <v>2211</v>
      </c>
      <c r="E2279" s="13" t="s">
        <v>2217</v>
      </c>
      <c r="F2279" s="15">
        <v>0</v>
      </c>
    </row>
    <row r="2280" spans="2:6" hidden="1" x14ac:dyDescent="0.2">
      <c r="B2280" s="14">
        <v>2013</v>
      </c>
      <c r="C2280" s="13" t="s">
        <v>2113</v>
      </c>
      <c r="D2280" s="13" t="s">
        <v>2211</v>
      </c>
      <c r="E2280" s="13" t="s">
        <v>2218</v>
      </c>
      <c r="F2280" s="15">
        <v>0</v>
      </c>
    </row>
    <row r="2281" spans="2:6" hidden="1" x14ac:dyDescent="0.2">
      <c r="B2281" s="14">
        <v>2013</v>
      </c>
      <c r="C2281" s="13" t="s">
        <v>2113</v>
      </c>
      <c r="D2281" s="13" t="s">
        <v>2211</v>
      </c>
      <c r="E2281" s="13" t="s">
        <v>2219</v>
      </c>
      <c r="F2281" s="15">
        <v>0</v>
      </c>
    </row>
    <row r="2282" spans="2:6" hidden="1" x14ac:dyDescent="0.2">
      <c r="B2282" s="14">
        <v>2013</v>
      </c>
      <c r="C2282" s="13" t="s">
        <v>2113</v>
      </c>
      <c r="D2282" s="13" t="s">
        <v>2211</v>
      </c>
      <c r="E2282" s="13" t="s">
        <v>2220</v>
      </c>
      <c r="F2282" s="15">
        <v>0</v>
      </c>
    </row>
    <row r="2283" spans="2:6" hidden="1" x14ac:dyDescent="0.2">
      <c r="B2283" s="14">
        <v>2013</v>
      </c>
      <c r="C2283" s="13" t="s">
        <v>2113</v>
      </c>
      <c r="D2283" s="13" t="s">
        <v>2211</v>
      </c>
      <c r="E2283" s="13" t="s">
        <v>2221</v>
      </c>
      <c r="F2283" s="15">
        <v>0</v>
      </c>
    </row>
    <row r="2284" spans="2:6" hidden="1" x14ac:dyDescent="0.2">
      <c r="B2284" s="14">
        <v>2013</v>
      </c>
      <c r="C2284" s="13" t="s">
        <v>2113</v>
      </c>
      <c r="D2284" s="13" t="s">
        <v>2211</v>
      </c>
      <c r="E2284" s="13" t="s">
        <v>2222</v>
      </c>
      <c r="F2284" s="15">
        <v>0</v>
      </c>
    </row>
    <row r="2285" spans="2:6" hidden="1" x14ac:dyDescent="0.2">
      <c r="B2285" s="14">
        <v>2013</v>
      </c>
      <c r="C2285" s="13" t="s">
        <v>2223</v>
      </c>
      <c r="D2285" s="13" t="s">
        <v>2224</v>
      </c>
      <c r="E2285" s="13" t="s">
        <v>2223</v>
      </c>
      <c r="F2285" s="15">
        <v>243</v>
      </c>
    </row>
    <row r="2286" spans="2:6" hidden="1" x14ac:dyDescent="0.2">
      <c r="B2286" s="14">
        <v>2013</v>
      </c>
      <c r="C2286" s="13" t="s">
        <v>2223</v>
      </c>
      <c r="D2286" s="13" t="s">
        <v>2224</v>
      </c>
      <c r="E2286" s="13" t="s">
        <v>2225</v>
      </c>
      <c r="F2286" s="15">
        <v>0</v>
      </c>
    </row>
    <row r="2287" spans="2:6" hidden="1" x14ac:dyDescent="0.2">
      <c r="B2287" s="14">
        <v>2013</v>
      </c>
      <c r="C2287" s="13" t="s">
        <v>2223</v>
      </c>
      <c r="D2287" s="13" t="s">
        <v>2224</v>
      </c>
      <c r="E2287" s="13" t="s">
        <v>2226</v>
      </c>
      <c r="F2287" s="15">
        <v>0</v>
      </c>
    </row>
    <row r="2288" spans="2:6" hidden="1" x14ac:dyDescent="0.2">
      <c r="B2288" s="14">
        <v>2013</v>
      </c>
      <c r="C2288" s="13" t="s">
        <v>2223</v>
      </c>
      <c r="D2288" s="13" t="s">
        <v>2224</v>
      </c>
      <c r="E2288" s="13" t="s">
        <v>2227</v>
      </c>
      <c r="F2288" s="15">
        <v>7</v>
      </c>
    </row>
    <row r="2289" spans="2:6" hidden="1" x14ac:dyDescent="0.2">
      <c r="B2289" s="14">
        <v>2013</v>
      </c>
      <c r="C2289" s="13" t="s">
        <v>2223</v>
      </c>
      <c r="D2289" s="13" t="s">
        <v>2224</v>
      </c>
      <c r="E2289" s="13" t="s">
        <v>2045</v>
      </c>
      <c r="F2289" s="15">
        <v>10</v>
      </c>
    </row>
    <row r="2290" spans="2:6" hidden="1" x14ac:dyDescent="0.2">
      <c r="B2290" s="14">
        <v>2013</v>
      </c>
      <c r="C2290" s="13" t="s">
        <v>2223</v>
      </c>
      <c r="D2290" s="13" t="s">
        <v>2224</v>
      </c>
      <c r="E2290" s="13" t="s">
        <v>1974</v>
      </c>
      <c r="F2290" s="15">
        <v>0</v>
      </c>
    </row>
    <row r="2291" spans="2:6" hidden="1" x14ac:dyDescent="0.2">
      <c r="B2291" s="14">
        <v>2013</v>
      </c>
      <c r="C2291" s="13" t="s">
        <v>2223</v>
      </c>
      <c r="D2291" s="13" t="s">
        <v>2224</v>
      </c>
      <c r="E2291" s="13" t="s">
        <v>2228</v>
      </c>
      <c r="F2291" s="15">
        <v>2</v>
      </c>
    </row>
    <row r="2292" spans="2:6" hidden="1" x14ac:dyDescent="0.2">
      <c r="B2292" s="14">
        <v>2013</v>
      </c>
      <c r="C2292" s="13" t="s">
        <v>2223</v>
      </c>
      <c r="D2292" s="13" t="s">
        <v>2224</v>
      </c>
      <c r="E2292" s="13" t="s">
        <v>2229</v>
      </c>
      <c r="F2292" s="15">
        <v>0</v>
      </c>
    </row>
    <row r="2293" spans="2:6" hidden="1" x14ac:dyDescent="0.2">
      <c r="B2293" s="14">
        <v>2013</v>
      </c>
      <c r="C2293" s="13" t="s">
        <v>2223</v>
      </c>
      <c r="D2293" s="13" t="s">
        <v>2224</v>
      </c>
      <c r="E2293" s="13" t="s">
        <v>2230</v>
      </c>
      <c r="F2293" s="15">
        <v>0</v>
      </c>
    </row>
    <row r="2294" spans="2:6" hidden="1" x14ac:dyDescent="0.2">
      <c r="B2294" s="14">
        <v>2013</v>
      </c>
      <c r="C2294" s="13" t="s">
        <v>2223</v>
      </c>
      <c r="D2294" s="13" t="s">
        <v>2224</v>
      </c>
      <c r="E2294" s="13" t="s">
        <v>2231</v>
      </c>
      <c r="F2294" s="15">
        <v>13</v>
      </c>
    </row>
    <row r="2295" spans="2:6" hidden="1" x14ac:dyDescent="0.2">
      <c r="B2295" s="14">
        <v>2013</v>
      </c>
      <c r="C2295" s="13" t="s">
        <v>2223</v>
      </c>
      <c r="D2295" s="13" t="s">
        <v>2224</v>
      </c>
      <c r="E2295" s="13" t="s">
        <v>2232</v>
      </c>
      <c r="F2295" s="15">
        <v>0</v>
      </c>
    </row>
    <row r="2296" spans="2:6" hidden="1" x14ac:dyDescent="0.2">
      <c r="B2296" s="14">
        <v>2013</v>
      </c>
      <c r="C2296" s="13" t="s">
        <v>2223</v>
      </c>
      <c r="D2296" s="13" t="s">
        <v>2224</v>
      </c>
      <c r="E2296" s="13" t="s">
        <v>2233</v>
      </c>
      <c r="F2296" s="15">
        <v>0</v>
      </c>
    </row>
    <row r="2297" spans="2:6" hidden="1" x14ac:dyDescent="0.2">
      <c r="B2297" s="14">
        <v>2013</v>
      </c>
      <c r="C2297" s="13" t="s">
        <v>2223</v>
      </c>
      <c r="D2297" s="13" t="s">
        <v>2224</v>
      </c>
      <c r="E2297" s="13" t="s">
        <v>2234</v>
      </c>
      <c r="F2297" s="15">
        <v>0</v>
      </c>
    </row>
    <row r="2298" spans="2:6" hidden="1" x14ac:dyDescent="0.2">
      <c r="B2298" s="14">
        <v>2013</v>
      </c>
      <c r="C2298" s="13" t="s">
        <v>2223</v>
      </c>
      <c r="D2298" s="13" t="s">
        <v>2224</v>
      </c>
      <c r="E2298" s="13" t="s">
        <v>2235</v>
      </c>
      <c r="F2298" s="15">
        <v>10</v>
      </c>
    </row>
    <row r="2299" spans="2:6" hidden="1" x14ac:dyDescent="0.2">
      <c r="B2299" s="14">
        <v>2013</v>
      </c>
      <c r="C2299" s="13" t="s">
        <v>2223</v>
      </c>
      <c r="D2299" s="13" t="s">
        <v>2224</v>
      </c>
      <c r="E2299" s="13" t="s">
        <v>2236</v>
      </c>
      <c r="F2299" s="15">
        <v>0</v>
      </c>
    </row>
    <row r="2300" spans="2:6" hidden="1" x14ac:dyDescent="0.2">
      <c r="B2300" s="14">
        <v>2013</v>
      </c>
      <c r="C2300" s="13" t="s">
        <v>2223</v>
      </c>
      <c r="D2300" s="13" t="s">
        <v>2237</v>
      </c>
      <c r="E2300" s="13" t="s">
        <v>2237</v>
      </c>
      <c r="F2300" s="15">
        <v>0</v>
      </c>
    </row>
    <row r="2301" spans="2:6" hidden="1" x14ac:dyDescent="0.2">
      <c r="B2301" s="14">
        <v>2013</v>
      </c>
      <c r="C2301" s="13" t="s">
        <v>2223</v>
      </c>
      <c r="D2301" s="13" t="s">
        <v>2237</v>
      </c>
      <c r="E2301" s="13" t="s">
        <v>2238</v>
      </c>
      <c r="F2301" s="15">
        <v>3</v>
      </c>
    </row>
    <row r="2302" spans="2:6" hidden="1" x14ac:dyDescent="0.2">
      <c r="B2302" s="14">
        <v>2013</v>
      </c>
      <c r="C2302" s="13" t="s">
        <v>2223</v>
      </c>
      <c r="D2302" s="13" t="s">
        <v>2237</v>
      </c>
      <c r="E2302" s="13" t="s">
        <v>2239</v>
      </c>
      <c r="F2302" s="15">
        <v>4</v>
      </c>
    </row>
    <row r="2303" spans="2:6" hidden="1" x14ac:dyDescent="0.2">
      <c r="B2303" s="14">
        <v>2013</v>
      </c>
      <c r="C2303" s="13" t="s">
        <v>2223</v>
      </c>
      <c r="D2303" s="13" t="s">
        <v>2237</v>
      </c>
      <c r="E2303" s="13" t="s">
        <v>2240</v>
      </c>
      <c r="F2303" s="15">
        <v>4</v>
      </c>
    </row>
    <row r="2304" spans="2:6" hidden="1" x14ac:dyDescent="0.2">
      <c r="B2304" s="14">
        <v>2013</v>
      </c>
      <c r="C2304" s="13" t="s">
        <v>2223</v>
      </c>
      <c r="D2304" s="13" t="s">
        <v>2237</v>
      </c>
      <c r="E2304" s="13" t="s">
        <v>2241</v>
      </c>
      <c r="F2304" s="15">
        <v>1</v>
      </c>
    </row>
    <row r="2305" spans="2:6" hidden="1" x14ac:dyDescent="0.2">
      <c r="B2305" s="14">
        <v>2013</v>
      </c>
      <c r="C2305" s="13" t="s">
        <v>2223</v>
      </c>
      <c r="D2305" s="13" t="s">
        <v>2237</v>
      </c>
      <c r="E2305" s="13" t="s">
        <v>2242</v>
      </c>
      <c r="F2305" s="15">
        <v>0</v>
      </c>
    </row>
    <row r="2306" spans="2:6" hidden="1" x14ac:dyDescent="0.2">
      <c r="B2306" s="14">
        <v>2013</v>
      </c>
      <c r="C2306" s="13" t="s">
        <v>2223</v>
      </c>
      <c r="D2306" s="13" t="s">
        <v>2243</v>
      </c>
      <c r="E2306" s="13" t="s">
        <v>2244</v>
      </c>
      <c r="F2306" s="15">
        <v>0</v>
      </c>
    </row>
    <row r="2307" spans="2:6" hidden="1" x14ac:dyDescent="0.2">
      <c r="B2307" s="14">
        <v>2013</v>
      </c>
      <c r="C2307" s="13" t="s">
        <v>2223</v>
      </c>
      <c r="D2307" s="13" t="s">
        <v>2243</v>
      </c>
      <c r="E2307" s="13" t="s">
        <v>2245</v>
      </c>
      <c r="F2307" s="15">
        <v>0</v>
      </c>
    </row>
    <row r="2308" spans="2:6" hidden="1" x14ac:dyDescent="0.2">
      <c r="B2308" s="14">
        <v>2013</v>
      </c>
      <c r="C2308" s="13" t="s">
        <v>2223</v>
      </c>
      <c r="D2308" s="13" t="s">
        <v>2243</v>
      </c>
      <c r="E2308" s="13" t="s">
        <v>2246</v>
      </c>
      <c r="F2308" s="15">
        <v>0</v>
      </c>
    </row>
    <row r="2309" spans="2:6" hidden="1" x14ac:dyDescent="0.2">
      <c r="B2309" s="14">
        <v>2013</v>
      </c>
      <c r="C2309" s="13" t="s">
        <v>2223</v>
      </c>
      <c r="D2309" s="13" t="s">
        <v>2243</v>
      </c>
      <c r="E2309" s="13" t="s">
        <v>2247</v>
      </c>
      <c r="F2309" s="15">
        <v>0</v>
      </c>
    </row>
    <row r="2310" spans="2:6" hidden="1" x14ac:dyDescent="0.2">
      <c r="B2310" s="14">
        <v>2013</v>
      </c>
      <c r="C2310" s="13" t="s">
        <v>2223</v>
      </c>
      <c r="D2310" s="13" t="s">
        <v>2248</v>
      </c>
      <c r="E2310" s="13" t="s">
        <v>2248</v>
      </c>
      <c r="F2310" s="15">
        <v>5</v>
      </c>
    </row>
    <row r="2311" spans="2:6" hidden="1" x14ac:dyDescent="0.2">
      <c r="B2311" s="14">
        <v>2013</v>
      </c>
      <c r="C2311" s="13" t="s">
        <v>2223</v>
      </c>
      <c r="D2311" s="13" t="s">
        <v>2248</v>
      </c>
      <c r="E2311" s="13" t="s">
        <v>2249</v>
      </c>
      <c r="F2311" s="15">
        <v>0</v>
      </c>
    </row>
    <row r="2312" spans="2:6" hidden="1" x14ac:dyDescent="0.2">
      <c r="B2312" s="14">
        <v>2013</v>
      </c>
      <c r="C2312" s="13" t="s">
        <v>2223</v>
      </c>
      <c r="D2312" s="13" t="s">
        <v>2248</v>
      </c>
      <c r="E2312" s="13" t="s">
        <v>2250</v>
      </c>
      <c r="F2312" s="15">
        <v>2</v>
      </c>
    </row>
    <row r="2313" spans="2:6" hidden="1" x14ac:dyDescent="0.2">
      <c r="B2313" s="14">
        <v>2013</v>
      </c>
      <c r="C2313" s="13" t="s">
        <v>2223</v>
      </c>
      <c r="D2313" s="13" t="s">
        <v>2248</v>
      </c>
      <c r="E2313" s="13" t="s">
        <v>2251</v>
      </c>
      <c r="F2313" s="15">
        <v>0</v>
      </c>
    </row>
    <row r="2314" spans="2:6" hidden="1" x14ac:dyDescent="0.2">
      <c r="B2314" s="14">
        <v>2013</v>
      </c>
      <c r="C2314" s="13" t="s">
        <v>2223</v>
      </c>
      <c r="D2314" s="13" t="s">
        <v>2248</v>
      </c>
      <c r="E2314" s="13" t="s">
        <v>2252</v>
      </c>
      <c r="F2314" s="15">
        <v>1</v>
      </c>
    </row>
    <row r="2315" spans="2:6" hidden="1" x14ac:dyDescent="0.2">
      <c r="B2315" s="14">
        <v>2013</v>
      </c>
      <c r="C2315" s="13" t="s">
        <v>2223</v>
      </c>
      <c r="D2315" s="13" t="s">
        <v>2248</v>
      </c>
      <c r="E2315" s="13" t="s">
        <v>2253</v>
      </c>
      <c r="F2315" s="15">
        <v>1</v>
      </c>
    </row>
    <row r="2316" spans="2:6" hidden="1" x14ac:dyDescent="0.2">
      <c r="B2316" s="14">
        <v>2013</v>
      </c>
      <c r="C2316" s="13" t="s">
        <v>2223</v>
      </c>
      <c r="D2316" s="13" t="s">
        <v>2248</v>
      </c>
      <c r="E2316" s="13" t="s">
        <v>2254</v>
      </c>
      <c r="F2316" s="15">
        <v>5</v>
      </c>
    </row>
    <row r="2317" spans="2:6" hidden="1" x14ac:dyDescent="0.2">
      <c r="B2317" s="14">
        <v>2013</v>
      </c>
      <c r="C2317" s="13" t="s">
        <v>2223</v>
      </c>
      <c r="D2317" s="13" t="s">
        <v>2248</v>
      </c>
      <c r="E2317" s="13" t="s">
        <v>2255</v>
      </c>
      <c r="F2317" s="15">
        <v>1</v>
      </c>
    </row>
    <row r="2318" spans="2:6" hidden="1" x14ac:dyDescent="0.2">
      <c r="B2318" s="14">
        <v>2013</v>
      </c>
      <c r="C2318" s="13" t="s">
        <v>2223</v>
      </c>
      <c r="D2318" s="13" t="s">
        <v>2256</v>
      </c>
      <c r="E2318" s="13" t="s">
        <v>2257</v>
      </c>
      <c r="F2318" s="15">
        <v>1</v>
      </c>
    </row>
    <row r="2319" spans="2:6" hidden="1" x14ac:dyDescent="0.2">
      <c r="B2319" s="14">
        <v>2013</v>
      </c>
      <c r="C2319" s="13" t="s">
        <v>2223</v>
      </c>
      <c r="D2319" s="13" t="s">
        <v>2256</v>
      </c>
      <c r="E2319" s="13" t="s">
        <v>2258</v>
      </c>
      <c r="F2319" s="15">
        <v>1</v>
      </c>
    </row>
    <row r="2320" spans="2:6" hidden="1" x14ac:dyDescent="0.2">
      <c r="B2320" s="14">
        <v>2013</v>
      </c>
      <c r="C2320" s="13" t="s">
        <v>2223</v>
      </c>
      <c r="D2320" s="13" t="s">
        <v>2256</v>
      </c>
      <c r="E2320" s="13" t="s">
        <v>2259</v>
      </c>
      <c r="F2320" s="15">
        <v>20</v>
      </c>
    </row>
    <row r="2321" spans="2:6" hidden="1" x14ac:dyDescent="0.2">
      <c r="B2321" s="14">
        <v>2013</v>
      </c>
      <c r="C2321" s="13" t="s">
        <v>2223</v>
      </c>
      <c r="D2321" s="13" t="s">
        <v>2256</v>
      </c>
      <c r="E2321" s="13" t="s">
        <v>2260</v>
      </c>
      <c r="F2321" s="15">
        <v>0</v>
      </c>
    </row>
    <row r="2322" spans="2:6" hidden="1" x14ac:dyDescent="0.2">
      <c r="B2322" s="14">
        <v>2013</v>
      </c>
      <c r="C2322" s="13" t="s">
        <v>2223</v>
      </c>
      <c r="D2322" s="13" t="s">
        <v>2256</v>
      </c>
      <c r="E2322" s="13" t="s">
        <v>2261</v>
      </c>
      <c r="F2322" s="15">
        <v>1</v>
      </c>
    </row>
    <row r="2323" spans="2:6" hidden="1" x14ac:dyDescent="0.2">
      <c r="B2323" s="14">
        <v>2013</v>
      </c>
      <c r="C2323" s="13" t="s">
        <v>2223</v>
      </c>
      <c r="D2323" s="13" t="s">
        <v>2256</v>
      </c>
      <c r="E2323" s="13" t="s">
        <v>2262</v>
      </c>
      <c r="F2323" s="15">
        <v>0</v>
      </c>
    </row>
    <row r="2324" spans="2:6" hidden="1" x14ac:dyDescent="0.2">
      <c r="B2324" s="14">
        <v>2013</v>
      </c>
      <c r="C2324" s="13" t="s">
        <v>2223</v>
      </c>
      <c r="D2324" s="13" t="s">
        <v>2256</v>
      </c>
      <c r="E2324" s="13" t="s">
        <v>1858</v>
      </c>
      <c r="F2324" s="15">
        <v>10</v>
      </c>
    </row>
    <row r="2325" spans="2:6" hidden="1" x14ac:dyDescent="0.2">
      <c r="B2325" s="14">
        <v>2013</v>
      </c>
      <c r="C2325" s="13" t="s">
        <v>2223</v>
      </c>
      <c r="D2325" s="13" t="s">
        <v>2256</v>
      </c>
      <c r="E2325" s="13" t="s">
        <v>2263</v>
      </c>
      <c r="F2325" s="15">
        <v>0</v>
      </c>
    </row>
    <row r="2326" spans="2:6" hidden="1" x14ac:dyDescent="0.2">
      <c r="B2326" s="14">
        <v>2013</v>
      </c>
      <c r="C2326" s="13" t="s">
        <v>2223</v>
      </c>
      <c r="D2326" s="13" t="s">
        <v>2256</v>
      </c>
      <c r="E2326" s="13" t="s">
        <v>2264</v>
      </c>
      <c r="F2326" s="15">
        <v>0</v>
      </c>
    </row>
    <row r="2327" spans="2:6" hidden="1" x14ac:dyDescent="0.2">
      <c r="B2327" s="14">
        <v>2013</v>
      </c>
      <c r="C2327" s="13" t="s">
        <v>2223</v>
      </c>
      <c r="D2327" s="13" t="s">
        <v>2265</v>
      </c>
      <c r="E2327" s="13" t="s">
        <v>2266</v>
      </c>
      <c r="F2327" s="15">
        <v>20</v>
      </c>
    </row>
    <row r="2328" spans="2:6" hidden="1" x14ac:dyDescent="0.2">
      <c r="B2328" s="14">
        <v>2013</v>
      </c>
      <c r="C2328" s="13" t="s">
        <v>2223</v>
      </c>
      <c r="D2328" s="13" t="s">
        <v>2265</v>
      </c>
      <c r="E2328" s="13" t="s">
        <v>2267</v>
      </c>
      <c r="F2328" s="15">
        <v>0</v>
      </c>
    </row>
    <row r="2329" spans="2:6" hidden="1" x14ac:dyDescent="0.2">
      <c r="B2329" s="14">
        <v>2013</v>
      </c>
      <c r="C2329" s="13" t="s">
        <v>2223</v>
      </c>
      <c r="D2329" s="13" t="s">
        <v>2265</v>
      </c>
      <c r="E2329" s="13" t="s">
        <v>1985</v>
      </c>
      <c r="F2329" s="15">
        <v>4</v>
      </c>
    </row>
    <row r="2330" spans="2:6" hidden="1" x14ac:dyDescent="0.2">
      <c r="B2330" s="14">
        <v>2013</v>
      </c>
      <c r="C2330" s="13" t="s">
        <v>2223</v>
      </c>
      <c r="D2330" s="13" t="s">
        <v>2265</v>
      </c>
      <c r="E2330" s="13" t="s">
        <v>2268</v>
      </c>
      <c r="F2330" s="15">
        <v>4</v>
      </c>
    </row>
    <row r="2331" spans="2:6" hidden="1" x14ac:dyDescent="0.2">
      <c r="B2331" s="14">
        <v>2013</v>
      </c>
      <c r="C2331" s="13" t="s">
        <v>2223</v>
      </c>
      <c r="D2331" s="13" t="s">
        <v>2265</v>
      </c>
      <c r="E2331" s="13" t="s">
        <v>2269</v>
      </c>
      <c r="F2331" s="15">
        <v>2</v>
      </c>
    </row>
    <row r="2332" spans="2:6" hidden="1" x14ac:dyDescent="0.2">
      <c r="B2332" s="14">
        <v>2013</v>
      </c>
      <c r="C2332" s="13" t="s">
        <v>2223</v>
      </c>
      <c r="D2332" s="13" t="s">
        <v>2265</v>
      </c>
      <c r="E2332" s="13" t="s">
        <v>2270</v>
      </c>
      <c r="F2332" s="15">
        <v>3</v>
      </c>
    </row>
    <row r="2333" spans="2:6" hidden="1" x14ac:dyDescent="0.2">
      <c r="B2333" s="14">
        <v>2013</v>
      </c>
      <c r="C2333" s="13" t="s">
        <v>2223</v>
      </c>
      <c r="D2333" s="13" t="s">
        <v>2265</v>
      </c>
      <c r="E2333" s="13" t="s">
        <v>2271</v>
      </c>
      <c r="F2333" s="15">
        <v>0</v>
      </c>
    </row>
    <row r="2334" spans="2:6" hidden="1" x14ac:dyDescent="0.2">
      <c r="B2334" s="14">
        <v>2013</v>
      </c>
      <c r="C2334" s="13" t="s">
        <v>2223</v>
      </c>
      <c r="D2334" s="13" t="s">
        <v>2265</v>
      </c>
      <c r="E2334" s="13" t="s">
        <v>2272</v>
      </c>
      <c r="F2334" s="15">
        <v>0</v>
      </c>
    </row>
    <row r="2335" spans="2:6" hidden="1" x14ac:dyDescent="0.2">
      <c r="B2335" s="14">
        <v>2013</v>
      </c>
      <c r="C2335" s="13" t="s">
        <v>2223</v>
      </c>
      <c r="D2335" s="13" t="s">
        <v>2265</v>
      </c>
      <c r="E2335" s="13" t="s">
        <v>2273</v>
      </c>
      <c r="F2335" s="15">
        <v>1</v>
      </c>
    </row>
    <row r="2336" spans="2:6" hidden="1" x14ac:dyDescent="0.2">
      <c r="B2336" s="14">
        <v>2013</v>
      </c>
      <c r="C2336" s="13" t="s">
        <v>2223</v>
      </c>
      <c r="D2336" s="13" t="s">
        <v>2265</v>
      </c>
      <c r="E2336" s="13" t="s">
        <v>2274</v>
      </c>
      <c r="F2336" s="15">
        <v>0</v>
      </c>
    </row>
    <row r="2337" spans="2:6" hidden="1" x14ac:dyDescent="0.2">
      <c r="B2337" s="14">
        <v>2013</v>
      </c>
      <c r="C2337" s="13" t="s">
        <v>2223</v>
      </c>
      <c r="D2337" s="13" t="s">
        <v>2265</v>
      </c>
      <c r="E2337" s="13" t="s">
        <v>2265</v>
      </c>
      <c r="F2337" s="15">
        <v>1</v>
      </c>
    </row>
    <row r="2338" spans="2:6" hidden="1" x14ac:dyDescent="0.2">
      <c r="B2338" s="14">
        <v>2013</v>
      </c>
      <c r="C2338" s="13" t="s">
        <v>2223</v>
      </c>
      <c r="D2338" s="13" t="s">
        <v>2265</v>
      </c>
      <c r="E2338" s="13" t="s">
        <v>2275</v>
      </c>
      <c r="F2338" s="15">
        <v>0</v>
      </c>
    </row>
    <row r="2339" spans="2:6" hidden="1" x14ac:dyDescent="0.2">
      <c r="B2339" s="14">
        <v>2013</v>
      </c>
      <c r="C2339" s="13" t="s">
        <v>2223</v>
      </c>
      <c r="D2339" s="13" t="s">
        <v>2265</v>
      </c>
      <c r="E2339" s="13" t="s">
        <v>2276</v>
      </c>
      <c r="F2339" s="15">
        <v>0</v>
      </c>
    </row>
    <row r="2340" spans="2:6" hidden="1" x14ac:dyDescent="0.2">
      <c r="B2340" s="14">
        <v>2013</v>
      </c>
      <c r="C2340" s="13" t="s">
        <v>2223</v>
      </c>
      <c r="D2340" s="13" t="s">
        <v>2265</v>
      </c>
      <c r="E2340" s="13" t="s">
        <v>2277</v>
      </c>
      <c r="F2340" s="15">
        <v>0</v>
      </c>
    </row>
    <row r="2341" spans="2:6" hidden="1" x14ac:dyDescent="0.2">
      <c r="B2341" s="14">
        <v>2013</v>
      </c>
      <c r="C2341" s="13" t="s">
        <v>2223</v>
      </c>
      <c r="D2341" s="13" t="s">
        <v>2265</v>
      </c>
      <c r="E2341" s="13" t="s">
        <v>1840</v>
      </c>
      <c r="F2341" s="15">
        <v>0</v>
      </c>
    </row>
    <row r="2342" spans="2:6" hidden="1" x14ac:dyDescent="0.2">
      <c r="B2342" s="14">
        <v>2013</v>
      </c>
      <c r="C2342" s="13" t="s">
        <v>2223</v>
      </c>
      <c r="D2342" s="13" t="s">
        <v>2265</v>
      </c>
      <c r="E2342" s="13" t="s">
        <v>2023</v>
      </c>
      <c r="F2342" s="15">
        <v>0</v>
      </c>
    </row>
    <row r="2343" spans="2:6" hidden="1" x14ac:dyDescent="0.2">
      <c r="B2343" s="14">
        <v>2013</v>
      </c>
      <c r="C2343" s="13" t="s">
        <v>2223</v>
      </c>
      <c r="D2343" s="13" t="s">
        <v>2265</v>
      </c>
      <c r="E2343" s="13" t="s">
        <v>1982</v>
      </c>
      <c r="F2343" s="15">
        <v>0</v>
      </c>
    </row>
    <row r="2344" spans="2:6" hidden="1" x14ac:dyDescent="0.2">
      <c r="B2344" s="14">
        <v>2013</v>
      </c>
      <c r="C2344" s="13" t="s">
        <v>2223</v>
      </c>
      <c r="D2344" s="13" t="s">
        <v>2265</v>
      </c>
      <c r="E2344" s="13" t="s">
        <v>2278</v>
      </c>
      <c r="F2344" s="15">
        <v>0</v>
      </c>
    </row>
    <row r="2345" spans="2:6" hidden="1" x14ac:dyDescent="0.2">
      <c r="B2345" s="14">
        <v>2013</v>
      </c>
      <c r="C2345" s="13" t="s">
        <v>2223</v>
      </c>
      <c r="D2345" s="13" t="s">
        <v>2265</v>
      </c>
      <c r="E2345" s="13" t="s">
        <v>2244</v>
      </c>
      <c r="F2345" s="15">
        <v>0</v>
      </c>
    </row>
    <row r="2346" spans="2:6" hidden="1" x14ac:dyDescent="0.2">
      <c r="B2346" s="14">
        <v>2013</v>
      </c>
      <c r="C2346" s="13" t="s">
        <v>2223</v>
      </c>
      <c r="D2346" s="13" t="s">
        <v>2265</v>
      </c>
      <c r="E2346" s="13" t="s">
        <v>2279</v>
      </c>
      <c r="F2346" s="15">
        <v>0</v>
      </c>
    </row>
    <row r="2347" spans="2:6" hidden="1" x14ac:dyDescent="0.2">
      <c r="B2347" s="14">
        <v>2013</v>
      </c>
      <c r="C2347" s="13" t="s">
        <v>2223</v>
      </c>
      <c r="D2347" s="13" t="s">
        <v>2265</v>
      </c>
      <c r="E2347" s="13" t="s">
        <v>2280</v>
      </c>
      <c r="F2347" s="15">
        <v>0</v>
      </c>
    </row>
    <row r="2348" spans="2:6" hidden="1" x14ac:dyDescent="0.2">
      <c r="B2348" s="14">
        <v>2013</v>
      </c>
      <c r="C2348" s="13" t="s">
        <v>2223</v>
      </c>
      <c r="D2348" s="13" t="s">
        <v>2281</v>
      </c>
      <c r="E2348" s="13" t="s">
        <v>2282</v>
      </c>
      <c r="F2348" s="15">
        <v>16</v>
      </c>
    </row>
    <row r="2349" spans="2:6" hidden="1" x14ac:dyDescent="0.2">
      <c r="B2349" s="14">
        <v>2013</v>
      </c>
      <c r="C2349" s="13" t="s">
        <v>2223</v>
      </c>
      <c r="D2349" s="13" t="s">
        <v>2281</v>
      </c>
      <c r="E2349" s="13" t="s">
        <v>2283</v>
      </c>
      <c r="F2349" s="15">
        <v>0</v>
      </c>
    </row>
    <row r="2350" spans="2:6" hidden="1" x14ac:dyDescent="0.2">
      <c r="B2350" s="14">
        <v>2013</v>
      </c>
      <c r="C2350" s="13" t="s">
        <v>2223</v>
      </c>
      <c r="D2350" s="13" t="s">
        <v>2281</v>
      </c>
      <c r="E2350" s="13" t="s">
        <v>2284</v>
      </c>
      <c r="F2350" s="15">
        <v>0</v>
      </c>
    </row>
    <row r="2351" spans="2:6" hidden="1" x14ac:dyDescent="0.2">
      <c r="B2351" s="14">
        <v>2013</v>
      </c>
      <c r="C2351" s="13" t="s">
        <v>2223</v>
      </c>
      <c r="D2351" s="13" t="s">
        <v>2281</v>
      </c>
      <c r="E2351" s="13" t="s">
        <v>2285</v>
      </c>
      <c r="F2351" s="15">
        <v>0</v>
      </c>
    </row>
    <row r="2352" spans="2:6" hidden="1" x14ac:dyDescent="0.2">
      <c r="B2352" s="14">
        <v>2013</v>
      </c>
      <c r="C2352" s="13" t="s">
        <v>2223</v>
      </c>
      <c r="D2352" s="13" t="s">
        <v>2281</v>
      </c>
      <c r="E2352" s="13" t="s">
        <v>2286</v>
      </c>
      <c r="F2352" s="15">
        <v>0</v>
      </c>
    </row>
    <row r="2353" spans="2:6" hidden="1" x14ac:dyDescent="0.2">
      <c r="B2353" s="14">
        <v>2013</v>
      </c>
      <c r="C2353" s="13" t="s">
        <v>2223</v>
      </c>
      <c r="D2353" s="13" t="s">
        <v>2281</v>
      </c>
      <c r="E2353" s="13" t="s">
        <v>2287</v>
      </c>
      <c r="F2353" s="15">
        <v>0</v>
      </c>
    </row>
    <row r="2354" spans="2:6" hidden="1" x14ac:dyDescent="0.2">
      <c r="B2354" s="14">
        <v>2013</v>
      </c>
      <c r="C2354" s="13" t="s">
        <v>2223</v>
      </c>
      <c r="D2354" s="13" t="s">
        <v>2281</v>
      </c>
      <c r="E2354" s="13" t="s">
        <v>2288</v>
      </c>
      <c r="F2354" s="15">
        <v>0</v>
      </c>
    </row>
    <row r="2355" spans="2:6" hidden="1" x14ac:dyDescent="0.2">
      <c r="B2355" s="14">
        <v>2013</v>
      </c>
      <c r="C2355" s="13" t="s">
        <v>2223</v>
      </c>
      <c r="D2355" s="13" t="s">
        <v>2281</v>
      </c>
      <c r="E2355" s="13" t="s">
        <v>2289</v>
      </c>
      <c r="F2355" s="15">
        <v>0</v>
      </c>
    </row>
    <row r="2356" spans="2:6" hidden="1" x14ac:dyDescent="0.2">
      <c r="B2356" s="14">
        <v>2013</v>
      </c>
      <c r="C2356" s="13" t="s">
        <v>2223</v>
      </c>
      <c r="D2356" s="13" t="s">
        <v>2290</v>
      </c>
      <c r="E2356" s="13" t="s">
        <v>2291</v>
      </c>
      <c r="F2356" s="15">
        <v>3</v>
      </c>
    </row>
    <row r="2357" spans="2:6" hidden="1" x14ac:dyDescent="0.2">
      <c r="B2357" s="14">
        <v>2013</v>
      </c>
      <c r="C2357" s="13" t="s">
        <v>2223</v>
      </c>
      <c r="D2357" s="13" t="s">
        <v>2290</v>
      </c>
      <c r="E2357" s="13" t="s">
        <v>2292</v>
      </c>
      <c r="F2357" s="15">
        <v>0</v>
      </c>
    </row>
    <row r="2358" spans="2:6" hidden="1" x14ac:dyDescent="0.2">
      <c r="B2358" s="14">
        <v>2013</v>
      </c>
      <c r="C2358" s="13" t="s">
        <v>2223</v>
      </c>
      <c r="D2358" s="13" t="s">
        <v>2290</v>
      </c>
      <c r="E2358" s="13" t="s">
        <v>2293</v>
      </c>
      <c r="F2358" s="15">
        <v>0</v>
      </c>
    </row>
    <row r="2359" spans="2:6" hidden="1" x14ac:dyDescent="0.2">
      <c r="B2359" s="14">
        <v>2013</v>
      </c>
      <c r="C2359" s="13" t="s">
        <v>2223</v>
      </c>
      <c r="D2359" s="13" t="s">
        <v>2290</v>
      </c>
      <c r="E2359" s="13" t="s">
        <v>2294</v>
      </c>
      <c r="F2359" s="15">
        <v>0</v>
      </c>
    </row>
    <row r="2360" spans="2:6" hidden="1" x14ac:dyDescent="0.2">
      <c r="B2360" s="14">
        <v>2013</v>
      </c>
      <c r="C2360" s="13" t="s">
        <v>2223</v>
      </c>
      <c r="D2360" s="13" t="s">
        <v>2290</v>
      </c>
      <c r="E2360" s="13" t="s">
        <v>2295</v>
      </c>
      <c r="F2360" s="15">
        <v>5</v>
      </c>
    </row>
    <row r="2361" spans="2:6" hidden="1" x14ac:dyDescent="0.2">
      <c r="B2361" s="14">
        <v>2013</v>
      </c>
      <c r="C2361" s="13" t="s">
        <v>2223</v>
      </c>
      <c r="D2361" s="13" t="s">
        <v>2290</v>
      </c>
      <c r="E2361" s="13" t="s">
        <v>2296</v>
      </c>
      <c r="F2361" s="15">
        <v>1</v>
      </c>
    </row>
    <row r="2362" spans="2:6" hidden="1" x14ac:dyDescent="0.2">
      <c r="B2362" s="14">
        <v>2013</v>
      </c>
      <c r="C2362" s="13" t="s">
        <v>2223</v>
      </c>
      <c r="D2362" s="13" t="s">
        <v>2290</v>
      </c>
      <c r="E2362" s="13" t="s">
        <v>2297</v>
      </c>
      <c r="F2362" s="15">
        <v>0</v>
      </c>
    </row>
    <row r="2363" spans="2:6" hidden="1" x14ac:dyDescent="0.2">
      <c r="B2363" s="14">
        <v>2013</v>
      </c>
      <c r="C2363" s="13" t="s">
        <v>2223</v>
      </c>
      <c r="D2363" s="13" t="s">
        <v>2290</v>
      </c>
      <c r="E2363" s="13" t="s">
        <v>2298</v>
      </c>
      <c r="F2363" s="15">
        <v>1</v>
      </c>
    </row>
    <row r="2364" spans="2:6" hidden="1" x14ac:dyDescent="0.2">
      <c r="B2364" s="14">
        <v>2013</v>
      </c>
      <c r="C2364" s="13" t="s">
        <v>2223</v>
      </c>
      <c r="D2364" s="13" t="s">
        <v>2290</v>
      </c>
      <c r="E2364" s="13" t="s">
        <v>2299</v>
      </c>
      <c r="F2364" s="15">
        <v>0</v>
      </c>
    </row>
    <row r="2365" spans="2:6" hidden="1" x14ac:dyDescent="0.2">
      <c r="B2365" s="14">
        <v>2013</v>
      </c>
      <c r="C2365" s="13" t="s">
        <v>2223</v>
      </c>
      <c r="D2365" s="13" t="s">
        <v>2290</v>
      </c>
      <c r="E2365" s="13" t="s">
        <v>2300</v>
      </c>
      <c r="F2365" s="15">
        <v>1</v>
      </c>
    </row>
    <row r="2366" spans="2:6" hidden="1" x14ac:dyDescent="0.2">
      <c r="B2366" s="14">
        <v>2013</v>
      </c>
      <c r="C2366" s="13" t="s">
        <v>2223</v>
      </c>
      <c r="D2366" s="13" t="s">
        <v>2301</v>
      </c>
      <c r="E2366" s="13" t="s">
        <v>2302</v>
      </c>
      <c r="F2366" s="15">
        <v>3</v>
      </c>
    </row>
    <row r="2367" spans="2:6" hidden="1" x14ac:dyDescent="0.2">
      <c r="B2367" s="14">
        <v>2013</v>
      </c>
      <c r="C2367" s="13" t="s">
        <v>2223</v>
      </c>
      <c r="D2367" s="13" t="s">
        <v>2301</v>
      </c>
      <c r="E2367" s="13" t="s">
        <v>2303</v>
      </c>
      <c r="F2367" s="15">
        <v>0</v>
      </c>
    </row>
    <row r="2368" spans="2:6" hidden="1" x14ac:dyDescent="0.2">
      <c r="B2368" s="14">
        <v>2013</v>
      </c>
      <c r="C2368" s="13" t="s">
        <v>2223</v>
      </c>
      <c r="D2368" s="13" t="s">
        <v>2301</v>
      </c>
      <c r="E2368" s="13" t="s">
        <v>2304</v>
      </c>
      <c r="F2368" s="15">
        <v>0</v>
      </c>
    </row>
    <row r="2369" spans="2:6" hidden="1" x14ac:dyDescent="0.2">
      <c r="B2369" s="14">
        <v>2013</v>
      </c>
      <c r="C2369" s="13" t="s">
        <v>2223</v>
      </c>
      <c r="D2369" s="13" t="s">
        <v>2301</v>
      </c>
      <c r="E2369" s="13" t="s">
        <v>2305</v>
      </c>
      <c r="F2369" s="15">
        <v>0</v>
      </c>
    </row>
    <row r="2370" spans="2:6" hidden="1" x14ac:dyDescent="0.2">
      <c r="B2370" s="14">
        <v>2013</v>
      </c>
      <c r="C2370" s="13" t="s">
        <v>2223</v>
      </c>
      <c r="D2370" s="13" t="s">
        <v>2301</v>
      </c>
      <c r="E2370" s="13" t="s">
        <v>2306</v>
      </c>
      <c r="F2370" s="15">
        <v>0</v>
      </c>
    </row>
    <row r="2371" spans="2:6" hidden="1" x14ac:dyDescent="0.2">
      <c r="B2371" s="14">
        <v>2013</v>
      </c>
      <c r="C2371" s="13" t="s">
        <v>2223</v>
      </c>
      <c r="D2371" s="13" t="s">
        <v>2301</v>
      </c>
      <c r="E2371" s="13" t="s">
        <v>2307</v>
      </c>
      <c r="F2371" s="15">
        <v>0</v>
      </c>
    </row>
    <row r="2372" spans="2:6" hidden="1" x14ac:dyDescent="0.2">
      <c r="B2372" s="14">
        <v>2013</v>
      </c>
      <c r="C2372" s="13" t="s">
        <v>2223</v>
      </c>
      <c r="D2372" s="13" t="s">
        <v>2301</v>
      </c>
      <c r="E2372" s="13" t="s">
        <v>2308</v>
      </c>
      <c r="F2372" s="15">
        <v>0</v>
      </c>
    </row>
    <row r="2373" spans="2:6" hidden="1" x14ac:dyDescent="0.2">
      <c r="B2373" s="14">
        <v>2013</v>
      </c>
      <c r="C2373" s="13" t="s">
        <v>2223</v>
      </c>
      <c r="D2373" s="13" t="s">
        <v>2301</v>
      </c>
      <c r="E2373" s="13" t="s">
        <v>2309</v>
      </c>
      <c r="F2373" s="15">
        <v>0</v>
      </c>
    </row>
    <row r="2374" spans="2:6" hidden="1" x14ac:dyDescent="0.2">
      <c r="B2374" s="14">
        <v>2013</v>
      </c>
      <c r="C2374" s="13" t="s">
        <v>2223</v>
      </c>
      <c r="D2374" s="13" t="s">
        <v>2301</v>
      </c>
      <c r="E2374" s="13" t="s">
        <v>2310</v>
      </c>
      <c r="F2374" s="15">
        <v>0</v>
      </c>
    </row>
    <row r="2375" spans="2:6" hidden="1" x14ac:dyDescent="0.2">
      <c r="B2375" s="14">
        <v>2013</v>
      </c>
      <c r="C2375" s="13" t="s">
        <v>2223</v>
      </c>
      <c r="D2375" s="13" t="s">
        <v>2301</v>
      </c>
      <c r="E2375" s="13" t="s">
        <v>2311</v>
      </c>
      <c r="F2375" s="15">
        <v>0</v>
      </c>
    </row>
    <row r="2376" spans="2:6" hidden="1" x14ac:dyDescent="0.2">
      <c r="B2376" s="14">
        <v>2013</v>
      </c>
      <c r="C2376" s="13" t="s">
        <v>2223</v>
      </c>
      <c r="D2376" s="13" t="s">
        <v>2301</v>
      </c>
      <c r="E2376" s="13" t="s">
        <v>2312</v>
      </c>
      <c r="F2376" s="15">
        <v>1</v>
      </c>
    </row>
    <row r="2377" spans="2:6" hidden="1" x14ac:dyDescent="0.2">
      <c r="B2377" s="14">
        <v>2013</v>
      </c>
      <c r="C2377" s="13" t="s">
        <v>2223</v>
      </c>
      <c r="D2377" s="13" t="s">
        <v>2313</v>
      </c>
      <c r="E2377" s="13" t="s">
        <v>2314</v>
      </c>
      <c r="F2377" s="15">
        <v>0</v>
      </c>
    </row>
    <row r="2378" spans="2:6" hidden="1" x14ac:dyDescent="0.2">
      <c r="B2378" s="14">
        <v>2013</v>
      </c>
      <c r="C2378" s="13" t="s">
        <v>2223</v>
      </c>
      <c r="D2378" s="13" t="s">
        <v>2313</v>
      </c>
      <c r="E2378" s="13" t="s">
        <v>2315</v>
      </c>
      <c r="F2378" s="15">
        <v>0</v>
      </c>
    </row>
    <row r="2379" spans="2:6" hidden="1" x14ac:dyDescent="0.2">
      <c r="B2379" s="14">
        <v>2013</v>
      </c>
      <c r="C2379" s="13" t="s">
        <v>2223</v>
      </c>
      <c r="D2379" s="13" t="s">
        <v>2313</v>
      </c>
      <c r="E2379" s="13" t="s">
        <v>2316</v>
      </c>
      <c r="F2379" s="15">
        <v>0</v>
      </c>
    </row>
    <row r="2380" spans="2:6" hidden="1" x14ac:dyDescent="0.2">
      <c r="B2380" s="14">
        <v>2013</v>
      </c>
      <c r="C2380" s="13" t="s">
        <v>2223</v>
      </c>
      <c r="D2380" s="13" t="s">
        <v>2313</v>
      </c>
      <c r="E2380" s="13" t="s">
        <v>2317</v>
      </c>
      <c r="F2380" s="15">
        <v>0</v>
      </c>
    </row>
    <row r="2381" spans="2:6" hidden="1" x14ac:dyDescent="0.2">
      <c r="B2381" s="14">
        <v>2013</v>
      </c>
      <c r="C2381" s="13" t="s">
        <v>2223</v>
      </c>
      <c r="D2381" s="13" t="s">
        <v>2313</v>
      </c>
      <c r="E2381" s="13" t="s">
        <v>2318</v>
      </c>
      <c r="F2381" s="15">
        <v>2</v>
      </c>
    </row>
    <row r="2382" spans="2:6" hidden="1" x14ac:dyDescent="0.2">
      <c r="B2382" s="14">
        <v>2013</v>
      </c>
      <c r="C2382" s="13" t="s">
        <v>2223</v>
      </c>
      <c r="D2382" s="13" t="s">
        <v>2313</v>
      </c>
      <c r="E2382" s="13" t="s">
        <v>2319</v>
      </c>
      <c r="F2382" s="15">
        <v>0</v>
      </c>
    </row>
    <row r="2383" spans="2:6" hidden="1" x14ac:dyDescent="0.2">
      <c r="B2383" s="14">
        <v>2013</v>
      </c>
      <c r="C2383" s="13" t="s">
        <v>2223</v>
      </c>
      <c r="D2383" s="13" t="s">
        <v>2313</v>
      </c>
      <c r="E2383" s="13" t="s">
        <v>2320</v>
      </c>
      <c r="F2383" s="15">
        <v>0</v>
      </c>
    </row>
    <row r="2384" spans="2:6" hidden="1" x14ac:dyDescent="0.2">
      <c r="B2384" s="14">
        <v>2013</v>
      </c>
      <c r="C2384" s="13" t="s">
        <v>2223</v>
      </c>
      <c r="D2384" s="13" t="s">
        <v>2313</v>
      </c>
      <c r="E2384" s="13" t="s">
        <v>2321</v>
      </c>
      <c r="F2384" s="15">
        <v>0</v>
      </c>
    </row>
    <row r="2385" spans="2:6" hidden="1" x14ac:dyDescent="0.2">
      <c r="B2385" s="14">
        <v>2013</v>
      </c>
      <c r="C2385" s="13" t="s">
        <v>2223</v>
      </c>
      <c r="D2385" s="13" t="s">
        <v>2313</v>
      </c>
      <c r="E2385" s="13" t="s">
        <v>2322</v>
      </c>
      <c r="F2385" s="15">
        <v>0</v>
      </c>
    </row>
    <row r="2386" spans="2:6" hidden="1" x14ac:dyDescent="0.2">
      <c r="B2386" s="14">
        <v>2013</v>
      </c>
      <c r="C2386" s="13" t="s">
        <v>2223</v>
      </c>
      <c r="D2386" s="13" t="s">
        <v>2313</v>
      </c>
      <c r="E2386" s="13" t="s">
        <v>2323</v>
      </c>
      <c r="F2386" s="15">
        <v>0</v>
      </c>
    </row>
    <row r="2387" spans="2:6" hidden="1" x14ac:dyDescent="0.2">
      <c r="B2387" s="14">
        <v>2013</v>
      </c>
      <c r="C2387" s="13" t="s">
        <v>2223</v>
      </c>
      <c r="D2387" s="13" t="s">
        <v>2313</v>
      </c>
      <c r="E2387" s="13" t="s">
        <v>2324</v>
      </c>
      <c r="F2387" s="15">
        <v>0</v>
      </c>
    </row>
    <row r="2388" spans="2:6" hidden="1" x14ac:dyDescent="0.2">
      <c r="B2388" s="14">
        <v>2013</v>
      </c>
      <c r="C2388" s="13" t="s">
        <v>2223</v>
      </c>
      <c r="D2388" s="13" t="s">
        <v>2313</v>
      </c>
      <c r="E2388" s="13" t="s">
        <v>2325</v>
      </c>
      <c r="F2388" s="15">
        <v>0</v>
      </c>
    </row>
    <row r="2389" spans="2:6" hidden="1" x14ac:dyDescent="0.2">
      <c r="B2389" s="14">
        <v>2013</v>
      </c>
      <c r="C2389" s="13" t="s">
        <v>2223</v>
      </c>
      <c r="D2389" s="13" t="s">
        <v>2326</v>
      </c>
      <c r="E2389" s="13" t="s">
        <v>2326</v>
      </c>
      <c r="F2389" s="15">
        <v>6</v>
      </c>
    </row>
    <row r="2390" spans="2:6" hidden="1" x14ac:dyDescent="0.2">
      <c r="B2390" s="14">
        <v>2013</v>
      </c>
      <c r="C2390" s="13" t="s">
        <v>2223</v>
      </c>
      <c r="D2390" s="13" t="s">
        <v>2326</v>
      </c>
      <c r="E2390" s="13" t="s">
        <v>2327</v>
      </c>
      <c r="F2390" s="15">
        <v>0</v>
      </c>
    </row>
    <row r="2391" spans="2:6" hidden="1" x14ac:dyDescent="0.2">
      <c r="B2391" s="14">
        <v>2013</v>
      </c>
      <c r="C2391" s="13" t="s">
        <v>2223</v>
      </c>
      <c r="D2391" s="13" t="s">
        <v>2326</v>
      </c>
      <c r="E2391" s="13" t="s">
        <v>2328</v>
      </c>
      <c r="F2391" s="15">
        <v>0</v>
      </c>
    </row>
    <row r="2392" spans="2:6" hidden="1" x14ac:dyDescent="0.2">
      <c r="B2392" s="14">
        <v>2013</v>
      </c>
      <c r="C2392" s="13" t="s">
        <v>2223</v>
      </c>
      <c r="D2392" s="13" t="s">
        <v>2326</v>
      </c>
      <c r="E2392" s="13" t="s">
        <v>2329</v>
      </c>
      <c r="F2392" s="15">
        <v>0</v>
      </c>
    </row>
    <row r="2393" spans="2:6" hidden="1" x14ac:dyDescent="0.2">
      <c r="B2393" s="14">
        <v>2013</v>
      </c>
      <c r="C2393" s="13" t="s">
        <v>2223</v>
      </c>
      <c r="D2393" s="13" t="s">
        <v>2326</v>
      </c>
      <c r="E2393" s="13" t="s">
        <v>2330</v>
      </c>
      <c r="F2393" s="15">
        <v>1</v>
      </c>
    </row>
    <row r="2394" spans="2:6" hidden="1" x14ac:dyDescent="0.2">
      <c r="B2394" s="14">
        <v>2013</v>
      </c>
      <c r="C2394" s="13" t="s">
        <v>2223</v>
      </c>
      <c r="D2394" s="13" t="s">
        <v>2326</v>
      </c>
      <c r="E2394" s="13" t="s">
        <v>1874</v>
      </c>
      <c r="F2394" s="15">
        <v>0</v>
      </c>
    </row>
    <row r="2395" spans="2:6" hidden="1" x14ac:dyDescent="0.2">
      <c r="B2395" s="14">
        <v>2013</v>
      </c>
      <c r="C2395" s="13" t="s">
        <v>2223</v>
      </c>
      <c r="D2395" s="13" t="s">
        <v>2326</v>
      </c>
      <c r="E2395" s="13" t="s">
        <v>2331</v>
      </c>
      <c r="F2395" s="15">
        <v>0</v>
      </c>
    </row>
    <row r="2396" spans="2:6" hidden="1" x14ac:dyDescent="0.2">
      <c r="B2396" s="14">
        <v>2013</v>
      </c>
      <c r="C2396" s="13" t="s">
        <v>2223</v>
      </c>
      <c r="D2396" s="13" t="s">
        <v>2326</v>
      </c>
      <c r="E2396" s="13" t="s">
        <v>2332</v>
      </c>
      <c r="F2396" s="15">
        <v>2</v>
      </c>
    </row>
    <row r="2397" spans="2:6" hidden="1" x14ac:dyDescent="0.2">
      <c r="B2397" s="14">
        <v>2013</v>
      </c>
      <c r="C2397" s="13" t="s">
        <v>2333</v>
      </c>
      <c r="D2397" s="13" t="s">
        <v>2333</v>
      </c>
      <c r="E2397" s="13" t="s">
        <v>2333</v>
      </c>
      <c r="F2397" s="15">
        <v>193</v>
      </c>
    </row>
    <row r="2398" spans="2:6" hidden="1" x14ac:dyDescent="0.2">
      <c r="B2398" s="14">
        <v>2013</v>
      </c>
      <c r="C2398" s="13" t="s">
        <v>2333</v>
      </c>
      <c r="D2398" s="13" t="s">
        <v>2333</v>
      </c>
      <c r="E2398" s="13" t="s">
        <v>1782</v>
      </c>
      <c r="F2398" s="15">
        <v>2</v>
      </c>
    </row>
    <row r="2399" spans="2:6" hidden="1" x14ac:dyDescent="0.2">
      <c r="B2399" s="14">
        <v>2013</v>
      </c>
      <c r="C2399" s="13" t="s">
        <v>2333</v>
      </c>
      <c r="D2399" s="13" t="s">
        <v>2333</v>
      </c>
      <c r="E2399" s="13" t="s">
        <v>2334</v>
      </c>
      <c r="F2399" s="15">
        <v>0</v>
      </c>
    </row>
    <row r="2400" spans="2:6" hidden="1" x14ac:dyDescent="0.2">
      <c r="B2400" s="14">
        <v>2013</v>
      </c>
      <c r="C2400" s="13" t="s">
        <v>2333</v>
      </c>
      <c r="D2400" s="13" t="s">
        <v>2333</v>
      </c>
      <c r="E2400" s="13" t="s">
        <v>2335</v>
      </c>
      <c r="F2400" s="15">
        <v>0</v>
      </c>
    </row>
    <row r="2401" spans="2:6" hidden="1" x14ac:dyDescent="0.2">
      <c r="B2401" s="14">
        <v>2013</v>
      </c>
      <c r="C2401" s="13" t="s">
        <v>2333</v>
      </c>
      <c r="D2401" s="13" t="s">
        <v>2333</v>
      </c>
      <c r="E2401" s="13" t="s">
        <v>2336</v>
      </c>
      <c r="F2401" s="15">
        <v>0</v>
      </c>
    </row>
    <row r="2402" spans="2:6" hidden="1" x14ac:dyDescent="0.2">
      <c r="B2402" s="14">
        <v>2013</v>
      </c>
      <c r="C2402" s="13" t="s">
        <v>2333</v>
      </c>
      <c r="D2402" s="13" t="s">
        <v>2333</v>
      </c>
      <c r="E2402" s="13" t="s">
        <v>2337</v>
      </c>
      <c r="F2402" s="15">
        <v>0</v>
      </c>
    </row>
    <row r="2403" spans="2:6" hidden="1" x14ac:dyDescent="0.2">
      <c r="B2403" s="14">
        <v>2013</v>
      </c>
      <c r="C2403" s="13" t="s">
        <v>2333</v>
      </c>
      <c r="D2403" s="13" t="s">
        <v>2333</v>
      </c>
      <c r="E2403" s="13" t="s">
        <v>2338</v>
      </c>
      <c r="F2403" s="15">
        <v>1</v>
      </c>
    </row>
    <row r="2404" spans="2:6" hidden="1" x14ac:dyDescent="0.2">
      <c r="B2404" s="14">
        <v>2013</v>
      </c>
      <c r="C2404" s="13" t="s">
        <v>2333</v>
      </c>
      <c r="D2404" s="13" t="s">
        <v>2333</v>
      </c>
      <c r="E2404" s="13" t="s">
        <v>2339</v>
      </c>
      <c r="F2404" s="15">
        <v>6</v>
      </c>
    </row>
    <row r="2405" spans="2:6" hidden="1" x14ac:dyDescent="0.2">
      <c r="B2405" s="14">
        <v>2013</v>
      </c>
      <c r="C2405" s="13" t="s">
        <v>2333</v>
      </c>
      <c r="D2405" s="13" t="s">
        <v>2333</v>
      </c>
      <c r="E2405" s="13" t="s">
        <v>1792</v>
      </c>
      <c r="F2405" s="15">
        <v>1</v>
      </c>
    </row>
    <row r="2406" spans="2:6" hidden="1" x14ac:dyDescent="0.2">
      <c r="B2406" s="14">
        <v>2013</v>
      </c>
      <c r="C2406" s="13" t="s">
        <v>2333</v>
      </c>
      <c r="D2406" s="13" t="s">
        <v>2333</v>
      </c>
      <c r="E2406" s="13" t="s">
        <v>2340</v>
      </c>
      <c r="F2406" s="15">
        <v>0</v>
      </c>
    </row>
    <row r="2407" spans="2:6" hidden="1" x14ac:dyDescent="0.2">
      <c r="B2407" s="14">
        <v>2013</v>
      </c>
      <c r="C2407" s="13" t="s">
        <v>2333</v>
      </c>
      <c r="D2407" s="13" t="s">
        <v>2333</v>
      </c>
      <c r="E2407" s="13" t="s">
        <v>2341</v>
      </c>
      <c r="F2407" s="15">
        <v>0</v>
      </c>
    </row>
    <row r="2408" spans="2:6" hidden="1" x14ac:dyDescent="0.2">
      <c r="B2408" s="14">
        <v>2013</v>
      </c>
      <c r="C2408" s="13" t="s">
        <v>2333</v>
      </c>
      <c r="D2408" s="13" t="s">
        <v>2333</v>
      </c>
      <c r="E2408" s="13" t="s">
        <v>2023</v>
      </c>
      <c r="F2408" s="15">
        <v>1</v>
      </c>
    </row>
    <row r="2409" spans="2:6" hidden="1" x14ac:dyDescent="0.2">
      <c r="B2409" s="14">
        <v>2013</v>
      </c>
      <c r="C2409" s="13" t="s">
        <v>2333</v>
      </c>
      <c r="D2409" s="13" t="s">
        <v>2342</v>
      </c>
      <c r="E2409" s="13" t="s">
        <v>2342</v>
      </c>
      <c r="F2409" s="15">
        <v>4</v>
      </c>
    </row>
    <row r="2410" spans="2:6" hidden="1" x14ac:dyDescent="0.2">
      <c r="B2410" s="14">
        <v>2013</v>
      </c>
      <c r="C2410" s="13" t="s">
        <v>2333</v>
      </c>
      <c r="D2410" s="13" t="s">
        <v>2342</v>
      </c>
      <c r="E2410" s="13" t="s">
        <v>2343</v>
      </c>
      <c r="F2410" s="15">
        <v>0</v>
      </c>
    </row>
    <row r="2411" spans="2:6" hidden="1" x14ac:dyDescent="0.2">
      <c r="B2411" s="14">
        <v>2013</v>
      </c>
      <c r="C2411" s="13" t="s">
        <v>2333</v>
      </c>
      <c r="D2411" s="13" t="s">
        <v>2342</v>
      </c>
      <c r="E2411" s="13" t="s">
        <v>2344</v>
      </c>
      <c r="F2411" s="15">
        <v>1</v>
      </c>
    </row>
    <row r="2412" spans="2:6" hidden="1" x14ac:dyDescent="0.2">
      <c r="B2412" s="14">
        <v>2013</v>
      </c>
      <c r="C2412" s="13" t="s">
        <v>2333</v>
      </c>
      <c r="D2412" s="13" t="s">
        <v>2342</v>
      </c>
      <c r="E2412" s="13" t="s">
        <v>2345</v>
      </c>
      <c r="F2412" s="15">
        <v>3</v>
      </c>
    </row>
    <row r="2413" spans="2:6" hidden="1" x14ac:dyDescent="0.2">
      <c r="B2413" s="14">
        <v>2013</v>
      </c>
      <c r="C2413" s="13" t="s">
        <v>2333</v>
      </c>
      <c r="D2413" s="13" t="s">
        <v>2346</v>
      </c>
      <c r="E2413" s="13" t="s">
        <v>2346</v>
      </c>
      <c r="F2413" s="15">
        <v>12</v>
      </c>
    </row>
    <row r="2414" spans="2:6" hidden="1" x14ac:dyDescent="0.2">
      <c r="B2414" s="14">
        <v>2013</v>
      </c>
      <c r="C2414" s="13" t="s">
        <v>2333</v>
      </c>
      <c r="D2414" s="13" t="s">
        <v>2346</v>
      </c>
      <c r="E2414" s="13" t="s">
        <v>2347</v>
      </c>
      <c r="F2414" s="15">
        <v>0</v>
      </c>
    </row>
    <row r="2415" spans="2:6" hidden="1" x14ac:dyDescent="0.2">
      <c r="B2415" s="14">
        <v>2013</v>
      </c>
      <c r="C2415" s="13" t="s">
        <v>2333</v>
      </c>
      <c r="D2415" s="13" t="s">
        <v>2346</v>
      </c>
      <c r="E2415" s="13" t="s">
        <v>2348</v>
      </c>
      <c r="F2415" s="15">
        <v>0</v>
      </c>
    </row>
    <row r="2416" spans="2:6" hidden="1" x14ac:dyDescent="0.2">
      <c r="B2416" s="14">
        <v>2013</v>
      </c>
      <c r="C2416" s="13" t="s">
        <v>2333</v>
      </c>
      <c r="D2416" s="13" t="s">
        <v>2346</v>
      </c>
      <c r="E2416" s="13" t="s">
        <v>2349</v>
      </c>
      <c r="F2416" s="15">
        <v>0</v>
      </c>
    </row>
    <row r="2417" spans="2:6" hidden="1" x14ac:dyDescent="0.2">
      <c r="B2417" s="14">
        <v>2013</v>
      </c>
      <c r="C2417" s="13" t="s">
        <v>2333</v>
      </c>
      <c r="D2417" s="13" t="s">
        <v>2346</v>
      </c>
      <c r="E2417" s="13" t="s">
        <v>2350</v>
      </c>
      <c r="F2417" s="15">
        <v>0</v>
      </c>
    </row>
    <row r="2418" spans="2:6" hidden="1" x14ac:dyDescent="0.2">
      <c r="B2418" s="14">
        <v>2013</v>
      </c>
      <c r="C2418" s="13" t="s">
        <v>2333</v>
      </c>
      <c r="D2418" s="13" t="s">
        <v>2346</v>
      </c>
      <c r="E2418" s="13" t="s">
        <v>2351</v>
      </c>
      <c r="F2418" s="15">
        <v>0</v>
      </c>
    </row>
    <row r="2419" spans="2:6" hidden="1" x14ac:dyDescent="0.2">
      <c r="B2419" s="14">
        <v>2013</v>
      </c>
      <c r="C2419" s="13" t="s">
        <v>2333</v>
      </c>
      <c r="D2419" s="13" t="s">
        <v>2346</v>
      </c>
      <c r="E2419" s="13" t="s">
        <v>2352</v>
      </c>
      <c r="F2419" s="15">
        <v>0</v>
      </c>
    </row>
    <row r="2420" spans="2:6" hidden="1" x14ac:dyDescent="0.2">
      <c r="B2420" s="14">
        <v>2013</v>
      </c>
      <c r="C2420" s="13" t="s">
        <v>2333</v>
      </c>
      <c r="D2420" s="13" t="s">
        <v>2346</v>
      </c>
      <c r="E2420" s="13" t="s">
        <v>2353</v>
      </c>
      <c r="F2420" s="15">
        <v>0</v>
      </c>
    </row>
    <row r="2421" spans="2:6" hidden="1" x14ac:dyDescent="0.2">
      <c r="B2421" s="14">
        <v>2013</v>
      </c>
      <c r="C2421" s="13" t="s">
        <v>2333</v>
      </c>
      <c r="D2421" s="13" t="s">
        <v>2346</v>
      </c>
      <c r="E2421" s="13" t="s">
        <v>2354</v>
      </c>
      <c r="F2421" s="15">
        <v>0</v>
      </c>
    </row>
    <row r="2422" spans="2:6" hidden="1" x14ac:dyDescent="0.2">
      <c r="B2422" s="14">
        <v>2013</v>
      </c>
      <c r="C2422" s="13" t="s">
        <v>2333</v>
      </c>
      <c r="D2422" s="13" t="s">
        <v>2346</v>
      </c>
      <c r="E2422" s="13" t="s">
        <v>2301</v>
      </c>
      <c r="F2422" s="15">
        <v>0</v>
      </c>
    </row>
    <row r="2423" spans="2:6" hidden="1" x14ac:dyDescent="0.2">
      <c r="B2423" s="14">
        <v>2013</v>
      </c>
      <c r="C2423" s="13" t="s">
        <v>2333</v>
      </c>
      <c r="D2423" s="13" t="s">
        <v>2346</v>
      </c>
      <c r="E2423" s="13" t="s">
        <v>2355</v>
      </c>
      <c r="F2423" s="15">
        <v>0</v>
      </c>
    </row>
    <row r="2424" spans="2:6" hidden="1" x14ac:dyDescent="0.2">
      <c r="B2424" s="14">
        <v>2013</v>
      </c>
      <c r="C2424" s="13" t="s">
        <v>2333</v>
      </c>
      <c r="D2424" s="13" t="s">
        <v>2346</v>
      </c>
      <c r="E2424" s="13" t="s">
        <v>2356</v>
      </c>
      <c r="F2424" s="15">
        <v>0</v>
      </c>
    </row>
    <row r="2425" spans="2:6" hidden="1" x14ac:dyDescent="0.2">
      <c r="B2425" s="14">
        <v>2013</v>
      </c>
      <c r="C2425" s="13" t="s">
        <v>2333</v>
      </c>
      <c r="D2425" s="13" t="s">
        <v>2357</v>
      </c>
      <c r="E2425" s="13" t="s">
        <v>2357</v>
      </c>
      <c r="F2425" s="15">
        <v>5</v>
      </c>
    </row>
    <row r="2426" spans="2:6" hidden="1" x14ac:dyDescent="0.2">
      <c r="B2426" s="14">
        <v>2013</v>
      </c>
      <c r="C2426" s="13" t="s">
        <v>2333</v>
      </c>
      <c r="D2426" s="13" t="s">
        <v>2357</v>
      </c>
      <c r="E2426" s="13" t="s">
        <v>2358</v>
      </c>
      <c r="F2426" s="15">
        <v>0</v>
      </c>
    </row>
    <row r="2427" spans="2:6" hidden="1" x14ac:dyDescent="0.2">
      <c r="B2427" s="14">
        <v>2013</v>
      </c>
      <c r="C2427" s="13" t="s">
        <v>2333</v>
      </c>
      <c r="D2427" s="13" t="s">
        <v>2357</v>
      </c>
      <c r="E2427" s="13" t="s">
        <v>2359</v>
      </c>
      <c r="F2427" s="15">
        <v>0</v>
      </c>
    </row>
    <row r="2428" spans="2:6" hidden="1" x14ac:dyDescent="0.2">
      <c r="B2428" s="14">
        <v>2013</v>
      </c>
      <c r="C2428" s="13" t="s">
        <v>2333</v>
      </c>
      <c r="D2428" s="13" t="s">
        <v>2357</v>
      </c>
      <c r="E2428" s="13" t="s">
        <v>2360</v>
      </c>
      <c r="F2428" s="15">
        <v>0</v>
      </c>
    </row>
    <row r="2429" spans="2:6" hidden="1" x14ac:dyDescent="0.2">
      <c r="B2429" s="14">
        <v>2013</v>
      </c>
      <c r="C2429" s="13" t="s">
        <v>2333</v>
      </c>
      <c r="D2429" s="13" t="s">
        <v>2357</v>
      </c>
      <c r="E2429" s="13" t="s">
        <v>2361</v>
      </c>
      <c r="F2429" s="15">
        <v>0</v>
      </c>
    </row>
    <row r="2430" spans="2:6" hidden="1" x14ac:dyDescent="0.2">
      <c r="B2430" s="14">
        <v>2013</v>
      </c>
      <c r="C2430" s="13" t="s">
        <v>2333</v>
      </c>
      <c r="D2430" s="13" t="s">
        <v>2357</v>
      </c>
      <c r="E2430" s="13" t="s">
        <v>2362</v>
      </c>
      <c r="F2430" s="15">
        <v>0</v>
      </c>
    </row>
    <row r="2431" spans="2:6" hidden="1" x14ac:dyDescent="0.2">
      <c r="B2431" s="14">
        <v>2013</v>
      </c>
      <c r="C2431" s="13" t="s">
        <v>2333</v>
      </c>
      <c r="D2431" s="13" t="s">
        <v>2357</v>
      </c>
      <c r="E2431" s="13" t="s">
        <v>1871</v>
      </c>
      <c r="F2431" s="15">
        <v>2</v>
      </c>
    </row>
    <row r="2432" spans="2:6" hidden="1" x14ac:dyDescent="0.2">
      <c r="B2432" s="14">
        <v>2013</v>
      </c>
      <c r="C2432" s="13" t="s">
        <v>2333</v>
      </c>
      <c r="D2432" s="13" t="s">
        <v>2357</v>
      </c>
      <c r="E2432" s="13" t="s">
        <v>2363</v>
      </c>
      <c r="F2432" s="15">
        <v>2</v>
      </c>
    </row>
    <row r="2433" spans="2:6" hidden="1" x14ac:dyDescent="0.2">
      <c r="B2433" s="14">
        <v>2013</v>
      </c>
      <c r="C2433" s="13" t="s">
        <v>2333</v>
      </c>
      <c r="D2433" s="13" t="s">
        <v>2357</v>
      </c>
      <c r="E2433" s="13" t="s">
        <v>2364</v>
      </c>
      <c r="F2433" s="15">
        <v>0</v>
      </c>
    </row>
    <row r="2434" spans="2:6" hidden="1" x14ac:dyDescent="0.2">
      <c r="B2434" s="14">
        <v>2013</v>
      </c>
      <c r="C2434" s="13" t="s">
        <v>2333</v>
      </c>
      <c r="D2434" s="13" t="s">
        <v>2357</v>
      </c>
      <c r="E2434" s="13" t="s">
        <v>2365</v>
      </c>
      <c r="F2434" s="15">
        <v>0</v>
      </c>
    </row>
    <row r="2435" spans="2:6" hidden="1" x14ac:dyDescent="0.2">
      <c r="B2435" s="14">
        <v>2013</v>
      </c>
      <c r="C2435" s="13" t="s">
        <v>2333</v>
      </c>
      <c r="D2435" s="13" t="s">
        <v>2357</v>
      </c>
      <c r="E2435" s="13" t="s">
        <v>1970</v>
      </c>
      <c r="F2435" s="15">
        <v>1</v>
      </c>
    </row>
    <row r="2436" spans="2:6" hidden="1" x14ac:dyDescent="0.2">
      <c r="B2436" s="14">
        <v>2013</v>
      </c>
      <c r="C2436" s="13" t="s">
        <v>2333</v>
      </c>
      <c r="D2436" s="13" t="s">
        <v>2357</v>
      </c>
      <c r="E2436" s="13" t="s">
        <v>2366</v>
      </c>
      <c r="F2436" s="15">
        <v>0</v>
      </c>
    </row>
    <row r="2437" spans="2:6" hidden="1" x14ac:dyDescent="0.2">
      <c r="B2437" s="14">
        <v>2013</v>
      </c>
      <c r="C2437" s="13" t="s">
        <v>2333</v>
      </c>
      <c r="D2437" s="13" t="s">
        <v>2357</v>
      </c>
      <c r="E2437" s="13" t="s">
        <v>2367</v>
      </c>
      <c r="F2437" s="15">
        <v>0</v>
      </c>
    </row>
    <row r="2438" spans="2:6" hidden="1" x14ac:dyDescent="0.2">
      <c r="B2438" s="14">
        <v>2013</v>
      </c>
      <c r="C2438" s="13" t="s">
        <v>2333</v>
      </c>
      <c r="D2438" s="13" t="s">
        <v>2357</v>
      </c>
      <c r="E2438" s="13" t="s">
        <v>2368</v>
      </c>
      <c r="F2438" s="15">
        <v>0</v>
      </c>
    </row>
    <row r="2439" spans="2:6" hidden="1" x14ac:dyDescent="0.2">
      <c r="B2439" s="14">
        <v>2013</v>
      </c>
      <c r="C2439" s="13" t="s">
        <v>2333</v>
      </c>
      <c r="D2439" s="13" t="s">
        <v>2357</v>
      </c>
      <c r="E2439" s="13" t="s">
        <v>2369</v>
      </c>
      <c r="F2439" s="15">
        <v>2</v>
      </c>
    </row>
    <row r="2440" spans="2:6" hidden="1" x14ac:dyDescent="0.2">
      <c r="B2440" s="14">
        <v>2013</v>
      </c>
      <c r="C2440" s="13" t="s">
        <v>2333</v>
      </c>
      <c r="D2440" s="13" t="s">
        <v>2357</v>
      </c>
      <c r="E2440" s="13" t="s">
        <v>2370</v>
      </c>
      <c r="F2440" s="15">
        <v>0</v>
      </c>
    </row>
    <row r="2441" spans="2:6" hidden="1" x14ac:dyDescent="0.2">
      <c r="B2441" s="14">
        <v>2013</v>
      </c>
      <c r="C2441" s="13" t="s">
        <v>2333</v>
      </c>
      <c r="D2441" s="13" t="s">
        <v>2357</v>
      </c>
      <c r="E2441" s="13" t="s">
        <v>2371</v>
      </c>
      <c r="F2441" s="15">
        <v>4</v>
      </c>
    </row>
    <row r="2442" spans="2:6" hidden="1" x14ac:dyDescent="0.2">
      <c r="B2442" s="14">
        <v>2013</v>
      </c>
      <c r="C2442" s="13" t="s">
        <v>2333</v>
      </c>
      <c r="D2442" s="13" t="s">
        <v>2357</v>
      </c>
      <c r="E2442" s="13" t="s">
        <v>2372</v>
      </c>
      <c r="F2442" s="15">
        <v>0</v>
      </c>
    </row>
    <row r="2443" spans="2:6" hidden="1" x14ac:dyDescent="0.2">
      <c r="B2443" s="14">
        <v>2013</v>
      </c>
      <c r="C2443" s="13" t="s">
        <v>2333</v>
      </c>
      <c r="D2443" s="13" t="s">
        <v>2357</v>
      </c>
      <c r="E2443" s="13" t="s">
        <v>2373</v>
      </c>
      <c r="F2443" s="15">
        <v>0</v>
      </c>
    </row>
    <row r="2444" spans="2:6" hidden="1" x14ac:dyDescent="0.2">
      <c r="B2444" s="14">
        <v>2013</v>
      </c>
      <c r="C2444" s="13" t="s">
        <v>2333</v>
      </c>
      <c r="D2444" s="13" t="s">
        <v>2374</v>
      </c>
      <c r="E2444" s="13" t="s">
        <v>2374</v>
      </c>
      <c r="F2444" s="15">
        <v>2</v>
      </c>
    </row>
    <row r="2445" spans="2:6" hidden="1" x14ac:dyDescent="0.2">
      <c r="B2445" s="14">
        <v>2013</v>
      </c>
      <c r="C2445" s="13" t="s">
        <v>2333</v>
      </c>
      <c r="D2445" s="13" t="s">
        <v>2374</v>
      </c>
      <c r="E2445" s="13" t="s">
        <v>2375</v>
      </c>
      <c r="F2445" s="15">
        <v>0</v>
      </c>
    </row>
    <row r="2446" spans="2:6" hidden="1" x14ac:dyDescent="0.2">
      <c r="B2446" s="14">
        <v>2013</v>
      </c>
      <c r="C2446" s="13" t="s">
        <v>2333</v>
      </c>
      <c r="D2446" s="13" t="s">
        <v>2374</v>
      </c>
      <c r="E2446" s="13" t="s">
        <v>2376</v>
      </c>
      <c r="F2446" s="15">
        <v>0</v>
      </c>
    </row>
    <row r="2447" spans="2:6" hidden="1" x14ac:dyDescent="0.2">
      <c r="B2447" s="14">
        <v>2013</v>
      </c>
      <c r="C2447" s="13" t="s">
        <v>2333</v>
      </c>
      <c r="D2447" s="13" t="s">
        <v>2374</v>
      </c>
      <c r="E2447" s="13" t="s">
        <v>2377</v>
      </c>
      <c r="F2447" s="15">
        <v>0</v>
      </c>
    </row>
    <row r="2448" spans="2:6" hidden="1" x14ac:dyDescent="0.2">
      <c r="B2448" s="14">
        <v>2013</v>
      </c>
      <c r="C2448" s="13" t="s">
        <v>2333</v>
      </c>
      <c r="D2448" s="13" t="s">
        <v>2374</v>
      </c>
      <c r="E2448" s="13" t="s">
        <v>2378</v>
      </c>
      <c r="F2448" s="15">
        <v>0</v>
      </c>
    </row>
    <row r="2449" spans="2:6" hidden="1" x14ac:dyDescent="0.2">
      <c r="B2449" s="14">
        <v>2013</v>
      </c>
      <c r="C2449" s="13" t="s">
        <v>2333</v>
      </c>
      <c r="D2449" s="13" t="s">
        <v>2374</v>
      </c>
      <c r="E2449" s="13" t="s">
        <v>2379</v>
      </c>
      <c r="F2449" s="15">
        <v>0</v>
      </c>
    </row>
    <row r="2450" spans="2:6" hidden="1" x14ac:dyDescent="0.2">
      <c r="B2450" s="14">
        <v>2013</v>
      </c>
      <c r="C2450" s="13" t="s">
        <v>2333</v>
      </c>
      <c r="D2450" s="13" t="s">
        <v>2374</v>
      </c>
      <c r="E2450" s="13" t="s">
        <v>2380</v>
      </c>
      <c r="F2450" s="15">
        <v>0</v>
      </c>
    </row>
    <row r="2451" spans="2:6" hidden="1" x14ac:dyDescent="0.2">
      <c r="B2451" s="14">
        <v>2013</v>
      </c>
      <c r="C2451" s="13" t="s">
        <v>2333</v>
      </c>
      <c r="D2451" s="13" t="s">
        <v>2374</v>
      </c>
      <c r="E2451" s="13" t="s">
        <v>2381</v>
      </c>
      <c r="F2451" s="15">
        <v>2</v>
      </c>
    </row>
    <row r="2452" spans="2:6" hidden="1" x14ac:dyDescent="0.2">
      <c r="B2452" s="14">
        <v>2013</v>
      </c>
      <c r="C2452" s="13" t="s">
        <v>2333</v>
      </c>
      <c r="D2452" s="13" t="s">
        <v>2382</v>
      </c>
      <c r="E2452" s="13" t="s">
        <v>2382</v>
      </c>
      <c r="F2452" s="15">
        <v>3</v>
      </c>
    </row>
    <row r="2453" spans="2:6" hidden="1" x14ac:dyDescent="0.2">
      <c r="B2453" s="14">
        <v>2013</v>
      </c>
      <c r="C2453" s="13" t="s">
        <v>2333</v>
      </c>
      <c r="D2453" s="13" t="s">
        <v>2382</v>
      </c>
      <c r="E2453" s="13" t="s">
        <v>2383</v>
      </c>
      <c r="F2453" s="15">
        <v>0</v>
      </c>
    </row>
    <row r="2454" spans="2:6" hidden="1" x14ac:dyDescent="0.2">
      <c r="B2454" s="14">
        <v>2013</v>
      </c>
      <c r="C2454" s="13" t="s">
        <v>2333</v>
      </c>
      <c r="D2454" s="13" t="s">
        <v>2382</v>
      </c>
      <c r="E2454" s="13" t="s">
        <v>2384</v>
      </c>
      <c r="F2454" s="15">
        <v>0</v>
      </c>
    </row>
    <row r="2455" spans="2:6" hidden="1" x14ac:dyDescent="0.2">
      <c r="B2455" s="14">
        <v>2013</v>
      </c>
      <c r="C2455" s="13" t="s">
        <v>2333</v>
      </c>
      <c r="D2455" s="13" t="s">
        <v>2382</v>
      </c>
      <c r="E2455" s="13" t="s">
        <v>2385</v>
      </c>
      <c r="F2455" s="15">
        <v>0</v>
      </c>
    </row>
    <row r="2456" spans="2:6" hidden="1" x14ac:dyDescent="0.2">
      <c r="B2456" s="14">
        <v>2013</v>
      </c>
      <c r="C2456" s="13" t="s">
        <v>2333</v>
      </c>
      <c r="D2456" s="13" t="s">
        <v>2382</v>
      </c>
      <c r="E2456" s="13" t="s">
        <v>2386</v>
      </c>
      <c r="F2456" s="15">
        <v>0</v>
      </c>
    </row>
    <row r="2457" spans="2:6" hidden="1" x14ac:dyDescent="0.2">
      <c r="B2457" s="14">
        <v>2013</v>
      </c>
      <c r="C2457" s="13" t="s">
        <v>2333</v>
      </c>
      <c r="D2457" s="13" t="s">
        <v>2382</v>
      </c>
      <c r="E2457" s="13" t="s">
        <v>2387</v>
      </c>
      <c r="F2457" s="15">
        <v>3</v>
      </c>
    </row>
    <row r="2458" spans="2:6" hidden="1" x14ac:dyDescent="0.2">
      <c r="B2458" s="14">
        <v>2013</v>
      </c>
      <c r="C2458" s="13" t="s">
        <v>2333</v>
      </c>
      <c r="D2458" s="13" t="s">
        <v>2382</v>
      </c>
      <c r="E2458" s="13" t="s">
        <v>2388</v>
      </c>
      <c r="F2458" s="15">
        <v>0</v>
      </c>
    </row>
    <row r="2459" spans="2:6" hidden="1" x14ac:dyDescent="0.2">
      <c r="B2459" s="14">
        <v>2013</v>
      </c>
      <c r="C2459" s="13" t="s">
        <v>2333</v>
      </c>
      <c r="D2459" s="13" t="s">
        <v>2382</v>
      </c>
      <c r="E2459" s="13" t="s">
        <v>2389</v>
      </c>
      <c r="F2459" s="15">
        <v>0</v>
      </c>
    </row>
    <row r="2460" spans="2:6" hidden="1" x14ac:dyDescent="0.2">
      <c r="B2460" s="14">
        <v>2013</v>
      </c>
      <c r="C2460" s="13" t="s">
        <v>2333</v>
      </c>
      <c r="D2460" s="13" t="s">
        <v>2382</v>
      </c>
      <c r="E2460" s="13" t="s">
        <v>2390</v>
      </c>
      <c r="F2460" s="15">
        <v>0</v>
      </c>
    </row>
    <row r="2461" spans="2:6" hidden="1" x14ac:dyDescent="0.2">
      <c r="B2461" s="14">
        <v>2013</v>
      </c>
      <c r="C2461" s="13" t="s">
        <v>2333</v>
      </c>
      <c r="D2461" s="13" t="s">
        <v>2382</v>
      </c>
      <c r="E2461" s="13" t="s">
        <v>2391</v>
      </c>
      <c r="F2461" s="15">
        <v>0</v>
      </c>
    </row>
    <row r="2462" spans="2:6" hidden="1" x14ac:dyDescent="0.2">
      <c r="B2462" s="14">
        <v>2013</v>
      </c>
      <c r="C2462" s="13" t="s">
        <v>2333</v>
      </c>
      <c r="D2462" s="13" t="s">
        <v>2382</v>
      </c>
      <c r="E2462" s="13" t="s">
        <v>1962</v>
      </c>
      <c r="F2462" s="15">
        <v>0</v>
      </c>
    </row>
    <row r="2463" spans="2:6" hidden="1" x14ac:dyDescent="0.2">
      <c r="B2463" s="14">
        <v>2013</v>
      </c>
      <c r="C2463" s="13" t="s">
        <v>2333</v>
      </c>
      <c r="D2463" s="13" t="s">
        <v>2382</v>
      </c>
      <c r="E2463" s="13" t="s">
        <v>2392</v>
      </c>
      <c r="F2463" s="15">
        <v>0</v>
      </c>
    </row>
    <row r="2464" spans="2:6" hidden="1" x14ac:dyDescent="0.2">
      <c r="B2464" s="14">
        <v>2013</v>
      </c>
      <c r="C2464" s="13" t="s">
        <v>2333</v>
      </c>
      <c r="D2464" s="13" t="s">
        <v>2382</v>
      </c>
      <c r="E2464" s="13" t="s">
        <v>1845</v>
      </c>
      <c r="F2464" s="15">
        <v>0</v>
      </c>
    </row>
    <row r="2465" spans="2:6" hidden="1" x14ac:dyDescent="0.2">
      <c r="B2465" s="14">
        <v>2013</v>
      </c>
      <c r="C2465" s="13" t="s">
        <v>2333</v>
      </c>
      <c r="D2465" s="13" t="s">
        <v>2382</v>
      </c>
      <c r="E2465" s="13" t="s">
        <v>2393</v>
      </c>
      <c r="F2465" s="15">
        <v>0</v>
      </c>
    </row>
    <row r="2466" spans="2:6" hidden="1" x14ac:dyDescent="0.2">
      <c r="B2466" s="14">
        <v>2013</v>
      </c>
      <c r="C2466" s="13" t="s">
        <v>2333</v>
      </c>
      <c r="D2466" s="13" t="s">
        <v>2382</v>
      </c>
      <c r="E2466" s="13" t="s">
        <v>2394</v>
      </c>
      <c r="F2466" s="15">
        <v>0</v>
      </c>
    </row>
    <row r="2467" spans="2:6" hidden="1" x14ac:dyDescent="0.2">
      <c r="B2467" s="14">
        <v>2013</v>
      </c>
      <c r="C2467" s="13" t="s">
        <v>2333</v>
      </c>
      <c r="D2467" s="13" t="s">
        <v>2395</v>
      </c>
      <c r="E2467" s="13" t="s">
        <v>2396</v>
      </c>
      <c r="F2467" s="15">
        <v>5</v>
      </c>
    </row>
    <row r="2468" spans="2:6" hidden="1" x14ac:dyDescent="0.2">
      <c r="B2468" s="14">
        <v>2013</v>
      </c>
      <c r="C2468" s="13" t="s">
        <v>2333</v>
      </c>
      <c r="D2468" s="13" t="s">
        <v>2395</v>
      </c>
      <c r="E2468" s="13" t="s">
        <v>2397</v>
      </c>
      <c r="F2468" s="15">
        <v>0</v>
      </c>
    </row>
    <row r="2469" spans="2:6" hidden="1" x14ac:dyDescent="0.2">
      <c r="B2469" s="14">
        <v>2013</v>
      </c>
      <c r="C2469" s="13" t="s">
        <v>2333</v>
      </c>
      <c r="D2469" s="13" t="s">
        <v>2395</v>
      </c>
      <c r="E2469" s="13" t="s">
        <v>2395</v>
      </c>
      <c r="F2469" s="15">
        <v>6</v>
      </c>
    </row>
    <row r="2470" spans="2:6" hidden="1" x14ac:dyDescent="0.2">
      <c r="B2470" s="14">
        <v>2013</v>
      </c>
      <c r="C2470" s="13" t="s">
        <v>2333</v>
      </c>
      <c r="D2470" s="13" t="s">
        <v>2398</v>
      </c>
      <c r="E2470" s="13" t="s">
        <v>2398</v>
      </c>
      <c r="F2470" s="15">
        <v>16</v>
      </c>
    </row>
    <row r="2471" spans="2:6" hidden="1" x14ac:dyDescent="0.2">
      <c r="B2471" s="14">
        <v>2013</v>
      </c>
      <c r="C2471" s="13" t="s">
        <v>2333</v>
      </c>
      <c r="D2471" s="13" t="s">
        <v>2398</v>
      </c>
      <c r="E2471" s="13" t="s">
        <v>2399</v>
      </c>
      <c r="F2471" s="15">
        <v>0</v>
      </c>
    </row>
    <row r="2472" spans="2:6" hidden="1" x14ac:dyDescent="0.2">
      <c r="B2472" s="14">
        <v>2013</v>
      </c>
      <c r="C2472" s="13" t="s">
        <v>2333</v>
      </c>
      <c r="D2472" s="13" t="s">
        <v>2398</v>
      </c>
      <c r="E2472" s="13" t="s">
        <v>2400</v>
      </c>
      <c r="F2472" s="15">
        <v>0</v>
      </c>
    </row>
    <row r="2473" spans="2:6" hidden="1" x14ac:dyDescent="0.2">
      <c r="B2473" s="14">
        <v>2013</v>
      </c>
      <c r="C2473" s="13" t="s">
        <v>2333</v>
      </c>
      <c r="D2473" s="13" t="s">
        <v>2398</v>
      </c>
      <c r="E2473" s="13" t="s">
        <v>2401</v>
      </c>
      <c r="F2473" s="15">
        <v>0</v>
      </c>
    </row>
    <row r="2474" spans="2:6" hidden="1" x14ac:dyDescent="0.2">
      <c r="B2474" s="14">
        <v>2013</v>
      </c>
      <c r="C2474" s="13" t="s">
        <v>2333</v>
      </c>
      <c r="D2474" s="13" t="s">
        <v>2398</v>
      </c>
      <c r="E2474" s="13" t="s">
        <v>2402</v>
      </c>
      <c r="F2474" s="15">
        <v>0</v>
      </c>
    </row>
    <row r="2475" spans="2:6" hidden="1" x14ac:dyDescent="0.2">
      <c r="B2475" s="14">
        <v>2013</v>
      </c>
      <c r="C2475" s="13" t="s">
        <v>2333</v>
      </c>
      <c r="D2475" s="13" t="s">
        <v>2398</v>
      </c>
      <c r="E2475" s="13" t="s">
        <v>2403</v>
      </c>
      <c r="F2475" s="15">
        <v>1</v>
      </c>
    </row>
    <row r="2476" spans="2:6" hidden="1" x14ac:dyDescent="0.2">
      <c r="B2476" s="14">
        <v>2013</v>
      </c>
      <c r="C2476" s="13" t="s">
        <v>2333</v>
      </c>
      <c r="D2476" s="13" t="s">
        <v>2398</v>
      </c>
      <c r="E2476" s="13" t="s">
        <v>2404</v>
      </c>
      <c r="F2476" s="15">
        <v>1</v>
      </c>
    </row>
    <row r="2477" spans="2:6" hidden="1" x14ac:dyDescent="0.2">
      <c r="B2477" s="14">
        <v>2013</v>
      </c>
      <c r="C2477" s="13" t="s">
        <v>2333</v>
      </c>
      <c r="D2477" s="13" t="s">
        <v>2398</v>
      </c>
      <c r="E2477" s="13" t="s">
        <v>2405</v>
      </c>
      <c r="F2477" s="15">
        <v>5</v>
      </c>
    </row>
    <row r="2478" spans="2:6" hidden="1" x14ac:dyDescent="0.2">
      <c r="B2478" s="14">
        <v>2013</v>
      </c>
      <c r="C2478" s="13" t="s">
        <v>2333</v>
      </c>
      <c r="D2478" s="13" t="s">
        <v>2398</v>
      </c>
      <c r="E2478" s="13" t="s">
        <v>2406</v>
      </c>
      <c r="F2478" s="15">
        <v>0</v>
      </c>
    </row>
    <row r="2479" spans="2:6" hidden="1" x14ac:dyDescent="0.2">
      <c r="B2479" s="14">
        <v>2013</v>
      </c>
      <c r="C2479" s="13" t="s">
        <v>2333</v>
      </c>
      <c r="D2479" s="13" t="s">
        <v>2398</v>
      </c>
      <c r="E2479" s="13" t="s">
        <v>2407</v>
      </c>
      <c r="F2479" s="15">
        <v>0</v>
      </c>
    </row>
    <row r="2480" spans="2:6" hidden="1" x14ac:dyDescent="0.2">
      <c r="B2480" s="14">
        <v>2013</v>
      </c>
      <c r="C2480" s="13" t="s">
        <v>2333</v>
      </c>
      <c r="D2480" s="13" t="s">
        <v>2398</v>
      </c>
      <c r="E2480" s="13" t="s">
        <v>2408</v>
      </c>
      <c r="F2480" s="15">
        <v>0</v>
      </c>
    </row>
    <row r="2481" spans="2:6" hidden="1" x14ac:dyDescent="0.2">
      <c r="B2481" s="14">
        <v>2013</v>
      </c>
      <c r="C2481" s="13" t="s">
        <v>2333</v>
      </c>
      <c r="D2481" s="13" t="s">
        <v>2398</v>
      </c>
      <c r="E2481" s="13" t="s">
        <v>1858</v>
      </c>
      <c r="F2481" s="15">
        <v>5</v>
      </c>
    </row>
    <row r="2482" spans="2:6" hidden="1" x14ac:dyDescent="0.2">
      <c r="B2482" s="14">
        <v>2013</v>
      </c>
      <c r="C2482" s="13" t="s">
        <v>2333</v>
      </c>
      <c r="D2482" s="13" t="s">
        <v>2409</v>
      </c>
      <c r="E2482" s="13" t="s">
        <v>2409</v>
      </c>
      <c r="F2482" s="15">
        <v>9</v>
      </c>
    </row>
    <row r="2483" spans="2:6" hidden="1" x14ac:dyDescent="0.2">
      <c r="B2483" s="14">
        <v>2013</v>
      </c>
      <c r="C2483" s="13" t="s">
        <v>2333</v>
      </c>
      <c r="D2483" s="13" t="s">
        <v>2409</v>
      </c>
      <c r="E2483" s="13" t="s">
        <v>2410</v>
      </c>
      <c r="F2483" s="15">
        <v>0</v>
      </c>
    </row>
    <row r="2484" spans="2:6" hidden="1" x14ac:dyDescent="0.2">
      <c r="B2484" s="14">
        <v>2013</v>
      </c>
      <c r="C2484" s="13" t="s">
        <v>2333</v>
      </c>
      <c r="D2484" s="13" t="s">
        <v>2409</v>
      </c>
      <c r="E2484" s="13" t="s">
        <v>2411</v>
      </c>
      <c r="F2484" s="15">
        <v>3</v>
      </c>
    </row>
    <row r="2485" spans="2:6" hidden="1" x14ac:dyDescent="0.2">
      <c r="B2485" s="14">
        <v>2013</v>
      </c>
      <c r="C2485" s="13" t="s">
        <v>2333</v>
      </c>
      <c r="D2485" s="13" t="s">
        <v>2409</v>
      </c>
      <c r="E2485" s="13" t="s">
        <v>2412</v>
      </c>
      <c r="F2485" s="15">
        <v>1</v>
      </c>
    </row>
    <row r="2486" spans="2:6" hidden="1" x14ac:dyDescent="0.2">
      <c r="B2486" s="14">
        <v>2013</v>
      </c>
      <c r="C2486" s="13" t="s">
        <v>2333</v>
      </c>
      <c r="D2486" s="13" t="s">
        <v>2409</v>
      </c>
      <c r="E2486" s="13" t="s">
        <v>2413</v>
      </c>
      <c r="F2486" s="15">
        <v>2</v>
      </c>
    </row>
    <row r="2487" spans="2:6" hidden="1" x14ac:dyDescent="0.2">
      <c r="B2487" s="14">
        <v>2013</v>
      </c>
      <c r="C2487" s="13" t="s">
        <v>2333</v>
      </c>
      <c r="D2487" s="13" t="s">
        <v>2409</v>
      </c>
      <c r="E2487" s="13" t="s">
        <v>2414</v>
      </c>
      <c r="F2487" s="15">
        <v>2</v>
      </c>
    </row>
    <row r="2488" spans="2:6" hidden="1" x14ac:dyDescent="0.2">
      <c r="B2488" s="14">
        <v>2013</v>
      </c>
      <c r="C2488" s="13" t="s">
        <v>2333</v>
      </c>
      <c r="D2488" s="13" t="s">
        <v>2409</v>
      </c>
      <c r="E2488" s="13" t="s">
        <v>2415</v>
      </c>
      <c r="F2488" s="15">
        <v>0</v>
      </c>
    </row>
    <row r="2489" spans="2:6" hidden="1" x14ac:dyDescent="0.2">
      <c r="B2489" s="14">
        <v>2013</v>
      </c>
      <c r="C2489" s="13" t="s">
        <v>2333</v>
      </c>
      <c r="D2489" s="13" t="s">
        <v>1948</v>
      </c>
      <c r="E2489" s="13" t="s">
        <v>2416</v>
      </c>
      <c r="F2489" s="15">
        <v>6</v>
      </c>
    </row>
    <row r="2490" spans="2:6" hidden="1" x14ac:dyDescent="0.2">
      <c r="B2490" s="14">
        <v>2013</v>
      </c>
      <c r="C2490" s="13" t="s">
        <v>2333</v>
      </c>
      <c r="D2490" s="13" t="s">
        <v>1948</v>
      </c>
      <c r="E2490" s="13" t="s">
        <v>2417</v>
      </c>
      <c r="F2490" s="15">
        <v>0</v>
      </c>
    </row>
    <row r="2491" spans="2:6" hidden="1" x14ac:dyDescent="0.2">
      <c r="B2491" s="14">
        <v>2013</v>
      </c>
      <c r="C2491" s="13" t="s">
        <v>2333</v>
      </c>
      <c r="D2491" s="13" t="s">
        <v>1948</v>
      </c>
      <c r="E2491" s="13" t="s">
        <v>2418</v>
      </c>
      <c r="F2491" s="15">
        <v>3</v>
      </c>
    </row>
    <row r="2492" spans="2:6" hidden="1" x14ac:dyDescent="0.2">
      <c r="B2492" s="14">
        <v>2013</v>
      </c>
      <c r="C2492" s="13" t="s">
        <v>2333</v>
      </c>
      <c r="D2492" s="13" t="s">
        <v>1948</v>
      </c>
      <c r="E2492" s="13" t="s">
        <v>2419</v>
      </c>
      <c r="F2492" s="15">
        <v>0</v>
      </c>
    </row>
    <row r="2493" spans="2:6" hidden="1" x14ac:dyDescent="0.2">
      <c r="B2493" s="14">
        <v>2013</v>
      </c>
      <c r="C2493" s="13" t="s">
        <v>2333</v>
      </c>
      <c r="D2493" s="13" t="s">
        <v>1948</v>
      </c>
      <c r="E2493" s="13" t="s">
        <v>2420</v>
      </c>
      <c r="F2493" s="15">
        <v>0</v>
      </c>
    </row>
    <row r="2494" spans="2:6" hidden="1" x14ac:dyDescent="0.2">
      <c r="B2494" s="14">
        <v>2013</v>
      </c>
      <c r="C2494" s="13" t="s">
        <v>2333</v>
      </c>
      <c r="D2494" s="13" t="s">
        <v>1948</v>
      </c>
      <c r="E2494" s="13" t="s">
        <v>2421</v>
      </c>
      <c r="F2494" s="15">
        <v>0</v>
      </c>
    </row>
    <row r="2495" spans="2:6" hidden="1" x14ac:dyDescent="0.2">
      <c r="B2495" s="14">
        <v>2013</v>
      </c>
      <c r="C2495" s="13" t="s">
        <v>2333</v>
      </c>
      <c r="D2495" s="13" t="s">
        <v>1948</v>
      </c>
      <c r="E2495" s="13" t="s">
        <v>2422</v>
      </c>
      <c r="F2495" s="15">
        <v>0</v>
      </c>
    </row>
    <row r="2496" spans="2:6" hidden="1" x14ac:dyDescent="0.2">
      <c r="B2496" s="14">
        <v>2013</v>
      </c>
      <c r="C2496" s="13" t="s">
        <v>2333</v>
      </c>
      <c r="D2496" s="13" t="s">
        <v>2257</v>
      </c>
      <c r="E2496" s="13" t="s">
        <v>2257</v>
      </c>
      <c r="F2496" s="15">
        <v>1</v>
      </c>
    </row>
    <row r="2497" spans="2:6" hidden="1" x14ac:dyDescent="0.2">
      <c r="B2497" s="14">
        <v>2013</v>
      </c>
      <c r="C2497" s="13" t="s">
        <v>2333</v>
      </c>
      <c r="D2497" s="13" t="s">
        <v>2257</v>
      </c>
      <c r="E2497" s="13" t="s">
        <v>2423</v>
      </c>
      <c r="F2497" s="15">
        <v>0</v>
      </c>
    </row>
    <row r="2498" spans="2:6" hidden="1" x14ac:dyDescent="0.2">
      <c r="B2498" s="14">
        <v>2013</v>
      </c>
      <c r="C2498" s="13" t="s">
        <v>2333</v>
      </c>
      <c r="D2498" s="13" t="s">
        <v>2257</v>
      </c>
      <c r="E2498" s="13" t="s">
        <v>2424</v>
      </c>
      <c r="F2498" s="15">
        <v>0</v>
      </c>
    </row>
    <row r="2499" spans="2:6" hidden="1" x14ac:dyDescent="0.2">
      <c r="B2499" s="14">
        <v>2013</v>
      </c>
      <c r="C2499" s="13" t="s">
        <v>2333</v>
      </c>
      <c r="D2499" s="13" t="s">
        <v>2257</v>
      </c>
      <c r="E2499" s="13" t="s">
        <v>2425</v>
      </c>
      <c r="F2499" s="15">
        <v>0</v>
      </c>
    </row>
    <row r="2500" spans="2:6" hidden="1" x14ac:dyDescent="0.2">
      <c r="B2500" s="14">
        <v>2013</v>
      </c>
      <c r="C2500" s="13" t="s">
        <v>2333</v>
      </c>
      <c r="D2500" s="13" t="s">
        <v>2257</v>
      </c>
      <c r="E2500" s="13" t="s">
        <v>2426</v>
      </c>
      <c r="F2500" s="15">
        <v>0</v>
      </c>
    </row>
    <row r="2501" spans="2:6" hidden="1" x14ac:dyDescent="0.2">
      <c r="B2501" s="14">
        <v>2013</v>
      </c>
      <c r="C2501" s="13" t="s">
        <v>2333</v>
      </c>
      <c r="D2501" s="13" t="s">
        <v>2257</v>
      </c>
      <c r="E2501" s="13" t="s">
        <v>2427</v>
      </c>
      <c r="F2501" s="15">
        <v>0</v>
      </c>
    </row>
    <row r="2502" spans="2:6" hidden="1" x14ac:dyDescent="0.2">
      <c r="B2502" s="14">
        <v>2013</v>
      </c>
      <c r="C2502" s="13" t="s">
        <v>2333</v>
      </c>
      <c r="D2502" s="13" t="s">
        <v>2257</v>
      </c>
      <c r="E2502" s="13" t="s">
        <v>2428</v>
      </c>
      <c r="F2502" s="15">
        <v>0</v>
      </c>
    </row>
    <row r="2503" spans="2:6" hidden="1" x14ac:dyDescent="0.2">
      <c r="B2503" s="14">
        <v>2013</v>
      </c>
      <c r="C2503" s="13" t="s">
        <v>2333</v>
      </c>
      <c r="D2503" s="13" t="s">
        <v>2257</v>
      </c>
      <c r="E2503" s="13" t="s">
        <v>2429</v>
      </c>
      <c r="F2503" s="15">
        <v>0</v>
      </c>
    </row>
    <row r="2504" spans="2:6" hidden="1" x14ac:dyDescent="0.2">
      <c r="B2504" s="14">
        <v>2013</v>
      </c>
      <c r="C2504" s="13" t="s">
        <v>2333</v>
      </c>
      <c r="D2504" s="13" t="s">
        <v>2257</v>
      </c>
      <c r="E2504" s="13" t="s">
        <v>2430</v>
      </c>
      <c r="F2504" s="15">
        <v>2</v>
      </c>
    </row>
    <row r="2505" spans="2:6" hidden="1" x14ac:dyDescent="0.2">
      <c r="B2505" s="14">
        <v>2013</v>
      </c>
      <c r="C2505" s="13" t="s">
        <v>2333</v>
      </c>
      <c r="D2505" s="13" t="s">
        <v>2257</v>
      </c>
      <c r="E2505" s="13" t="s">
        <v>2431</v>
      </c>
      <c r="F2505" s="15">
        <v>0</v>
      </c>
    </row>
    <row r="2506" spans="2:6" hidden="1" x14ac:dyDescent="0.2">
      <c r="B2506" s="14">
        <v>2013</v>
      </c>
      <c r="C2506" s="13" t="s">
        <v>2333</v>
      </c>
      <c r="D2506" s="13" t="s">
        <v>2257</v>
      </c>
      <c r="E2506" s="13" t="s">
        <v>2432</v>
      </c>
      <c r="F2506" s="15">
        <v>0</v>
      </c>
    </row>
    <row r="2507" spans="2:6" hidden="1" x14ac:dyDescent="0.2">
      <c r="B2507" s="14">
        <v>2013</v>
      </c>
      <c r="C2507" s="13" t="s">
        <v>2333</v>
      </c>
      <c r="D2507" s="13" t="s">
        <v>2257</v>
      </c>
      <c r="E2507" s="13" t="s">
        <v>2433</v>
      </c>
      <c r="F2507" s="15">
        <v>0</v>
      </c>
    </row>
    <row r="2508" spans="2:6" hidden="1" x14ac:dyDescent="0.2">
      <c r="B2508" s="14">
        <v>2013</v>
      </c>
      <c r="C2508" s="13" t="s">
        <v>2333</v>
      </c>
      <c r="D2508" s="13" t="s">
        <v>2257</v>
      </c>
      <c r="E2508" s="13" t="s">
        <v>2434</v>
      </c>
      <c r="F2508" s="15">
        <v>0</v>
      </c>
    </row>
    <row r="2509" spans="2:6" hidden="1" x14ac:dyDescent="0.2">
      <c r="B2509" s="14">
        <v>2013</v>
      </c>
      <c r="C2509" s="13" t="s">
        <v>2333</v>
      </c>
      <c r="D2509" s="13" t="s">
        <v>2435</v>
      </c>
      <c r="E2509" s="13" t="s">
        <v>2435</v>
      </c>
      <c r="F2509" s="15">
        <v>6</v>
      </c>
    </row>
    <row r="2510" spans="2:6" hidden="1" x14ac:dyDescent="0.2">
      <c r="B2510" s="14">
        <v>2013</v>
      </c>
      <c r="C2510" s="13" t="s">
        <v>2333</v>
      </c>
      <c r="D2510" s="13" t="s">
        <v>2435</v>
      </c>
      <c r="E2510" s="13" t="s">
        <v>2436</v>
      </c>
      <c r="F2510" s="15">
        <v>0</v>
      </c>
    </row>
    <row r="2511" spans="2:6" hidden="1" x14ac:dyDescent="0.2">
      <c r="B2511" s="14">
        <v>2013</v>
      </c>
      <c r="C2511" s="13" t="s">
        <v>2333</v>
      </c>
      <c r="D2511" s="13" t="s">
        <v>2435</v>
      </c>
      <c r="E2511" s="13" t="s">
        <v>1922</v>
      </c>
      <c r="F2511" s="15">
        <v>0</v>
      </c>
    </row>
    <row r="2512" spans="2:6" hidden="1" x14ac:dyDescent="0.2">
      <c r="B2512" s="14">
        <v>2013</v>
      </c>
      <c r="C2512" s="13" t="s">
        <v>2333</v>
      </c>
      <c r="D2512" s="13" t="s">
        <v>2435</v>
      </c>
      <c r="E2512" s="13" t="s">
        <v>2437</v>
      </c>
      <c r="F2512" s="15">
        <v>0</v>
      </c>
    </row>
    <row r="2513" spans="2:6" hidden="1" x14ac:dyDescent="0.2">
      <c r="B2513" s="14">
        <v>2013</v>
      </c>
      <c r="C2513" s="13" t="s">
        <v>2333</v>
      </c>
      <c r="D2513" s="13" t="s">
        <v>1962</v>
      </c>
      <c r="E2513" s="13" t="s">
        <v>1962</v>
      </c>
      <c r="F2513" s="15">
        <v>0</v>
      </c>
    </row>
    <row r="2514" spans="2:6" hidden="1" x14ac:dyDescent="0.2">
      <c r="B2514" s="14">
        <v>2013</v>
      </c>
      <c r="C2514" s="13" t="s">
        <v>2333</v>
      </c>
      <c r="D2514" s="13" t="s">
        <v>1962</v>
      </c>
      <c r="E2514" s="13" t="s">
        <v>2438</v>
      </c>
      <c r="F2514" s="15">
        <v>0</v>
      </c>
    </row>
    <row r="2515" spans="2:6" hidden="1" x14ac:dyDescent="0.2">
      <c r="B2515" s="14">
        <v>2013</v>
      </c>
      <c r="C2515" s="13" t="s">
        <v>2333</v>
      </c>
      <c r="D2515" s="13" t="s">
        <v>1962</v>
      </c>
      <c r="E2515" s="13" t="s">
        <v>2439</v>
      </c>
      <c r="F2515" s="15">
        <v>1</v>
      </c>
    </row>
    <row r="2516" spans="2:6" hidden="1" x14ac:dyDescent="0.2">
      <c r="B2516" s="14">
        <v>2013</v>
      </c>
      <c r="C2516" s="13" t="s">
        <v>2333</v>
      </c>
      <c r="D2516" s="13" t="s">
        <v>1962</v>
      </c>
      <c r="E2516" s="13" t="s">
        <v>2440</v>
      </c>
      <c r="F2516" s="15">
        <v>0</v>
      </c>
    </row>
    <row r="2517" spans="2:6" hidden="1" x14ac:dyDescent="0.2">
      <c r="B2517" s="14">
        <v>2013</v>
      </c>
      <c r="C2517" s="13" t="s">
        <v>2333</v>
      </c>
      <c r="D2517" s="13" t="s">
        <v>1962</v>
      </c>
      <c r="E2517" s="13" t="s">
        <v>2441</v>
      </c>
      <c r="F2517" s="15">
        <v>2</v>
      </c>
    </row>
    <row r="2518" spans="2:6" hidden="1" x14ac:dyDescent="0.2">
      <c r="B2518" s="14">
        <v>2013</v>
      </c>
      <c r="C2518" s="13" t="s">
        <v>2333</v>
      </c>
      <c r="D2518" s="13" t="s">
        <v>1962</v>
      </c>
      <c r="E2518" s="13" t="s">
        <v>2442</v>
      </c>
      <c r="F2518" s="15">
        <v>0</v>
      </c>
    </row>
    <row r="2519" spans="2:6" hidden="1" x14ac:dyDescent="0.2">
      <c r="B2519" s="14">
        <v>2013</v>
      </c>
      <c r="C2519" s="13" t="s">
        <v>2333</v>
      </c>
      <c r="D2519" s="13" t="s">
        <v>1962</v>
      </c>
      <c r="E2519" s="13" t="s">
        <v>2443</v>
      </c>
      <c r="F2519" s="15">
        <v>1</v>
      </c>
    </row>
    <row r="2520" spans="2:6" hidden="1" x14ac:dyDescent="0.2">
      <c r="B2520" s="14">
        <v>2013</v>
      </c>
      <c r="C2520" s="13" t="s">
        <v>2333</v>
      </c>
      <c r="D2520" s="13" t="s">
        <v>1962</v>
      </c>
      <c r="E2520" s="13" t="s">
        <v>2444</v>
      </c>
      <c r="F2520" s="15">
        <v>2</v>
      </c>
    </row>
    <row r="2521" spans="2:6" hidden="1" x14ac:dyDescent="0.2">
      <c r="B2521" s="14">
        <v>2013</v>
      </c>
      <c r="C2521" s="13" t="s">
        <v>2333</v>
      </c>
      <c r="D2521" s="13" t="s">
        <v>1962</v>
      </c>
      <c r="E2521" s="13" t="s">
        <v>2445</v>
      </c>
      <c r="F2521" s="15">
        <v>0</v>
      </c>
    </row>
    <row r="2522" spans="2:6" hidden="1" x14ac:dyDescent="0.2">
      <c r="B2522" s="14">
        <v>2013</v>
      </c>
      <c r="C2522" s="13" t="s">
        <v>2333</v>
      </c>
      <c r="D2522" s="13" t="s">
        <v>1962</v>
      </c>
      <c r="E2522" s="13" t="s">
        <v>2446</v>
      </c>
      <c r="F2522" s="15">
        <v>0</v>
      </c>
    </row>
    <row r="2523" spans="2:6" hidden="1" x14ac:dyDescent="0.2">
      <c r="B2523" s="14">
        <v>2013</v>
      </c>
      <c r="C2523" s="13" t="s">
        <v>2333</v>
      </c>
      <c r="D2523" s="13" t="s">
        <v>1962</v>
      </c>
      <c r="E2523" s="13" t="s">
        <v>2447</v>
      </c>
      <c r="F2523" s="15">
        <v>0</v>
      </c>
    </row>
    <row r="2524" spans="2:6" hidden="1" x14ac:dyDescent="0.2">
      <c r="B2524" s="14">
        <v>2013</v>
      </c>
      <c r="C2524" s="13" t="s">
        <v>2448</v>
      </c>
      <c r="D2524" s="13" t="s">
        <v>2448</v>
      </c>
      <c r="E2524" s="13" t="s">
        <v>2448</v>
      </c>
      <c r="F2524" s="15">
        <v>321</v>
      </c>
    </row>
    <row r="2525" spans="2:6" hidden="1" x14ac:dyDescent="0.2">
      <c r="B2525" s="14">
        <v>2013</v>
      </c>
      <c r="C2525" s="13" t="s">
        <v>2448</v>
      </c>
      <c r="D2525" s="13" t="s">
        <v>2448</v>
      </c>
      <c r="E2525" s="13" t="s">
        <v>2399</v>
      </c>
      <c r="F2525" s="15">
        <v>27</v>
      </c>
    </row>
    <row r="2526" spans="2:6" hidden="1" x14ac:dyDescent="0.2">
      <c r="B2526" s="14">
        <v>2013</v>
      </c>
      <c r="C2526" s="13" t="s">
        <v>2448</v>
      </c>
      <c r="D2526" s="13" t="s">
        <v>2448</v>
      </c>
      <c r="E2526" s="13" t="s">
        <v>2449</v>
      </c>
      <c r="F2526" s="15">
        <v>19</v>
      </c>
    </row>
    <row r="2527" spans="2:6" hidden="1" x14ac:dyDescent="0.2">
      <c r="B2527" s="14">
        <v>2013</v>
      </c>
      <c r="C2527" s="13" t="s">
        <v>2448</v>
      </c>
      <c r="D2527" s="13" t="s">
        <v>2448</v>
      </c>
      <c r="E2527" s="13" t="s">
        <v>2450</v>
      </c>
      <c r="F2527" s="15">
        <v>26</v>
      </c>
    </row>
    <row r="2528" spans="2:6" hidden="1" x14ac:dyDescent="0.2">
      <c r="B2528" s="14">
        <v>2013</v>
      </c>
      <c r="C2528" s="13" t="s">
        <v>2448</v>
      </c>
      <c r="D2528" s="13" t="s">
        <v>2448</v>
      </c>
      <c r="E2528" s="13" t="s">
        <v>2451</v>
      </c>
      <c r="F2528" s="15">
        <v>7</v>
      </c>
    </row>
    <row r="2529" spans="2:6" hidden="1" x14ac:dyDescent="0.2">
      <c r="B2529" s="14">
        <v>2013</v>
      </c>
      <c r="C2529" s="13" t="s">
        <v>2448</v>
      </c>
      <c r="D2529" s="13" t="s">
        <v>2448</v>
      </c>
      <c r="E2529" s="13" t="s">
        <v>2452</v>
      </c>
      <c r="F2529" s="15">
        <v>100</v>
      </c>
    </row>
    <row r="2530" spans="2:6" hidden="1" x14ac:dyDescent="0.2">
      <c r="B2530" s="14">
        <v>2013</v>
      </c>
      <c r="C2530" s="13" t="s">
        <v>2453</v>
      </c>
      <c r="D2530" s="13" t="s">
        <v>2453</v>
      </c>
      <c r="E2530" s="13" t="s">
        <v>2453</v>
      </c>
      <c r="F2530" s="15">
        <v>180</v>
      </c>
    </row>
    <row r="2531" spans="2:6" hidden="1" x14ac:dyDescent="0.2">
      <c r="B2531" s="14">
        <v>2013</v>
      </c>
      <c r="C2531" s="13" t="s">
        <v>2453</v>
      </c>
      <c r="D2531" s="13" t="s">
        <v>2453</v>
      </c>
      <c r="E2531" s="13" t="s">
        <v>2454</v>
      </c>
      <c r="F2531" s="15">
        <v>0</v>
      </c>
    </row>
    <row r="2532" spans="2:6" hidden="1" x14ac:dyDescent="0.2">
      <c r="B2532" s="14">
        <v>2013</v>
      </c>
      <c r="C2532" s="13" t="s">
        <v>2453</v>
      </c>
      <c r="D2532" s="13" t="s">
        <v>2453</v>
      </c>
      <c r="E2532" s="13" t="s">
        <v>2455</v>
      </c>
      <c r="F2532" s="15">
        <v>8</v>
      </c>
    </row>
    <row r="2533" spans="2:6" hidden="1" x14ac:dyDescent="0.2">
      <c r="B2533" s="14">
        <v>2013</v>
      </c>
      <c r="C2533" s="13" t="s">
        <v>2453</v>
      </c>
      <c r="D2533" s="13" t="s">
        <v>2453</v>
      </c>
      <c r="E2533" s="13" t="s">
        <v>1842</v>
      </c>
      <c r="F2533" s="15">
        <v>4</v>
      </c>
    </row>
    <row r="2534" spans="2:6" hidden="1" x14ac:dyDescent="0.2">
      <c r="B2534" s="14">
        <v>2013</v>
      </c>
      <c r="C2534" s="13" t="s">
        <v>2453</v>
      </c>
      <c r="D2534" s="13" t="s">
        <v>2453</v>
      </c>
      <c r="E2534" s="13" t="s">
        <v>2456</v>
      </c>
      <c r="F2534" s="15">
        <v>102</v>
      </c>
    </row>
    <row r="2535" spans="2:6" hidden="1" x14ac:dyDescent="0.2">
      <c r="B2535" s="14">
        <v>2013</v>
      </c>
      <c r="C2535" s="13" t="s">
        <v>2453</v>
      </c>
      <c r="D2535" s="13" t="s">
        <v>2453</v>
      </c>
      <c r="E2535" s="13" t="s">
        <v>2457</v>
      </c>
      <c r="F2535" s="15">
        <v>30</v>
      </c>
    </row>
    <row r="2536" spans="2:6" hidden="1" x14ac:dyDescent="0.2">
      <c r="B2536" s="14">
        <v>2013</v>
      </c>
      <c r="C2536" s="13" t="s">
        <v>2453</v>
      </c>
      <c r="D2536" s="13" t="s">
        <v>2453</v>
      </c>
      <c r="E2536" s="13" t="s">
        <v>2458</v>
      </c>
      <c r="F2536" s="15">
        <v>3</v>
      </c>
    </row>
    <row r="2537" spans="2:6" hidden="1" x14ac:dyDescent="0.2">
      <c r="B2537" s="14">
        <v>2013</v>
      </c>
      <c r="C2537" s="13" t="s">
        <v>2453</v>
      </c>
      <c r="D2537" s="13" t="s">
        <v>2453</v>
      </c>
      <c r="E2537" s="13" t="s">
        <v>2459</v>
      </c>
      <c r="F2537" s="15">
        <v>120</v>
      </c>
    </row>
    <row r="2538" spans="2:6" hidden="1" x14ac:dyDescent="0.2">
      <c r="B2538" s="14">
        <v>2013</v>
      </c>
      <c r="C2538" s="13" t="s">
        <v>2453</v>
      </c>
      <c r="D2538" s="13" t="s">
        <v>2460</v>
      </c>
      <c r="E2538" s="13" t="s">
        <v>2460</v>
      </c>
      <c r="F2538" s="15">
        <v>0</v>
      </c>
    </row>
    <row r="2539" spans="2:6" hidden="1" x14ac:dyDescent="0.2">
      <c r="B2539" s="14">
        <v>2013</v>
      </c>
      <c r="C2539" s="13" t="s">
        <v>2453</v>
      </c>
      <c r="D2539" s="13" t="s">
        <v>2460</v>
      </c>
      <c r="E2539" s="13" t="s">
        <v>2461</v>
      </c>
      <c r="F2539" s="15">
        <v>0</v>
      </c>
    </row>
    <row r="2540" spans="2:6" hidden="1" x14ac:dyDescent="0.2">
      <c r="B2540" s="14">
        <v>2013</v>
      </c>
      <c r="C2540" s="13" t="s">
        <v>2453</v>
      </c>
      <c r="D2540" s="13" t="s">
        <v>2460</v>
      </c>
      <c r="E2540" s="13" t="s">
        <v>2462</v>
      </c>
      <c r="F2540" s="15">
        <v>0</v>
      </c>
    </row>
    <row r="2541" spans="2:6" hidden="1" x14ac:dyDescent="0.2">
      <c r="B2541" s="14">
        <v>2013</v>
      </c>
      <c r="C2541" s="13" t="s">
        <v>2453</v>
      </c>
      <c r="D2541" s="13" t="s">
        <v>2460</v>
      </c>
      <c r="E2541" s="13" t="s">
        <v>2463</v>
      </c>
      <c r="F2541" s="15">
        <v>0</v>
      </c>
    </row>
    <row r="2542" spans="2:6" hidden="1" x14ac:dyDescent="0.2">
      <c r="B2542" s="14">
        <v>2013</v>
      </c>
      <c r="C2542" s="13" t="s">
        <v>2453</v>
      </c>
      <c r="D2542" s="13" t="s">
        <v>2460</v>
      </c>
      <c r="E2542" s="13" t="s">
        <v>2464</v>
      </c>
      <c r="F2542" s="15">
        <v>0</v>
      </c>
    </row>
    <row r="2543" spans="2:6" hidden="1" x14ac:dyDescent="0.2">
      <c r="B2543" s="14">
        <v>2013</v>
      </c>
      <c r="C2543" s="13" t="s">
        <v>2453</v>
      </c>
      <c r="D2543" s="13" t="s">
        <v>2460</v>
      </c>
      <c r="E2543" s="13" t="s">
        <v>2465</v>
      </c>
      <c r="F2543" s="15">
        <v>0</v>
      </c>
    </row>
    <row r="2544" spans="2:6" hidden="1" x14ac:dyDescent="0.2">
      <c r="B2544" s="14">
        <v>2013</v>
      </c>
      <c r="C2544" s="13" t="s">
        <v>2453</v>
      </c>
      <c r="D2544" s="13" t="s">
        <v>2460</v>
      </c>
      <c r="E2544" s="13" t="s">
        <v>2466</v>
      </c>
      <c r="F2544" s="15">
        <v>0</v>
      </c>
    </row>
    <row r="2545" spans="2:6" hidden="1" x14ac:dyDescent="0.2">
      <c r="B2545" s="14">
        <v>2013</v>
      </c>
      <c r="C2545" s="13" t="s">
        <v>2453</v>
      </c>
      <c r="D2545" s="13" t="s">
        <v>1913</v>
      </c>
      <c r="E2545" s="13" t="s">
        <v>1913</v>
      </c>
      <c r="F2545" s="15">
        <v>0</v>
      </c>
    </row>
    <row r="2546" spans="2:6" hidden="1" x14ac:dyDescent="0.2">
      <c r="B2546" s="14">
        <v>2013</v>
      </c>
      <c r="C2546" s="13" t="s">
        <v>2453</v>
      </c>
      <c r="D2546" s="13" t="s">
        <v>1913</v>
      </c>
      <c r="E2546" s="13" t="s">
        <v>2467</v>
      </c>
      <c r="F2546" s="15">
        <v>0</v>
      </c>
    </row>
    <row r="2547" spans="2:6" hidden="1" x14ac:dyDescent="0.2">
      <c r="B2547" s="14">
        <v>2013</v>
      </c>
      <c r="C2547" s="13" t="s">
        <v>2453</v>
      </c>
      <c r="D2547" s="13" t="s">
        <v>1913</v>
      </c>
      <c r="E2547" s="13" t="s">
        <v>2468</v>
      </c>
      <c r="F2547" s="15">
        <v>0</v>
      </c>
    </row>
    <row r="2548" spans="2:6" hidden="1" x14ac:dyDescent="0.2">
      <c r="B2548" s="14">
        <v>2013</v>
      </c>
      <c r="C2548" s="13" t="s">
        <v>2453</v>
      </c>
      <c r="D2548" s="13" t="s">
        <v>1913</v>
      </c>
      <c r="E2548" s="13" t="s">
        <v>2469</v>
      </c>
      <c r="F2548" s="15">
        <v>0</v>
      </c>
    </row>
    <row r="2549" spans="2:6" hidden="1" x14ac:dyDescent="0.2">
      <c r="B2549" s="14">
        <v>2013</v>
      </c>
      <c r="C2549" s="13" t="s">
        <v>2453</v>
      </c>
      <c r="D2549" s="13" t="s">
        <v>1913</v>
      </c>
      <c r="E2549" s="13" t="s">
        <v>2470</v>
      </c>
      <c r="F2549" s="15">
        <v>0</v>
      </c>
    </row>
    <row r="2550" spans="2:6" hidden="1" x14ac:dyDescent="0.2">
      <c r="B2550" s="14">
        <v>2013</v>
      </c>
      <c r="C2550" s="13" t="s">
        <v>2453</v>
      </c>
      <c r="D2550" s="13" t="s">
        <v>1913</v>
      </c>
      <c r="E2550" s="13" t="s">
        <v>2471</v>
      </c>
      <c r="F2550" s="15">
        <v>0</v>
      </c>
    </row>
    <row r="2551" spans="2:6" hidden="1" x14ac:dyDescent="0.2">
      <c r="B2551" s="14">
        <v>2013</v>
      </c>
      <c r="C2551" s="13" t="s">
        <v>2453</v>
      </c>
      <c r="D2551" s="13" t="s">
        <v>1913</v>
      </c>
      <c r="E2551" s="13" t="s">
        <v>2472</v>
      </c>
      <c r="F2551" s="15">
        <v>1</v>
      </c>
    </row>
    <row r="2552" spans="2:6" hidden="1" x14ac:dyDescent="0.2">
      <c r="B2552" s="14">
        <v>2013</v>
      </c>
      <c r="C2552" s="13" t="s">
        <v>2453</v>
      </c>
      <c r="D2552" s="13" t="s">
        <v>1913</v>
      </c>
      <c r="E2552" s="13" t="s">
        <v>2473</v>
      </c>
      <c r="F2552" s="15">
        <v>0</v>
      </c>
    </row>
    <row r="2553" spans="2:6" hidden="1" x14ac:dyDescent="0.2">
      <c r="B2553" s="14">
        <v>2013</v>
      </c>
      <c r="C2553" s="13" t="s">
        <v>2453</v>
      </c>
      <c r="D2553" s="13" t="s">
        <v>1913</v>
      </c>
      <c r="E2553" s="13" t="s">
        <v>2474</v>
      </c>
      <c r="F2553" s="15">
        <v>0</v>
      </c>
    </row>
    <row r="2554" spans="2:6" hidden="1" x14ac:dyDescent="0.2">
      <c r="B2554" s="14">
        <v>2013</v>
      </c>
      <c r="C2554" s="13" t="s">
        <v>2453</v>
      </c>
      <c r="D2554" s="13" t="s">
        <v>2475</v>
      </c>
      <c r="E2554" s="13" t="s">
        <v>2475</v>
      </c>
      <c r="F2554" s="15">
        <v>15</v>
      </c>
    </row>
    <row r="2555" spans="2:6" hidden="1" x14ac:dyDescent="0.2">
      <c r="B2555" s="14">
        <v>2013</v>
      </c>
      <c r="C2555" s="13" t="s">
        <v>2453</v>
      </c>
      <c r="D2555" s="13" t="s">
        <v>2475</v>
      </c>
      <c r="E2555" s="13" t="s">
        <v>2476</v>
      </c>
      <c r="F2555" s="15">
        <v>0</v>
      </c>
    </row>
    <row r="2556" spans="2:6" hidden="1" x14ac:dyDescent="0.2">
      <c r="B2556" s="14">
        <v>2013</v>
      </c>
      <c r="C2556" s="13" t="s">
        <v>2453</v>
      </c>
      <c r="D2556" s="13" t="s">
        <v>2475</v>
      </c>
      <c r="E2556" s="13" t="s">
        <v>2477</v>
      </c>
      <c r="F2556" s="15">
        <v>0</v>
      </c>
    </row>
    <row r="2557" spans="2:6" hidden="1" x14ac:dyDescent="0.2">
      <c r="B2557" s="14">
        <v>2013</v>
      </c>
      <c r="C2557" s="13" t="s">
        <v>2453</v>
      </c>
      <c r="D2557" s="13" t="s">
        <v>2475</v>
      </c>
      <c r="E2557" s="13" t="s">
        <v>2478</v>
      </c>
      <c r="F2557" s="15">
        <v>2</v>
      </c>
    </row>
    <row r="2558" spans="2:6" hidden="1" x14ac:dyDescent="0.2">
      <c r="B2558" s="14">
        <v>2013</v>
      </c>
      <c r="C2558" s="13" t="s">
        <v>2453</v>
      </c>
      <c r="D2558" s="13" t="s">
        <v>2475</v>
      </c>
      <c r="E2558" s="13" t="s">
        <v>2479</v>
      </c>
      <c r="F2558" s="15">
        <v>18</v>
      </c>
    </row>
    <row r="2559" spans="2:6" hidden="1" x14ac:dyDescent="0.2">
      <c r="B2559" s="14">
        <v>2013</v>
      </c>
      <c r="C2559" s="13" t="s">
        <v>2453</v>
      </c>
      <c r="D2559" s="13" t="s">
        <v>2475</v>
      </c>
      <c r="E2559" s="13" t="s">
        <v>2480</v>
      </c>
      <c r="F2559" s="15">
        <v>0</v>
      </c>
    </row>
    <row r="2560" spans="2:6" hidden="1" x14ac:dyDescent="0.2">
      <c r="B2560" s="14">
        <v>2013</v>
      </c>
      <c r="C2560" s="13" t="s">
        <v>2453</v>
      </c>
      <c r="D2560" s="13" t="s">
        <v>2475</v>
      </c>
      <c r="E2560" s="13" t="s">
        <v>2481</v>
      </c>
      <c r="F2560" s="15">
        <v>0</v>
      </c>
    </row>
    <row r="2561" spans="2:6" hidden="1" x14ac:dyDescent="0.2">
      <c r="B2561" s="14">
        <v>2013</v>
      </c>
      <c r="C2561" s="13" t="s">
        <v>2453</v>
      </c>
      <c r="D2561" s="13" t="s">
        <v>2475</v>
      </c>
      <c r="E2561" s="13" t="s">
        <v>2482</v>
      </c>
      <c r="F2561" s="15">
        <v>0</v>
      </c>
    </row>
    <row r="2562" spans="2:6" hidden="1" x14ac:dyDescent="0.2">
      <c r="B2562" s="14">
        <v>2013</v>
      </c>
      <c r="C2562" s="13" t="s">
        <v>2453</v>
      </c>
      <c r="D2562" s="13" t="s">
        <v>2483</v>
      </c>
      <c r="E2562" s="13" t="s">
        <v>2484</v>
      </c>
      <c r="F2562" s="15">
        <v>0</v>
      </c>
    </row>
    <row r="2563" spans="2:6" hidden="1" x14ac:dyDescent="0.2">
      <c r="B2563" s="14">
        <v>2013</v>
      </c>
      <c r="C2563" s="13" t="s">
        <v>2453</v>
      </c>
      <c r="D2563" s="13" t="s">
        <v>2483</v>
      </c>
      <c r="E2563" s="13" t="s">
        <v>2485</v>
      </c>
      <c r="F2563" s="15">
        <v>0</v>
      </c>
    </row>
    <row r="2564" spans="2:6" hidden="1" x14ac:dyDescent="0.2">
      <c r="B2564" s="14">
        <v>2013</v>
      </c>
      <c r="C2564" s="13" t="s">
        <v>2453</v>
      </c>
      <c r="D2564" s="13" t="s">
        <v>2483</v>
      </c>
      <c r="E2564" s="13" t="s">
        <v>2486</v>
      </c>
      <c r="F2564" s="15">
        <v>4</v>
      </c>
    </row>
    <row r="2565" spans="2:6" hidden="1" x14ac:dyDescent="0.2">
      <c r="B2565" s="14">
        <v>2013</v>
      </c>
      <c r="C2565" s="13" t="s">
        <v>2453</v>
      </c>
      <c r="D2565" s="13" t="s">
        <v>2483</v>
      </c>
      <c r="E2565" s="13" t="s">
        <v>2487</v>
      </c>
      <c r="F2565" s="15">
        <v>0</v>
      </c>
    </row>
    <row r="2566" spans="2:6" hidden="1" x14ac:dyDescent="0.2">
      <c r="B2566" s="14">
        <v>2013</v>
      </c>
      <c r="C2566" s="13" t="s">
        <v>2453</v>
      </c>
      <c r="D2566" s="13" t="s">
        <v>2483</v>
      </c>
      <c r="E2566" s="13" t="s">
        <v>2488</v>
      </c>
      <c r="F2566" s="15">
        <v>2</v>
      </c>
    </row>
    <row r="2567" spans="2:6" hidden="1" x14ac:dyDescent="0.2">
      <c r="B2567" s="14">
        <v>2013</v>
      </c>
      <c r="C2567" s="13" t="s">
        <v>2453</v>
      </c>
      <c r="D2567" s="13" t="s">
        <v>2483</v>
      </c>
      <c r="E2567" s="13" t="s">
        <v>2216</v>
      </c>
      <c r="F2567" s="15">
        <v>1</v>
      </c>
    </row>
    <row r="2568" spans="2:6" hidden="1" x14ac:dyDescent="0.2">
      <c r="B2568" s="14">
        <v>2013</v>
      </c>
      <c r="C2568" s="13" t="s">
        <v>2453</v>
      </c>
      <c r="D2568" s="13" t="s">
        <v>2483</v>
      </c>
      <c r="E2568" s="13" t="s">
        <v>2489</v>
      </c>
      <c r="F2568" s="15">
        <v>0</v>
      </c>
    </row>
    <row r="2569" spans="2:6" hidden="1" x14ac:dyDescent="0.2">
      <c r="B2569" s="14">
        <v>2013</v>
      </c>
      <c r="C2569" s="13" t="s">
        <v>2453</v>
      </c>
      <c r="D2569" s="13" t="s">
        <v>2483</v>
      </c>
      <c r="E2569" s="13" t="s">
        <v>2490</v>
      </c>
      <c r="F2569" s="15">
        <v>3</v>
      </c>
    </row>
    <row r="2570" spans="2:6" hidden="1" x14ac:dyDescent="0.2">
      <c r="B2570" s="14">
        <v>2013</v>
      </c>
      <c r="C2570" s="13" t="s">
        <v>2453</v>
      </c>
      <c r="D2570" s="13" t="s">
        <v>2491</v>
      </c>
      <c r="E2570" s="13" t="s">
        <v>2492</v>
      </c>
      <c r="F2570" s="15">
        <v>0</v>
      </c>
    </row>
    <row r="2571" spans="2:6" hidden="1" x14ac:dyDescent="0.2">
      <c r="B2571" s="14">
        <v>2013</v>
      </c>
      <c r="C2571" s="13" t="s">
        <v>2453</v>
      </c>
      <c r="D2571" s="13" t="s">
        <v>2491</v>
      </c>
      <c r="E2571" s="13" t="s">
        <v>2493</v>
      </c>
      <c r="F2571" s="15">
        <v>1</v>
      </c>
    </row>
    <row r="2572" spans="2:6" hidden="1" x14ac:dyDescent="0.2">
      <c r="B2572" s="14">
        <v>2013</v>
      </c>
      <c r="C2572" s="13" t="s">
        <v>2453</v>
      </c>
      <c r="D2572" s="13" t="s">
        <v>2491</v>
      </c>
      <c r="E2572" s="13" t="s">
        <v>2494</v>
      </c>
      <c r="F2572" s="15">
        <v>4</v>
      </c>
    </row>
    <row r="2573" spans="2:6" hidden="1" x14ac:dyDescent="0.2">
      <c r="B2573" s="14">
        <v>2013</v>
      </c>
      <c r="C2573" s="13" t="s">
        <v>2453</v>
      </c>
      <c r="D2573" s="13" t="s">
        <v>2491</v>
      </c>
      <c r="E2573" s="13" t="s">
        <v>2495</v>
      </c>
      <c r="F2573" s="15">
        <v>1</v>
      </c>
    </row>
    <row r="2574" spans="2:6" hidden="1" x14ac:dyDescent="0.2">
      <c r="B2574" s="14">
        <v>2013</v>
      </c>
      <c r="C2574" s="13" t="s">
        <v>2453</v>
      </c>
      <c r="D2574" s="13" t="s">
        <v>2491</v>
      </c>
      <c r="E2574" s="13" t="s">
        <v>2496</v>
      </c>
      <c r="F2574" s="15">
        <v>0</v>
      </c>
    </row>
    <row r="2575" spans="2:6" hidden="1" x14ac:dyDescent="0.2">
      <c r="B2575" s="14">
        <v>2013</v>
      </c>
      <c r="C2575" s="13" t="s">
        <v>2453</v>
      </c>
      <c r="D2575" s="13" t="s">
        <v>2491</v>
      </c>
      <c r="E2575" s="13" t="s">
        <v>2435</v>
      </c>
      <c r="F2575" s="15">
        <v>2</v>
      </c>
    </row>
    <row r="2576" spans="2:6" hidden="1" x14ac:dyDescent="0.2">
      <c r="B2576" s="14">
        <v>2013</v>
      </c>
      <c r="C2576" s="13" t="s">
        <v>2453</v>
      </c>
      <c r="D2576" s="13" t="s">
        <v>2491</v>
      </c>
      <c r="E2576" s="13" t="s">
        <v>1982</v>
      </c>
      <c r="F2576" s="15">
        <v>0</v>
      </c>
    </row>
    <row r="2577" spans="2:6" hidden="1" x14ac:dyDescent="0.2">
      <c r="B2577" s="14">
        <v>2013</v>
      </c>
      <c r="C2577" s="13" t="s">
        <v>2453</v>
      </c>
      <c r="D2577" s="13" t="s">
        <v>2491</v>
      </c>
      <c r="E2577" s="13" t="s">
        <v>2497</v>
      </c>
      <c r="F2577" s="15">
        <v>0</v>
      </c>
    </row>
    <row r="2578" spans="2:6" hidden="1" x14ac:dyDescent="0.2">
      <c r="B2578" s="14">
        <v>2013</v>
      </c>
      <c r="C2578" s="13" t="s">
        <v>2453</v>
      </c>
      <c r="D2578" s="13" t="s">
        <v>2498</v>
      </c>
      <c r="E2578" s="13" t="s">
        <v>1845</v>
      </c>
      <c r="F2578" s="15">
        <v>0</v>
      </c>
    </row>
    <row r="2579" spans="2:6" hidden="1" x14ac:dyDescent="0.2">
      <c r="B2579" s="14">
        <v>2013</v>
      </c>
      <c r="C2579" s="13" t="s">
        <v>2453</v>
      </c>
      <c r="D2579" s="13" t="s">
        <v>2498</v>
      </c>
      <c r="E2579" s="13" t="s">
        <v>2499</v>
      </c>
      <c r="F2579" s="15">
        <v>2</v>
      </c>
    </row>
    <row r="2580" spans="2:6" hidden="1" x14ac:dyDescent="0.2">
      <c r="B2580" s="14">
        <v>2013</v>
      </c>
      <c r="C2580" s="13" t="s">
        <v>2453</v>
      </c>
      <c r="D2580" s="13" t="s">
        <v>2498</v>
      </c>
      <c r="E2580" s="13" t="s">
        <v>2500</v>
      </c>
      <c r="F2580" s="15">
        <v>12</v>
      </c>
    </row>
    <row r="2581" spans="2:6" hidden="1" x14ac:dyDescent="0.2">
      <c r="B2581" s="14">
        <v>2013</v>
      </c>
      <c r="C2581" s="13" t="s">
        <v>2453</v>
      </c>
      <c r="D2581" s="13" t="s">
        <v>2498</v>
      </c>
      <c r="E2581" s="13" t="s">
        <v>2501</v>
      </c>
      <c r="F2581" s="15">
        <v>10</v>
      </c>
    </row>
    <row r="2582" spans="2:6" hidden="1" x14ac:dyDescent="0.2">
      <c r="B2582" s="14">
        <v>2013</v>
      </c>
      <c r="C2582" s="13" t="s">
        <v>2453</v>
      </c>
      <c r="D2582" s="13" t="s">
        <v>2498</v>
      </c>
      <c r="E2582" s="13" t="s">
        <v>2502</v>
      </c>
      <c r="F2582" s="15">
        <v>1</v>
      </c>
    </row>
    <row r="2583" spans="2:6" hidden="1" x14ac:dyDescent="0.2">
      <c r="B2583" s="14">
        <v>2013</v>
      </c>
      <c r="C2583" s="13" t="s">
        <v>2453</v>
      </c>
      <c r="D2583" s="13" t="s">
        <v>2498</v>
      </c>
      <c r="E2583" s="13" t="s">
        <v>2503</v>
      </c>
      <c r="F2583" s="15">
        <v>3</v>
      </c>
    </row>
    <row r="2584" spans="2:6" hidden="1" x14ac:dyDescent="0.2">
      <c r="B2584" s="14">
        <v>2013</v>
      </c>
      <c r="C2584" s="13" t="s">
        <v>2453</v>
      </c>
      <c r="D2584" s="13" t="s">
        <v>2498</v>
      </c>
      <c r="E2584" s="13" t="s">
        <v>2504</v>
      </c>
      <c r="F2584" s="15">
        <v>0</v>
      </c>
    </row>
    <row r="2585" spans="2:6" hidden="1" x14ac:dyDescent="0.2">
      <c r="B2585" s="14">
        <v>2013</v>
      </c>
      <c r="C2585" s="13" t="s">
        <v>2453</v>
      </c>
      <c r="D2585" s="13" t="s">
        <v>2498</v>
      </c>
      <c r="E2585" s="13" t="s">
        <v>2505</v>
      </c>
      <c r="F2585" s="15">
        <v>7</v>
      </c>
    </row>
    <row r="2586" spans="2:6" hidden="1" x14ac:dyDescent="0.2">
      <c r="B2586" s="14">
        <v>2013</v>
      </c>
      <c r="C2586" s="13" t="s">
        <v>2453</v>
      </c>
      <c r="D2586" s="13" t="s">
        <v>2506</v>
      </c>
      <c r="E2586" s="13" t="s">
        <v>2506</v>
      </c>
      <c r="F2586" s="15">
        <v>51</v>
      </c>
    </row>
    <row r="2587" spans="2:6" hidden="1" x14ac:dyDescent="0.2">
      <c r="B2587" s="14">
        <v>2013</v>
      </c>
      <c r="C2587" s="13" t="s">
        <v>2453</v>
      </c>
      <c r="D2587" s="13" t="s">
        <v>2506</v>
      </c>
      <c r="E2587" s="13" t="s">
        <v>2507</v>
      </c>
      <c r="F2587" s="15">
        <v>5</v>
      </c>
    </row>
    <row r="2588" spans="2:6" hidden="1" x14ac:dyDescent="0.2">
      <c r="B2588" s="14">
        <v>2013</v>
      </c>
      <c r="C2588" s="13" t="s">
        <v>2453</v>
      </c>
      <c r="D2588" s="13" t="s">
        <v>2506</v>
      </c>
      <c r="E2588" s="13" t="s">
        <v>2183</v>
      </c>
      <c r="F2588" s="15">
        <v>0</v>
      </c>
    </row>
    <row r="2589" spans="2:6" hidden="1" x14ac:dyDescent="0.2">
      <c r="B2589" s="14">
        <v>2013</v>
      </c>
      <c r="C2589" s="13" t="s">
        <v>2453</v>
      </c>
      <c r="D2589" s="13" t="s">
        <v>2506</v>
      </c>
      <c r="E2589" s="13" t="s">
        <v>2508</v>
      </c>
      <c r="F2589" s="15">
        <v>0</v>
      </c>
    </row>
    <row r="2590" spans="2:6" hidden="1" x14ac:dyDescent="0.2">
      <c r="B2590" s="14">
        <v>2013</v>
      </c>
      <c r="C2590" s="13" t="s">
        <v>2453</v>
      </c>
      <c r="D2590" s="13" t="s">
        <v>2506</v>
      </c>
      <c r="E2590" s="13" t="s">
        <v>2509</v>
      </c>
      <c r="F2590" s="15">
        <v>1</v>
      </c>
    </row>
    <row r="2591" spans="2:6" hidden="1" x14ac:dyDescent="0.2">
      <c r="B2591" s="14">
        <v>2013</v>
      </c>
      <c r="C2591" s="13" t="s">
        <v>2453</v>
      </c>
      <c r="D2591" s="13" t="s">
        <v>2506</v>
      </c>
      <c r="E2591" s="13" t="s">
        <v>2510</v>
      </c>
      <c r="F2591" s="15">
        <v>0</v>
      </c>
    </row>
    <row r="2592" spans="2:6" hidden="1" x14ac:dyDescent="0.2">
      <c r="B2592" s="14">
        <v>2013</v>
      </c>
      <c r="C2592" s="13" t="s">
        <v>2453</v>
      </c>
      <c r="D2592" s="13" t="s">
        <v>2506</v>
      </c>
      <c r="E2592" s="13" t="s">
        <v>2511</v>
      </c>
      <c r="F2592" s="15">
        <v>0</v>
      </c>
    </row>
    <row r="2593" spans="2:6" hidden="1" x14ac:dyDescent="0.2">
      <c r="B2593" s="14">
        <v>2013</v>
      </c>
      <c r="C2593" s="13" t="s">
        <v>2453</v>
      </c>
      <c r="D2593" s="13" t="s">
        <v>2506</v>
      </c>
      <c r="E2593" s="13" t="s">
        <v>2512</v>
      </c>
      <c r="F2593" s="15">
        <v>0</v>
      </c>
    </row>
    <row r="2594" spans="2:6" hidden="1" x14ac:dyDescent="0.2">
      <c r="B2594" s="14">
        <v>2013</v>
      </c>
      <c r="C2594" s="13" t="s">
        <v>2453</v>
      </c>
      <c r="D2594" s="13" t="s">
        <v>2513</v>
      </c>
      <c r="E2594" s="13" t="s">
        <v>2514</v>
      </c>
      <c r="F2594" s="15">
        <v>69</v>
      </c>
    </row>
    <row r="2595" spans="2:6" hidden="1" x14ac:dyDescent="0.2">
      <c r="B2595" s="14">
        <v>2013</v>
      </c>
      <c r="C2595" s="13" t="s">
        <v>2453</v>
      </c>
      <c r="D2595" s="13" t="s">
        <v>2513</v>
      </c>
      <c r="E2595" s="13" t="s">
        <v>2515</v>
      </c>
      <c r="F2595" s="15">
        <v>5</v>
      </c>
    </row>
    <row r="2596" spans="2:6" hidden="1" x14ac:dyDescent="0.2">
      <c r="B2596" s="14">
        <v>2013</v>
      </c>
      <c r="C2596" s="13" t="s">
        <v>2453</v>
      </c>
      <c r="D2596" s="13" t="s">
        <v>2513</v>
      </c>
      <c r="E2596" s="13" t="s">
        <v>2516</v>
      </c>
      <c r="F2596" s="15">
        <v>1</v>
      </c>
    </row>
    <row r="2597" spans="2:6" hidden="1" x14ac:dyDescent="0.2">
      <c r="B2597" s="14">
        <v>2013</v>
      </c>
      <c r="C2597" s="13" t="s">
        <v>2453</v>
      </c>
      <c r="D2597" s="13" t="s">
        <v>2513</v>
      </c>
      <c r="E2597" s="13" t="s">
        <v>2517</v>
      </c>
      <c r="F2597" s="15">
        <v>0</v>
      </c>
    </row>
    <row r="2598" spans="2:6" hidden="1" x14ac:dyDescent="0.2">
      <c r="B2598" s="14">
        <v>2013</v>
      </c>
      <c r="C2598" s="13" t="s">
        <v>2453</v>
      </c>
      <c r="D2598" s="13" t="s">
        <v>2513</v>
      </c>
      <c r="E2598" s="13" t="s">
        <v>2095</v>
      </c>
      <c r="F2598" s="15">
        <v>3</v>
      </c>
    </row>
    <row r="2599" spans="2:6" hidden="1" x14ac:dyDescent="0.2">
      <c r="B2599" s="14">
        <v>2013</v>
      </c>
      <c r="C2599" s="13" t="s">
        <v>2453</v>
      </c>
      <c r="D2599" s="13" t="s">
        <v>2513</v>
      </c>
      <c r="E2599" s="13" t="s">
        <v>2518</v>
      </c>
      <c r="F2599" s="15">
        <v>0</v>
      </c>
    </row>
    <row r="2600" spans="2:6" hidden="1" x14ac:dyDescent="0.2">
      <c r="B2600" s="14">
        <v>2013</v>
      </c>
      <c r="C2600" s="13" t="s">
        <v>2453</v>
      </c>
      <c r="D2600" s="13" t="s">
        <v>2513</v>
      </c>
      <c r="E2600" s="13" t="s">
        <v>2519</v>
      </c>
      <c r="F2600" s="15">
        <v>2</v>
      </c>
    </row>
    <row r="2601" spans="2:6" hidden="1" x14ac:dyDescent="0.2">
      <c r="B2601" s="14">
        <v>2013</v>
      </c>
      <c r="C2601" s="13" t="s">
        <v>2453</v>
      </c>
      <c r="D2601" s="13" t="s">
        <v>2513</v>
      </c>
      <c r="E2601" s="13" t="s">
        <v>2520</v>
      </c>
      <c r="F2601" s="15">
        <v>16</v>
      </c>
    </row>
    <row r="2602" spans="2:6" hidden="1" x14ac:dyDescent="0.2">
      <c r="B2602" s="14">
        <v>2013</v>
      </c>
      <c r="C2602" s="13" t="s">
        <v>2453</v>
      </c>
      <c r="D2602" s="13" t="s">
        <v>2513</v>
      </c>
      <c r="E2602" s="13" t="s">
        <v>2110</v>
      </c>
      <c r="F2602" s="15">
        <v>2</v>
      </c>
    </row>
    <row r="2603" spans="2:6" hidden="1" x14ac:dyDescent="0.2">
      <c r="B2603" s="14">
        <v>2013</v>
      </c>
      <c r="C2603" s="13" t="s">
        <v>2453</v>
      </c>
      <c r="D2603" s="13" t="s">
        <v>2513</v>
      </c>
      <c r="E2603" s="13" t="s">
        <v>2521</v>
      </c>
      <c r="F2603" s="15">
        <v>6</v>
      </c>
    </row>
    <row r="2604" spans="2:6" hidden="1" x14ac:dyDescent="0.2">
      <c r="B2604" s="14">
        <v>2013</v>
      </c>
      <c r="C2604" s="13" t="s">
        <v>2453</v>
      </c>
      <c r="D2604" s="13" t="s">
        <v>2522</v>
      </c>
      <c r="E2604" s="13" t="s">
        <v>2522</v>
      </c>
      <c r="F2604" s="15">
        <v>3</v>
      </c>
    </row>
    <row r="2605" spans="2:6" hidden="1" x14ac:dyDescent="0.2">
      <c r="B2605" s="14">
        <v>2013</v>
      </c>
      <c r="C2605" s="13" t="s">
        <v>2453</v>
      </c>
      <c r="D2605" s="13" t="s">
        <v>2522</v>
      </c>
      <c r="E2605" s="13" t="s">
        <v>2523</v>
      </c>
      <c r="F2605" s="15">
        <v>0</v>
      </c>
    </row>
    <row r="2606" spans="2:6" hidden="1" x14ac:dyDescent="0.2">
      <c r="B2606" s="14">
        <v>2013</v>
      </c>
      <c r="C2606" s="13" t="s">
        <v>2453</v>
      </c>
      <c r="D2606" s="13" t="s">
        <v>2522</v>
      </c>
      <c r="E2606" s="13" t="s">
        <v>2524</v>
      </c>
      <c r="F2606" s="15">
        <v>0</v>
      </c>
    </row>
    <row r="2607" spans="2:6" hidden="1" x14ac:dyDescent="0.2">
      <c r="B2607" s="14">
        <v>2013</v>
      </c>
      <c r="C2607" s="13" t="s">
        <v>2453</v>
      </c>
      <c r="D2607" s="13" t="s">
        <v>2522</v>
      </c>
      <c r="E2607" s="13" t="s">
        <v>2525</v>
      </c>
      <c r="F2607" s="15">
        <v>0</v>
      </c>
    </row>
    <row r="2608" spans="2:6" hidden="1" x14ac:dyDescent="0.2">
      <c r="B2608" s="14">
        <v>2013</v>
      </c>
      <c r="C2608" s="13" t="s">
        <v>2453</v>
      </c>
      <c r="D2608" s="13" t="s">
        <v>2522</v>
      </c>
      <c r="E2608" s="13" t="s">
        <v>2526</v>
      </c>
      <c r="F2608" s="15">
        <v>0</v>
      </c>
    </row>
    <row r="2609" spans="2:6" hidden="1" x14ac:dyDescent="0.2">
      <c r="B2609" s="14">
        <v>2013</v>
      </c>
      <c r="C2609" s="13" t="s">
        <v>2453</v>
      </c>
      <c r="D2609" s="13" t="s">
        <v>2522</v>
      </c>
      <c r="E2609" s="13" t="s">
        <v>2527</v>
      </c>
      <c r="F2609" s="15">
        <v>0</v>
      </c>
    </row>
    <row r="2610" spans="2:6" hidden="1" x14ac:dyDescent="0.2">
      <c r="B2610" s="14">
        <v>2013</v>
      </c>
      <c r="C2610" s="13" t="s">
        <v>2453</v>
      </c>
      <c r="D2610" s="13" t="s">
        <v>2522</v>
      </c>
      <c r="E2610" s="13" t="s">
        <v>2528</v>
      </c>
      <c r="F2610" s="15">
        <v>0</v>
      </c>
    </row>
    <row r="2611" spans="2:6" hidden="1" x14ac:dyDescent="0.2">
      <c r="B2611" s="14">
        <v>2013</v>
      </c>
      <c r="C2611" s="13" t="s">
        <v>2453</v>
      </c>
      <c r="D2611" s="13" t="s">
        <v>2522</v>
      </c>
      <c r="E2611" s="13" t="s">
        <v>2529</v>
      </c>
      <c r="F2611" s="15">
        <v>0</v>
      </c>
    </row>
    <row r="2612" spans="2:6" hidden="1" x14ac:dyDescent="0.2">
      <c r="B2612" s="14">
        <v>2013</v>
      </c>
      <c r="C2612" s="13" t="s">
        <v>2453</v>
      </c>
      <c r="D2612" s="13" t="s">
        <v>2522</v>
      </c>
      <c r="E2612" s="13" t="s">
        <v>2530</v>
      </c>
      <c r="F2612" s="15">
        <v>3</v>
      </c>
    </row>
    <row r="2613" spans="2:6" hidden="1" x14ac:dyDescent="0.2">
      <c r="B2613" s="14">
        <v>2013</v>
      </c>
      <c r="C2613" s="13" t="s">
        <v>2453</v>
      </c>
      <c r="D2613" s="13" t="s">
        <v>2531</v>
      </c>
      <c r="E2613" s="13" t="s">
        <v>2531</v>
      </c>
      <c r="F2613" s="15">
        <v>0</v>
      </c>
    </row>
    <row r="2614" spans="2:6" hidden="1" x14ac:dyDescent="0.2">
      <c r="B2614" s="14">
        <v>2013</v>
      </c>
      <c r="C2614" s="13" t="s">
        <v>2453</v>
      </c>
      <c r="D2614" s="13" t="s">
        <v>2531</v>
      </c>
      <c r="E2614" s="13" t="s">
        <v>2532</v>
      </c>
      <c r="F2614" s="15">
        <v>0</v>
      </c>
    </row>
    <row r="2615" spans="2:6" hidden="1" x14ac:dyDescent="0.2">
      <c r="B2615" s="14">
        <v>2013</v>
      </c>
      <c r="C2615" s="13" t="s">
        <v>2453</v>
      </c>
      <c r="D2615" s="13" t="s">
        <v>2531</v>
      </c>
      <c r="E2615" s="13" t="s">
        <v>2533</v>
      </c>
      <c r="F2615" s="15">
        <v>1</v>
      </c>
    </row>
    <row r="2616" spans="2:6" hidden="1" x14ac:dyDescent="0.2">
      <c r="B2616" s="14">
        <v>2013</v>
      </c>
      <c r="C2616" s="13" t="s">
        <v>2453</v>
      </c>
      <c r="D2616" s="13" t="s">
        <v>2531</v>
      </c>
      <c r="E2616" s="13" t="s">
        <v>2534</v>
      </c>
      <c r="F2616" s="15">
        <v>0</v>
      </c>
    </row>
    <row r="2617" spans="2:6" hidden="1" x14ac:dyDescent="0.2">
      <c r="B2617" s="14">
        <v>2013</v>
      </c>
      <c r="C2617" s="13" t="s">
        <v>2453</v>
      </c>
      <c r="D2617" s="13" t="s">
        <v>2531</v>
      </c>
      <c r="E2617" s="13" t="s">
        <v>2535</v>
      </c>
      <c r="F2617" s="15">
        <v>0</v>
      </c>
    </row>
    <row r="2618" spans="2:6" hidden="1" x14ac:dyDescent="0.2">
      <c r="B2618" s="14">
        <v>2013</v>
      </c>
      <c r="C2618" s="13" t="s">
        <v>2453</v>
      </c>
      <c r="D2618" s="13" t="s">
        <v>2531</v>
      </c>
      <c r="E2618" s="13" t="s">
        <v>2536</v>
      </c>
      <c r="F2618" s="15">
        <v>1</v>
      </c>
    </row>
    <row r="2619" spans="2:6" hidden="1" x14ac:dyDescent="0.2">
      <c r="B2619" s="14">
        <v>2013</v>
      </c>
      <c r="C2619" s="13" t="s">
        <v>2453</v>
      </c>
      <c r="D2619" s="13" t="s">
        <v>2537</v>
      </c>
      <c r="E2619" s="13" t="s">
        <v>2538</v>
      </c>
      <c r="F2619" s="15">
        <v>7</v>
      </c>
    </row>
    <row r="2620" spans="2:6" hidden="1" x14ac:dyDescent="0.2">
      <c r="B2620" s="14">
        <v>2013</v>
      </c>
      <c r="C2620" s="13" t="s">
        <v>2453</v>
      </c>
      <c r="D2620" s="13" t="s">
        <v>2537</v>
      </c>
      <c r="E2620" s="13" t="s">
        <v>2539</v>
      </c>
      <c r="F2620" s="15">
        <v>0</v>
      </c>
    </row>
    <row r="2621" spans="2:6" hidden="1" x14ac:dyDescent="0.2">
      <c r="B2621" s="14">
        <v>2013</v>
      </c>
      <c r="C2621" s="13" t="s">
        <v>2453</v>
      </c>
      <c r="D2621" s="13" t="s">
        <v>2537</v>
      </c>
      <c r="E2621" s="13" t="s">
        <v>2540</v>
      </c>
      <c r="F2621" s="15">
        <v>3</v>
      </c>
    </row>
    <row r="2622" spans="2:6" hidden="1" x14ac:dyDescent="0.2">
      <c r="B2622" s="14">
        <v>2013</v>
      </c>
      <c r="C2622" s="13" t="s">
        <v>2453</v>
      </c>
      <c r="D2622" s="13" t="s">
        <v>2537</v>
      </c>
      <c r="E2622" s="13" t="s">
        <v>2541</v>
      </c>
      <c r="F2622" s="15">
        <v>0</v>
      </c>
    </row>
    <row r="2623" spans="2:6" hidden="1" x14ac:dyDescent="0.2">
      <c r="B2623" s="14">
        <v>2013</v>
      </c>
      <c r="C2623" s="13" t="s">
        <v>2453</v>
      </c>
      <c r="D2623" s="13" t="s">
        <v>2537</v>
      </c>
      <c r="E2623" s="13" t="s">
        <v>2542</v>
      </c>
      <c r="F2623" s="15">
        <v>0</v>
      </c>
    </row>
    <row r="2624" spans="2:6" hidden="1" x14ac:dyDescent="0.2">
      <c r="B2624" s="14">
        <v>2013</v>
      </c>
      <c r="C2624" s="13" t="s">
        <v>2453</v>
      </c>
      <c r="D2624" s="13" t="s">
        <v>2537</v>
      </c>
      <c r="E2624" s="13" t="s">
        <v>2543</v>
      </c>
      <c r="F2624" s="15">
        <v>0</v>
      </c>
    </row>
    <row r="2625" spans="2:6" hidden="1" x14ac:dyDescent="0.2">
      <c r="B2625" s="14">
        <v>2013</v>
      </c>
      <c r="C2625" s="13" t="s">
        <v>2453</v>
      </c>
      <c r="D2625" s="13" t="s">
        <v>2537</v>
      </c>
      <c r="E2625" s="13" t="s">
        <v>2544</v>
      </c>
      <c r="F2625" s="15">
        <v>0</v>
      </c>
    </row>
    <row r="2626" spans="2:6" hidden="1" x14ac:dyDescent="0.2">
      <c r="B2626" s="14">
        <v>2013</v>
      </c>
      <c r="C2626" s="13" t="s">
        <v>2453</v>
      </c>
      <c r="D2626" s="13" t="s">
        <v>2537</v>
      </c>
      <c r="E2626" s="13" t="s">
        <v>2076</v>
      </c>
      <c r="F2626" s="15">
        <v>0</v>
      </c>
    </row>
    <row r="2627" spans="2:6" hidden="1" x14ac:dyDescent="0.2">
      <c r="B2627" s="14">
        <v>2013</v>
      </c>
      <c r="C2627" s="13" t="s">
        <v>2453</v>
      </c>
      <c r="D2627" s="13" t="s">
        <v>2537</v>
      </c>
      <c r="E2627" s="13" t="s">
        <v>2545</v>
      </c>
      <c r="F2627" s="15">
        <v>0</v>
      </c>
    </row>
    <row r="2628" spans="2:6" hidden="1" x14ac:dyDescent="0.2">
      <c r="B2628" s="14">
        <v>2013</v>
      </c>
      <c r="C2628" s="13" t="s">
        <v>2453</v>
      </c>
      <c r="D2628" s="13" t="s">
        <v>2537</v>
      </c>
      <c r="E2628" s="13" t="s">
        <v>2546</v>
      </c>
      <c r="F2628" s="15">
        <v>6</v>
      </c>
    </row>
    <row r="2629" spans="2:6" hidden="1" x14ac:dyDescent="0.2">
      <c r="B2629" s="14">
        <v>2013</v>
      </c>
      <c r="C2629" s="13" t="s">
        <v>2453</v>
      </c>
      <c r="D2629" s="13" t="s">
        <v>2537</v>
      </c>
      <c r="E2629" s="13" t="s">
        <v>2065</v>
      </c>
      <c r="F2629" s="15">
        <v>0</v>
      </c>
    </row>
    <row r="2630" spans="2:6" hidden="1" x14ac:dyDescent="0.2">
      <c r="B2630" s="14">
        <v>2013</v>
      </c>
      <c r="C2630" s="13" t="s">
        <v>2453</v>
      </c>
      <c r="D2630" s="13" t="s">
        <v>2537</v>
      </c>
      <c r="E2630" s="13" t="s">
        <v>2547</v>
      </c>
      <c r="F2630" s="15">
        <v>3</v>
      </c>
    </row>
    <row r="2631" spans="2:6" hidden="1" x14ac:dyDescent="0.2">
      <c r="B2631" s="14">
        <v>2013</v>
      </c>
      <c r="C2631" s="13" t="s">
        <v>2453</v>
      </c>
      <c r="D2631" s="13" t="s">
        <v>2548</v>
      </c>
      <c r="E2631" s="13" t="s">
        <v>2548</v>
      </c>
      <c r="F2631" s="15">
        <v>13</v>
      </c>
    </row>
    <row r="2632" spans="2:6" hidden="1" x14ac:dyDescent="0.2">
      <c r="B2632" s="14">
        <v>2013</v>
      </c>
      <c r="C2632" s="13" t="s">
        <v>2453</v>
      </c>
      <c r="D2632" s="13" t="s">
        <v>2548</v>
      </c>
      <c r="E2632" s="13" t="s">
        <v>2549</v>
      </c>
      <c r="F2632" s="15">
        <v>0</v>
      </c>
    </row>
    <row r="2633" spans="2:6" hidden="1" x14ac:dyDescent="0.2">
      <c r="B2633" s="14">
        <v>2013</v>
      </c>
      <c r="C2633" s="13" t="s">
        <v>2453</v>
      </c>
      <c r="D2633" s="13" t="s">
        <v>2548</v>
      </c>
      <c r="E2633" s="13" t="s">
        <v>2020</v>
      </c>
      <c r="F2633" s="15">
        <v>0</v>
      </c>
    </row>
    <row r="2634" spans="2:6" hidden="1" x14ac:dyDescent="0.2">
      <c r="B2634" s="14">
        <v>2013</v>
      </c>
      <c r="C2634" s="13" t="s">
        <v>2453</v>
      </c>
      <c r="D2634" s="13" t="s">
        <v>2548</v>
      </c>
      <c r="E2634" s="13" t="s">
        <v>2550</v>
      </c>
      <c r="F2634" s="15">
        <v>5</v>
      </c>
    </row>
    <row r="2635" spans="2:6" hidden="1" x14ac:dyDescent="0.2">
      <c r="B2635" s="14">
        <v>2013</v>
      </c>
      <c r="C2635" s="13" t="s">
        <v>2453</v>
      </c>
      <c r="D2635" s="13" t="s">
        <v>2548</v>
      </c>
      <c r="E2635" s="13" t="s">
        <v>2551</v>
      </c>
      <c r="F2635" s="15">
        <v>0</v>
      </c>
    </row>
    <row r="2636" spans="2:6" hidden="1" x14ac:dyDescent="0.2">
      <c r="B2636" s="14">
        <v>2013</v>
      </c>
      <c r="C2636" s="13" t="s">
        <v>2453</v>
      </c>
      <c r="D2636" s="13" t="s">
        <v>2548</v>
      </c>
      <c r="E2636" s="13" t="s">
        <v>2552</v>
      </c>
      <c r="F2636" s="15">
        <v>6</v>
      </c>
    </row>
    <row r="2637" spans="2:6" hidden="1" x14ac:dyDescent="0.2">
      <c r="B2637" s="14">
        <v>2013</v>
      </c>
      <c r="C2637" s="13" t="s">
        <v>2453</v>
      </c>
      <c r="D2637" s="13" t="s">
        <v>2548</v>
      </c>
      <c r="E2637" s="13" t="s">
        <v>2553</v>
      </c>
      <c r="F2637" s="15">
        <v>1</v>
      </c>
    </row>
    <row r="2638" spans="2:6" hidden="1" x14ac:dyDescent="0.2">
      <c r="B2638" s="14">
        <v>2013</v>
      </c>
      <c r="C2638" s="13" t="s">
        <v>2554</v>
      </c>
      <c r="D2638" s="13" t="s">
        <v>2554</v>
      </c>
      <c r="E2638" s="13" t="s">
        <v>2554</v>
      </c>
      <c r="F2638" s="15">
        <v>87</v>
      </c>
    </row>
    <row r="2639" spans="2:6" hidden="1" x14ac:dyDescent="0.2">
      <c r="B2639" s="14">
        <v>2013</v>
      </c>
      <c r="C2639" s="13" t="s">
        <v>2554</v>
      </c>
      <c r="D2639" s="13" t="s">
        <v>2554</v>
      </c>
      <c r="E2639" s="13" t="s">
        <v>2555</v>
      </c>
      <c r="F2639" s="15">
        <v>0</v>
      </c>
    </row>
    <row r="2640" spans="2:6" hidden="1" x14ac:dyDescent="0.2">
      <c r="B2640" s="14">
        <v>2013</v>
      </c>
      <c r="C2640" s="13" t="s">
        <v>2554</v>
      </c>
      <c r="D2640" s="13" t="s">
        <v>2554</v>
      </c>
      <c r="E2640" s="13" t="s">
        <v>2556</v>
      </c>
      <c r="F2640" s="15">
        <v>0</v>
      </c>
    </row>
    <row r="2641" spans="2:6" hidden="1" x14ac:dyDescent="0.2">
      <c r="B2641" s="14">
        <v>2013</v>
      </c>
      <c r="C2641" s="13" t="s">
        <v>2554</v>
      </c>
      <c r="D2641" s="13" t="s">
        <v>2554</v>
      </c>
      <c r="E2641" s="13" t="s">
        <v>2557</v>
      </c>
      <c r="F2641" s="15">
        <v>0</v>
      </c>
    </row>
    <row r="2642" spans="2:6" hidden="1" x14ac:dyDescent="0.2">
      <c r="B2642" s="14">
        <v>2013</v>
      </c>
      <c r="C2642" s="13" t="s">
        <v>2554</v>
      </c>
      <c r="D2642" s="13" t="s">
        <v>2554</v>
      </c>
      <c r="E2642" s="13" t="s">
        <v>2558</v>
      </c>
      <c r="F2642" s="15">
        <v>0</v>
      </c>
    </row>
    <row r="2643" spans="2:6" hidden="1" x14ac:dyDescent="0.2">
      <c r="B2643" s="14">
        <v>2013</v>
      </c>
      <c r="C2643" s="13" t="s">
        <v>2554</v>
      </c>
      <c r="D2643" s="13" t="s">
        <v>2554</v>
      </c>
      <c r="E2643" s="13" t="s">
        <v>2559</v>
      </c>
      <c r="F2643" s="15">
        <v>0</v>
      </c>
    </row>
    <row r="2644" spans="2:6" hidden="1" x14ac:dyDescent="0.2">
      <c r="B2644" s="14">
        <v>2013</v>
      </c>
      <c r="C2644" s="13" t="s">
        <v>2554</v>
      </c>
      <c r="D2644" s="13" t="s">
        <v>2554</v>
      </c>
      <c r="E2644" s="13" t="s">
        <v>2560</v>
      </c>
      <c r="F2644" s="15">
        <v>0</v>
      </c>
    </row>
    <row r="2645" spans="2:6" hidden="1" x14ac:dyDescent="0.2">
      <c r="B2645" s="14">
        <v>2013</v>
      </c>
      <c r="C2645" s="13" t="s">
        <v>2554</v>
      </c>
      <c r="D2645" s="13" t="s">
        <v>2554</v>
      </c>
      <c r="E2645" s="13" t="s">
        <v>2561</v>
      </c>
      <c r="F2645" s="15">
        <v>0</v>
      </c>
    </row>
    <row r="2646" spans="2:6" hidden="1" x14ac:dyDescent="0.2">
      <c r="B2646" s="14">
        <v>2013</v>
      </c>
      <c r="C2646" s="13" t="s">
        <v>2554</v>
      </c>
      <c r="D2646" s="13" t="s">
        <v>2554</v>
      </c>
      <c r="E2646" s="13" t="s">
        <v>2562</v>
      </c>
      <c r="F2646" s="15">
        <v>0</v>
      </c>
    </row>
    <row r="2647" spans="2:6" hidden="1" x14ac:dyDescent="0.2">
      <c r="B2647" s="14">
        <v>2013</v>
      </c>
      <c r="C2647" s="13" t="s">
        <v>2554</v>
      </c>
      <c r="D2647" s="13" t="s">
        <v>2554</v>
      </c>
      <c r="E2647" s="13" t="s">
        <v>2563</v>
      </c>
      <c r="F2647" s="15">
        <v>1</v>
      </c>
    </row>
    <row r="2648" spans="2:6" hidden="1" x14ac:dyDescent="0.2">
      <c r="B2648" s="14">
        <v>2013</v>
      </c>
      <c r="C2648" s="13" t="s">
        <v>2554</v>
      </c>
      <c r="D2648" s="13" t="s">
        <v>2554</v>
      </c>
      <c r="E2648" s="13" t="s">
        <v>2145</v>
      </c>
      <c r="F2648" s="15">
        <v>0</v>
      </c>
    </row>
    <row r="2649" spans="2:6" hidden="1" x14ac:dyDescent="0.2">
      <c r="B2649" s="14">
        <v>2013</v>
      </c>
      <c r="C2649" s="13" t="s">
        <v>2554</v>
      </c>
      <c r="D2649" s="13" t="s">
        <v>2554</v>
      </c>
      <c r="E2649" s="13" t="s">
        <v>2564</v>
      </c>
      <c r="F2649" s="15">
        <v>0</v>
      </c>
    </row>
    <row r="2650" spans="2:6" hidden="1" x14ac:dyDescent="0.2">
      <c r="B2650" s="14">
        <v>2013</v>
      </c>
      <c r="C2650" s="13" t="s">
        <v>2554</v>
      </c>
      <c r="D2650" s="13" t="s">
        <v>2554</v>
      </c>
      <c r="E2650" s="13" t="s">
        <v>2565</v>
      </c>
      <c r="F2650" s="15">
        <v>0</v>
      </c>
    </row>
    <row r="2651" spans="2:6" hidden="1" x14ac:dyDescent="0.2">
      <c r="B2651" s="14">
        <v>2013</v>
      </c>
      <c r="C2651" s="13" t="s">
        <v>2554</v>
      </c>
      <c r="D2651" s="13" t="s">
        <v>2554</v>
      </c>
      <c r="E2651" s="13" t="s">
        <v>2566</v>
      </c>
      <c r="F2651" s="15">
        <v>0</v>
      </c>
    </row>
    <row r="2652" spans="2:6" hidden="1" x14ac:dyDescent="0.2">
      <c r="B2652" s="14">
        <v>2013</v>
      </c>
      <c r="C2652" s="13" t="s">
        <v>2554</v>
      </c>
      <c r="D2652" s="13" t="s">
        <v>2554</v>
      </c>
      <c r="E2652" s="13" t="s">
        <v>2567</v>
      </c>
      <c r="F2652" s="15">
        <v>0</v>
      </c>
    </row>
    <row r="2653" spans="2:6" hidden="1" x14ac:dyDescent="0.2">
      <c r="B2653" s="14">
        <v>2013</v>
      </c>
      <c r="C2653" s="13" t="s">
        <v>2554</v>
      </c>
      <c r="D2653" s="13" t="s">
        <v>2554</v>
      </c>
      <c r="E2653" s="13" t="s">
        <v>2568</v>
      </c>
      <c r="F2653" s="15">
        <v>0</v>
      </c>
    </row>
    <row r="2654" spans="2:6" hidden="1" x14ac:dyDescent="0.2">
      <c r="B2654" s="14">
        <v>2013</v>
      </c>
      <c r="C2654" s="13" t="s">
        <v>2554</v>
      </c>
      <c r="D2654" s="13" t="s">
        <v>2554</v>
      </c>
      <c r="E2654" s="13" t="s">
        <v>2569</v>
      </c>
      <c r="F2654" s="15">
        <v>3</v>
      </c>
    </row>
    <row r="2655" spans="2:6" hidden="1" x14ac:dyDescent="0.2">
      <c r="B2655" s="14">
        <v>2013</v>
      </c>
      <c r="C2655" s="13" t="s">
        <v>2554</v>
      </c>
      <c r="D2655" s="13" t="s">
        <v>2554</v>
      </c>
      <c r="E2655" s="13" t="s">
        <v>2570</v>
      </c>
      <c r="F2655" s="15">
        <v>7</v>
      </c>
    </row>
    <row r="2656" spans="2:6" hidden="1" x14ac:dyDescent="0.2">
      <c r="B2656" s="14">
        <v>2013</v>
      </c>
      <c r="C2656" s="13" t="s">
        <v>2554</v>
      </c>
      <c r="D2656" s="13" t="s">
        <v>2554</v>
      </c>
      <c r="E2656" s="13" t="s">
        <v>2571</v>
      </c>
      <c r="F2656" s="15">
        <v>0</v>
      </c>
    </row>
    <row r="2657" spans="2:6" hidden="1" x14ac:dyDescent="0.2">
      <c r="B2657" s="14">
        <v>2013</v>
      </c>
      <c r="C2657" s="13" t="s">
        <v>2554</v>
      </c>
      <c r="D2657" s="13" t="s">
        <v>2016</v>
      </c>
      <c r="E2657" s="13" t="s">
        <v>2016</v>
      </c>
      <c r="F2657" s="15">
        <v>6</v>
      </c>
    </row>
    <row r="2658" spans="2:6" hidden="1" x14ac:dyDescent="0.2">
      <c r="B2658" s="14">
        <v>2013</v>
      </c>
      <c r="C2658" s="13" t="s">
        <v>2554</v>
      </c>
      <c r="D2658" s="13" t="s">
        <v>2016</v>
      </c>
      <c r="E2658" s="13" t="s">
        <v>2438</v>
      </c>
      <c r="F2658" s="15">
        <v>0</v>
      </c>
    </row>
    <row r="2659" spans="2:6" hidden="1" x14ac:dyDescent="0.2">
      <c r="B2659" s="14">
        <v>2013</v>
      </c>
      <c r="C2659" s="13" t="s">
        <v>2554</v>
      </c>
      <c r="D2659" s="13" t="s">
        <v>2016</v>
      </c>
      <c r="E2659" s="13" t="s">
        <v>1913</v>
      </c>
      <c r="F2659" s="15">
        <v>0</v>
      </c>
    </row>
    <row r="2660" spans="2:6" hidden="1" x14ac:dyDescent="0.2">
      <c r="B2660" s="14">
        <v>2013</v>
      </c>
      <c r="C2660" s="13" t="s">
        <v>2554</v>
      </c>
      <c r="D2660" s="13" t="s">
        <v>2016</v>
      </c>
      <c r="E2660" s="13" t="s">
        <v>2572</v>
      </c>
      <c r="F2660" s="15">
        <v>0</v>
      </c>
    </row>
    <row r="2661" spans="2:6" hidden="1" x14ac:dyDescent="0.2">
      <c r="B2661" s="14">
        <v>2013</v>
      </c>
      <c r="C2661" s="13" t="s">
        <v>2554</v>
      </c>
      <c r="D2661" s="13" t="s">
        <v>2016</v>
      </c>
      <c r="E2661" s="13" t="s">
        <v>2573</v>
      </c>
      <c r="F2661" s="15">
        <v>0</v>
      </c>
    </row>
    <row r="2662" spans="2:6" hidden="1" x14ac:dyDescent="0.2">
      <c r="B2662" s="14">
        <v>2013</v>
      </c>
      <c r="C2662" s="13" t="s">
        <v>2554</v>
      </c>
      <c r="D2662" s="13" t="s">
        <v>2016</v>
      </c>
      <c r="E2662" s="13" t="s">
        <v>2574</v>
      </c>
      <c r="F2662" s="15">
        <v>5</v>
      </c>
    </row>
    <row r="2663" spans="2:6" hidden="1" x14ac:dyDescent="0.2">
      <c r="B2663" s="14">
        <v>2013</v>
      </c>
      <c r="C2663" s="13" t="s">
        <v>2554</v>
      </c>
      <c r="D2663" s="13" t="s">
        <v>2016</v>
      </c>
      <c r="E2663" s="13" t="s">
        <v>2053</v>
      </c>
      <c r="F2663" s="15">
        <v>0</v>
      </c>
    </row>
    <row r="2664" spans="2:6" hidden="1" x14ac:dyDescent="0.2">
      <c r="B2664" s="14">
        <v>2013</v>
      </c>
      <c r="C2664" s="13" t="s">
        <v>2554</v>
      </c>
      <c r="D2664" s="13" t="s">
        <v>2016</v>
      </c>
      <c r="E2664" s="13" t="s">
        <v>2575</v>
      </c>
      <c r="F2664" s="15">
        <v>0</v>
      </c>
    </row>
    <row r="2665" spans="2:6" hidden="1" x14ac:dyDescent="0.2">
      <c r="B2665" s="14">
        <v>2013</v>
      </c>
      <c r="C2665" s="13" t="s">
        <v>2554</v>
      </c>
      <c r="D2665" s="13" t="s">
        <v>2576</v>
      </c>
      <c r="E2665" s="13" t="s">
        <v>2577</v>
      </c>
      <c r="F2665" s="15">
        <v>5</v>
      </c>
    </row>
    <row r="2666" spans="2:6" hidden="1" x14ac:dyDescent="0.2">
      <c r="B2666" s="14">
        <v>2013</v>
      </c>
      <c r="C2666" s="13" t="s">
        <v>2554</v>
      </c>
      <c r="D2666" s="13" t="s">
        <v>2576</v>
      </c>
      <c r="E2666" s="13" t="s">
        <v>2578</v>
      </c>
      <c r="F2666" s="15">
        <v>0</v>
      </c>
    </row>
    <row r="2667" spans="2:6" hidden="1" x14ac:dyDescent="0.2">
      <c r="B2667" s="14">
        <v>2013</v>
      </c>
      <c r="C2667" s="13" t="s">
        <v>2554</v>
      </c>
      <c r="D2667" s="13" t="s">
        <v>2576</v>
      </c>
      <c r="E2667" s="13" t="s">
        <v>2579</v>
      </c>
      <c r="F2667" s="15">
        <v>1</v>
      </c>
    </row>
    <row r="2668" spans="2:6" hidden="1" x14ac:dyDescent="0.2">
      <c r="B2668" s="14">
        <v>2013</v>
      </c>
      <c r="C2668" s="13" t="s">
        <v>2554</v>
      </c>
      <c r="D2668" s="13" t="s">
        <v>2576</v>
      </c>
      <c r="E2668" s="13" t="s">
        <v>2580</v>
      </c>
      <c r="F2668" s="15">
        <v>0</v>
      </c>
    </row>
    <row r="2669" spans="2:6" hidden="1" x14ac:dyDescent="0.2">
      <c r="B2669" s="14">
        <v>2013</v>
      </c>
      <c r="C2669" s="13" t="s">
        <v>2554</v>
      </c>
      <c r="D2669" s="13" t="s">
        <v>2576</v>
      </c>
      <c r="E2669" s="13" t="s">
        <v>2581</v>
      </c>
      <c r="F2669" s="15">
        <v>0</v>
      </c>
    </row>
    <row r="2670" spans="2:6" hidden="1" x14ac:dyDescent="0.2">
      <c r="B2670" s="14">
        <v>2013</v>
      </c>
      <c r="C2670" s="13" t="s">
        <v>2554</v>
      </c>
      <c r="D2670" s="13" t="s">
        <v>2576</v>
      </c>
      <c r="E2670" s="13" t="s">
        <v>2582</v>
      </c>
      <c r="F2670" s="15">
        <v>0</v>
      </c>
    </row>
    <row r="2671" spans="2:6" hidden="1" x14ac:dyDescent="0.2">
      <c r="B2671" s="14">
        <v>2013</v>
      </c>
      <c r="C2671" s="13" t="s">
        <v>2554</v>
      </c>
      <c r="D2671" s="13" t="s">
        <v>2576</v>
      </c>
      <c r="E2671" s="13" t="s">
        <v>2583</v>
      </c>
      <c r="F2671" s="15">
        <v>0</v>
      </c>
    </row>
    <row r="2672" spans="2:6" hidden="1" x14ac:dyDescent="0.2">
      <c r="B2672" s="14">
        <v>2013</v>
      </c>
      <c r="C2672" s="13" t="s">
        <v>2554</v>
      </c>
      <c r="D2672" s="13" t="s">
        <v>2576</v>
      </c>
      <c r="E2672" s="13" t="s">
        <v>2584</v>
      </c>
      <c r="F2672" s="15">
        <v>0</v>
      </c>
    </row>
    <row r="2673" spans="2:6" hidden="1" x14ac:dyDescent="0.2">
      <c r="B2673" s="14">
        <v>2013</v>
      </c>
      <c r="C2673" s="13" t="s">
        <v>2554</v>
      </c>
      <c r="D2673" s="13" t="s">
        <v>2576</v>
      </c>
      <c r="E2673" s="13" t="s">
        <v>2585</v>
      </c>
      <c r="F2673" s="15">
        <v>0</v>
      </c>
    </row>
    <row r="2674" spans="2:6" hidden="1" x14ac:dyDescent="0.2">
      <c r="B2674" s="14">
        <v>2013</v>
      </c>
      <c r="C2674" s="13" t="s">
        <v>2554</v>
      </c>
      <c r="D2674" s="13" t="s">
        <v>2576</v>
      </c>
      <c r="E2674" s="13" t="s">
        <v>2586</v>
      </c>
      <c r="F2674" s="15">
        <v>0</v>
      </c>
    </row>
    <row r="2675" spans="2:6" hidden="1" x14ac:dyDescent="0.2">
      <c r="B2675" s="14">
        <v>2013</v>
      </c>
      <c r="C2675" s="13" t="s">
        <v>2554</v>
      </c>
      <c r="D2675" s="13" t="s">
        <v>2576</v>
      </c>
      <c r="E2675" s="13" t="s">
        <v>2587</v>
      </c>
      <c r="F2675" s="15">
        <v>0</v>
      </c>
    </row>
    <row r="2676" spans="2:6" hidden="1" x14ac:dyDescent="0.2">
      <c r="B2676" s="14">
        <v>2013</v>
      </c>
      <c r="C2676" s="13" t="s">
        <v>2554</v>
      </c>
      <c r="D2676" s="13" t="s">
        <v>2576</v>
      </c>
      <c r="E2676" s="13" t="s">
        <v>2588</v>
      </c>
      <c r="F2676" s="15">
        <v>0</v>
      </c>
    </row>
    <row r="2677" spans="2:6" hidden="1" x14ac:dyDescent="0.2">
      <c r="B2677" s="14">
        <v>2013</v>
      </c>
      <c r="C2677" s="13" t="s">
        <v>2554</v>
      </c>
      <c r="D2677" s="13" t="s">
        <v>2589</v>
      </c>
      <c r="E2677" s="13" t="s">
        <v>2589</v>
      </c>
      <c r="F2677" s="15">
        <v>3</v>
      </c>
    </row>
    <row r="2678" spans="2:6" hidden="1" x14ac:dyDescent="0.2">
      <c r="B2678" s="14">
        <v>2013</v>
      </c>
      <c r="C2678" s="13" t="s">
        <v>2554</v>
      </c>
      <c r="D2678" s="13" t="s">
        <v>2589</v>
      </c>
      <c r="E2678" s="13" t="s">
        <v>2590</v>
      </c>
      <c r="F2678" s="15">
        <v>0</v>
      </c>
    </row>
    <row r="2679" spans="2:6" hidden="1" x14ac:dyDescent="0.2">
      <c r="B2679" s="14">
        <v>2013</v>
      </c>
      <c r="C2679" s="13" t="s">
        <v>2554</v>
      </c>
      <c r="D2679" s="13" t="s">
        <v>2589</v>
      </c>
      <c r="E2679" s="13" t="s">
        <v>2591</v>
      </c>
      <c r="F2679" s="15">
        <v>0</v>
      </c>
    </row>
    <row r="2680" spans="2:6" hidden="1" x14ac:dyDescent="0.2">
      <c r="B2680" s="14">
        <v>2013</v>
      </c>
      <c r="C2680" s="13" t="s">
        <v>2554</v>
      </c>
      <c r="D2680" s="13" t="s">
        <v>2589</v>
      </c>
      <c r="E2680" s="13" t="s">
        <v>2592</v>
      </c>
      <c r="F2680" s="15">
        <v>0</v>
      </c>
    </row>
    <row r="2681" spans="2:6" hidden="1" x14ac:dyDescent="0.2">
      <c r="B2681" s="14">
        <v>2013</v>
      </c>
      <c r="C2681" s="13" t="s">
        <v>2554</v>
      </c>
      <c r="D2681" s="13" t="s">
        <v>2589</v>
      </c>
      <c r="E2681" s="13" t="s">
        <v>2593</v>
      </c>
      <c r="F2681" s="15">
        <v>0</v>
      </c>
    </row>
    <row r="2682" spans="2:6" hidden="1" x14ac:dyDescent="0.2">
      <c r="B2682" s="14">
        <v>2013</v>
      </c>
      <c r="C2682" s="13" t="s">
        <v>2554</v>
      </c>
      <c r="D2682" s="13" t="s">
        <v>2589</v>
      </c>
      <c r="E2682" s="13" t="s">
        <v>2594</v>
      </c>
      <c r="F2682" s="15">
        <v>0</v>
      </c>
    </row>
    <row r="2683" spans="2:6" hidden="1" x14ac:dyDescent="0.2">
      <c r="B2683" s="14">
        <v>2013</v>
      </c>
      <c r="C2683" s="13" t="s">
        <v>2554</v>
      </c>
      <c r="D2683" s="13" t="s">
        <v>2589</v>
      </c>
      <c r="E2683" s="13" t="s">
        <v>2595</v>
      </c>
      <c r="F2683" s="15">
        <v>0</v>
      </c>
    </row>
    <row r="2684" spans="2:6" hidden="1" x14ac:dyDescent="0.2">
      <c r="B2684" s="14">
        <v>2013</v>
      </c>
      <c r="C2684" s="13" t="s">
        <v>2554</v>
      </c>
      <c r="D2684" s="13" t="s">
        <v>2589</v>
      </c>
      <c r="E2684" s="13" t="s">
        <v>2596</v>
      </c>
      <c r="F2684" s="15">
        <v>0</v>
      </c>
    </row>
    <row r="2685" spans="2:6" hidden="1" x14ac:dyDescent="0.2">
      <c r="B2685" s="14">
        <v>2013</v>
      </c>
      <c r="C2685" s="13" t="s">
        <v>2554</v>
      </c>
      <c r="D2685" s="13" t="s">
        <v>2589</v>
      </c>
      <c r="E2685" s="13" t="s">
        <v>2597</v>
      </c>
      <c r="F2685" s="15">
        <v>0</v>
      </c>
    </row>
    <row r="2686" spans="2:6" hidden="1" x14ac:dyDescent="0.2">
      <c r="B2686" s="14">
        <v>2013</v>
      </c>
      <c r="C2686" s="13" t="s">
        <v>2554</v>
      </c>
      <c r="D2686" s="13" t="s">
        <v>2589</v>
      </c>
      <c r="E2686" s="13" t="s">
        <v>2023</v>
      </c>
      <c r="F2686" s="15">
        <v>0</v>
      </c>
    </row>
    <row r="2687" spans="2:6" hidden="1" x14ac:dyDescent="0.2">
      <c r="B2687" s="14">
        <v>2013</v>
      </c>
      <c r="C2687" s="13" t="s">
        <v>2554</v>
      </c>
      <c r="D2687" s="13" t="s">
        <v>2589</v>
      </c>
      <c r="E2687" s="13" t="s">
        <v>2514</v>
      </c>
      <c r="F2687" s="15">
        <v>0</v>
      </c>
    </row>
    <row r="2688" spans="2:6" hidden="1" x14ac:dyDescent="0.2">
      <c r="B2688" s="14">
        <v>2013</v>
      </c>
      <c r="C2688" s="13" t="s">
        <v>2554</v>
      </c>
      <c r="D2688" s="13" t="s">
        <v>2589</v>
      </c>
      <c r="E2688" s="13" t="s">
        <v>2598</v>
      </c>
      <c r="F2688" s="15">
        <v>3</v>
      </c>
    </row>
    <row r="2689" spans="2:6" hidden="1" x14ac:dyDescent="0.2">
      <c r="B2689" s="14">
        <v>2013</v>
      </c>
      <c r="C2689" s="13" t="s">
        <v>2554</v>
      </c>
      <c r="D2689" s="13" t="s">
        <v>2589</v>
      </c>
      <c r="E2689" s="13" t="s">
        <v>2599</v>
      </c>
      <c r="F2689" s="15">
        <v>1</v>
      </c>
    </row>
    <row r="2690" spans="2:6" hidden="1" x14ac:dyDescent="0.2">
      <c r="B2690" s="14">
        <v>2013</v>
      </c>
      <c r="C2690" s="13" t="s">
        <v>2554</v>
      </c>
      <c r="D2690" s="13" t="s">
        <v>2600</v>
      </c>
      <c r="E2690" s="13" t="s">
        <v>2600</v>
      </c>
      <c r="F2690" s="15">
        <v>4</v>
      </c>
    </row>
    <row r="2691" spans="2:6" hidden="1" x14ac:dyDescent="0.2">
      <c r="B2691" s="14">
        <v>2013</v>
      </c>
      <c r="C2691" s="13" t="s">
        <v>2554</v>
      </c>
      <c r="D2691" s="13" t="s">
        <v>2600</v>
      </c>
      <c r="E2691" s="13" t="s">
        <v>2258</v>
      </c>
      <c r="F2691" s="15">
        <v>0</v>
      </c>
    </row>
    <row r="2692" spans="2:6" hidden="1" x14ac:dyDescent="0.2">
      <c r="B2692" s="14">
        <v>2013</v>
      </c>
      <c r="C2692" s="13" t="s">
        <v>2554</v>
      </c>
      <c r="D2692" s="13" t="s">
        <v>2600</v>
      </c>
      <c r="E2692" s="13" t="s">
        <v>2601</v>
      </c>
      <c r="F2692" s="15">
        <v>0</v>
      </c>
    </row>
    <row r="2693" spans="2:6" hidden="1" x14ac:dyDescent="0.2">
      <c r="B2693" s="14">
        <v>2013</v>
      </c>
      <c r="C2693" s="13" t="s">
        <v>2554</v>
      </c>
      <c r="D2693" s="13" t="s">
        <v>2600</v>
      </c>
      <c r="E2693" s="13" t="s">
        <v>2602</v>
      </c>
      <c r="F2693" s="15">
        <v>0</v>
      </c>
    </row>
    <row r="2694" spans="2:6" hidden="1" x14ac:dyDescent="0.2">
      <c r="B2694" s="14">
        <v>2013</v>
      </c>
      <c r="C2694" s="13" t="s">
        <v>2554</v>
      </c>
      <c r="D2694" s="13" t="s">
        <v>2600</v>
      </c>
      <c r="E2694" s="13" t="s">
        <v>1884</v>
      </c>
      <c r="F2694" s="15">
        <v>0</v>
      </c>
    </row>
    <row r="2695" spans="2:6" hidden="1" x14ac:dyDescent="0.2">
      <c r="B2695" s="14">
        <v>2013</v>
      </c>
      <c r="C2695" s="13" t="s">
        <v>2554</v>
      </c>
      <c r="D2695" s="13" t="s">
        <v>2600</v>
      </c>
      <c r="E2695" s="13" t="s">
        <v>2603</v>
      </c>
      <c r="F2695" s="15">
        <v>0</v>
      </c>
    </row>
    <row r="2696" spans="2:6" hidden="1" x14ac:dyDescent="0.2">
      <c r="B2696" s="14">
        <v>2013</v>
      </c>
      <c r="C2696" s="13" t="s">
        <v>2554</v>
      </c>
      <c r="D2696" s="13" t="s">
        <v>2600</v>
      </c>
      <c r="E2696" s="13" t="s">
        <v>2604</v>
      </c>
      <c r="F2696" s="15">
        <v>0</v>
      </c>
    </row>
    <row r="2697" spans="2:6" hidden="1" x14ac:dyDescent="0.2">
      <c r="B2697" s="14">
        <v>2013</v>
      </c>
      <c r="C2697" s="13" t="s">
        <v>2554</v>
      </c>
      <c r="D2697" s="13" t="s">
        <v>2600</v>
      </c>
      <c r="E2697" s="13" t="s">
        <v>2605</v>
      </c>
      <c r="F2697" s="15">
        <v>2</v>
      </c>
    </row>
    <row r="2698" spans="2:6" hidden="1" x14ac:dyDescent="0.2">
      <c r="B2698" s="14">
        <v>2013</v>
      </c>
      <c r="C2698" s="13" t="s">
        <v>2554</v>
      </c>
      <c r="D2698" s="13" t="s">
        <v>2600</v>
      </c>
      <c r="E2698" s="13" t="s">
        <v>2606</v>
      </c>
      <c r="F2698" s="15">
        <v>0</v>
      </c>
    </row>
    <row r="2699" spans="2:6" hidden="1" x14ac:dyDescent="0.2">
      <c r="B2699" s="14">
        <v>2013</v>
      </c>
      <c r="C2699" s="13" t="s">
        <v>2554</v>
      </c>
      <c r="D2699" s="13" t="s">
        <v>2600</v>
      </c>
      <c r="E2699" s="13" t="s">
        <v>2607</v>
      </c>
      <c r="F2699" s="15">
        <v>0</v>
      </c>
    </row>
    <row r="2700" spans="2:6" hidden="1" x14ac:dyDescent="0.2">
      <c r="B2700" s="14">
        <v>2013</v>
      </c>
      <c r="C2700" s="13" t="s">
        <v>2554</v>
      </c>
      <c r="D2700" s="13" t="s">
        <v>2600</v>
      </c>
      <c r="E2700" s="13" t="s">
        <v>2608</v>
      </c>
      <c r="F2700" s="15">
        <v>0</v>
      </c>
    </row>
    <row r="2701" spans="2:6" hidden="1" x14ac:dyDescent="0.2">
      <c r="B2701" s="14">
        <v>2013</v>
      </c>
      <c r="C2701" s="13" t="s">
        <v>2554</v>
      </c>
      <c r="D2701" s="13" t="s">
        <v>2609</v>
      </c>
      <c r="E2701" s="13" t="s">
        <v>2609</v>
      </c>
      <c r="F2701" s="15">
        <v>2</v>
      </c>
    </row>
    <row r="2702" spans="2:6" hidden="1" x14ac:dyDescent="0.2">
      <c r="B2702" s="14">
        <v>2013</v>
      </c>
      <c r="C2702" s="13" t="s">
        <v>2554</v>
      </c>
      <c r="D2702" s="13" t="s">
        <v>2609</v>
      </c>
      <c r="E2702" s="13" t="s">
        <v>2610</v>
      </c>
      <c r="F2702" s="15">
        <v>0</v>
      </c>
    </row>
    <row r="2703" spans="2:6" hidden="1" x14ac:dyDescent="0.2">
      <c r="B2703" s="14">
        <v>2013</v>
      </c>
      <c r="C2703" s="13" t="s">
        <v>2554</v>
      </c>
      <c r="D2703" s="13" t="s">
        <v>2609</v>
      </c>
      <c r="E2703" s="13" t="s">
        <v>2611</v>
      </c>
      <c r="F2703" s="15">
        <v>0</v>
      </c>
    </row>
    <row r="2704" spans="2:6" hidden="1" x14ac:dyDescent="0.2">
      <c r="B2704" s="14">
        <v>2013</v>
      </c>
      <c r="C2704" s="13" t="s">
        <v>2554</v>
      </c>
      <c r="D2704" s="13" t="s">
        <v>2609</v>
      </c>
      <c r="E2704" s="13" t="s">
        <v>2612</v>
      </c>
      <c r="F2704" s="15">
        <v>0</v>
      </c>
    </row>
    <row r="2705" spans="2:6" hidden="1" x14ac:dyDescent="0.2">
      <c r="B2705" s="14">
        <v>2013</v>
      </c>
      <c r="C2705" s="13" t="s">
        <v>2554</v>
      </c>
      <c r="D2705" s="13" t="s">
        <v>2609</v>
      </c>
      <c r="E2705" s="13" t="s">
        <v>2613</v>
      </c>
      <c r="F2705" s="15">
        <v>0</v>
      </c>
    </row>
    <row r="2706" spans="2:6" hidden="1" x14ac:dyDescent="0.2">
      <c r="B2706" s="14">
        <v>2013</v>
      </c>
      <c r="C2706" s="13" t="s">
        <v>2554</v>
      </c>
      <c r="D2706" s="13" t="s">
        <v>2609</v>
      </c>
      <c r="E2706" s="13" t="s">
        <v>2614</v>
      </c>
      <c r="F2706" s="15">
        <v>0</v>
      </c>
    </row>
    <row r="2707" spans="2:6" hidden="1" x14ac:dyDescent="0.2">
      <c r="B2707" s="14">
        <v>2013</v>
      </c>
      <c r="C2707" s="13" t="s">
        <v>2554</v>
      </c>
      <c r="D2707" s="13" t="s">
        <v>2609</v>
      </c>
      <c r="E2707" s="13" t="s">
        <v>2615</v>
      </c>
      <c r="F2707" s="15">
        <v>3</v>
      </c>
    </row>
    <row r="2708" spans="2:6" hidden="1" x14ac:dyDescent="0.2">
      <c r="B2708" s="14">
        <v>2013</v>
      </c>
      <c r="C2708" s="13" t="s">
        <v>2554</v>
      </c>
      <c r="D2708" s="13" t="s">
        <v>2609</v>
      </c>
      <c r="E2708" s="13" t="s">
        <v>2616</v>
      </c>
      <c r="F2708" s="15">
        <v>0</v>
      </c>
    </row>
    <row r="2709" spans="2:6" hidden="1" x14ac:dyDescent="0.2">
      <c r="B2709" s="14">
        <v>2013</v>
      </c>
      <c r="C2709" s="13" t="s">
        <v>2554</v>
      </c>
      <c r="D2709" s="13" t="s">
        <v>2609</v>
      </c>
      <c r="E2709" s="13" t="s">
        <v>2617</v>
      </c>
      <c r="F2709" s="15">
        <v>0</v>
      </c>
    </row>
    <row r="2710" spans="2:6" hidden="1" x14ac:dyDescent="0.2">
      <c r="B2710" s="14">
        <v>2013</v>
      </c>
      <c r="C2710" s="13" t="s">
        <v>2554</v>
      </c>
      <c r="D2710" s="13" t="s">
        <v>2609</v>
      </c>
      <c r="E2710" s="13" t="s">
        <v>2618</v>
      </c>
      <c r="F2710" s="15">
        <v>0</v>
      </c>
    </row>
    <row r="2711" spans="2:6" hidden="1" x14ac:dyDescent="0.2">
      <c r="B2711" s="14">
        <v>2013</v>
      </c>
      <c r="C2711" s="13" t="s">
        <v>2554</v>
      </c>
      <c r="D2711" s="13" t="s">
        <v>2609</v>
      </c>
      <c r="E2711" s="13" t="s">
        <v>2619</v>
      </c>
      <c r="F2711" s="15">
        <v>0</v>
      </c>
    </row>
    <row r="2712" spans="2:6" hidden="1" x14ac:dyDescent="0.2">
      <c r="B2712" s="14">
        <v>2013</v>
      </c>
      <c r="C2712" s="13" t="s">
        <v>2554</v>
      </c>
      <c r="D2712" s="13" t="s">
        <v>2609</v>
      </c>
      <c r="E2712" s="13" t="s">
        <v>2620</v>
      </c>
      <c r="F2712" s="15">
        <v>0</v>
      </c>
    </row>
    <row r="2713" spans="2:6" hidden="1" x14ac:dyDescent="0.2">
      <c r="B2713" s="14">
        <v>2013</v>
      </c>
      <c r="C2713" s="13" t="s">
        <v>2554</v>
      </c>
      <c r="D2713" s="13" t="s">
        <v>2609</v>
      </c>
      <c r="E2713" s="13" t="s">
        <v>2621</v>
      </c>
      <c r="F2713" s="15">
        <v>0</v>
      </c>
    </row>
    <row r="2714" spans="2:6" hidden="1" x14ac:dyDescent="0.2">
      <c r="B2714" s="14">
        <v>2013</v>
      </c>
      <c r="C2714" s="13" t="s">
        <v>2554</v>
      </c>
      <c r="D2714" s="13" t="s">
        <v>2609</v>
      </c>
      <c r="E2714" s="13" t="s">
        <v>2622</v>
      </c>
      <c r="F2714" s="15">
        <v>0</v>
      </c>
    </row>
    <row r="2715" spans="2:6" hidden="1" x14ac:dyDescent="0.2">
      <c r="B2715" s="14">
        <v>2013</v>
      </c>
      <c r="C2715" s="13" t="s">
        <v>2554</v>
      </c>
      <c r="D2715" s="13" t="s">
        <v>2609</v>
      </c>
      <c r="E2715" s="13" t="s">
        <v>2623</v>
      </c>
      <c r="F2715" s="15">
        <v>0</v>
      </c>
    </row>
    <row r="2716" spans="2:6" hidden="1" x14ac:dyDescent="0.2">
      <c r="B2716" s="14">
        <v>2013</v>
      </c>
      <c r="C2716" s="13" t="s">
        <v>2554</v>
      </c>
      <c r="D2716" s="13" t="s">
        <v>2609</v>
      </c>
      <c r="E2716" s="13" t="s">
        <v>2263</v>
      </c>
      <c r="F2716" s="15">
        <v>0</v>
      </c>
    </row>
    <row r="2717" spans="2:6" hidden="1" x14ac:dyDescent="0.2">
      <c r="B2717" s="14">
        <v>2013</v>
      </c>
      <c r="C2717" s="13" t="s">
        <v>2554</v>
      </c>
      <c r="D2717" s="13" t="s">
        <v>2624</v>
      </c>
      <c r="E2717" s="13" t="s">
        <v>1877</v>
      </c>
      <c r="F2717" s="15">
        <v>3</v>
      </c>
    </row>
    <row r="2718" spans="2:6" hidden="1" x14ac:dyDescent="0.2">
      <c r="B2718" s="14">
        <v>2013</v>
      </c>
      <c r="C2718" s="13" t="s">
        <v>2554</v>
      </c>
      <c r="D2718" s="13" t="s">
        <v>2624</v>
      </c>
      <c r="E2718" s="13" t="s">
        <v>2625</v>
      </c>
      <c r="F2718" s="15">
        <v>0</v>
      </c>
    </row>
    <row r="2719" spans="2:6" hidden="1" x14ac:dyDescent="0.2">
      <c r="B2719" s="14">
        <v>2013</v>
      </c>
      <c r="C2719" s="13" t="s">
        <v>2554</v>
      </c>
      <c r="D2719" s="13" t="s">
        <v>2624</v>
      </c>
      <c r="E2719" s="13" t="s">
        <v>2626</v>
      </c>
      <c r="F2719" s="15">
        <v>0</v>
      </c>
    </row>
    <row r="2720" spans="2:6" hidden="1" x14ac:dyDescent="0.2">
      <c r="B2720" s="14">
        <v>2013</v>
      </c>
      <c r="C2720" s="13" t="s">
        <v>2554</v>
      </c>
      <c r="D2720" s="13" t="s">
        <v>2624</v>
      </c>
      <c r="E2720" s="13" t="s">
        <v>2627</v>
      </c>
      <c r="F2720" s="15">
        <v>0</v>
      </c>
    </row>
    <row r="2721" spans="2:6" hidden="1" x14ac:dyDescent="0.2">
      <c r="B2721" s="14">
        <v>2013</v>
      </c>
      <c r="C2721" s="13" t="s">
        <v>2554</v>
      </c>
      <c r="D2721" s="13" t="s">
        <v>2624</v>
      </c>
      <c r="E2721" s="13" t="s">
        <v>1872</v>
      </c>
      <c r="F2721" s="15">
        <v>0</v>
      </c>
    </row>
    <row r="2722" spans="2:6" hidden="1" x14ac:dyDescent="0.2">
      <c r="B2722" s="14">
        <v>2013</v>
      </c>
      <c r="C2722" s="13" t="s">
        <v>2554</v>
      </c>
      <c r="D2722" s="13" t="s">
        <v>2624</v>
      </c>
      <c r="E2722" s="13" t="s">
        <v>2628</v>
      </c>
      <c r="F2722" s="15">
        <v>1</v>
      </c>
    </row>
    <row r="2723" spans="2:6" hidden="1" x14ac:dyDescent="0.2">
      <c r="B2723" s="14">
        <v>2013</v>
      </c>
      <c r="C2723" s="13" t="s">
        <v>2554</v>
      </c>
      <c r="D2723" s="13" t="s">
        <v>2624</v>
      </c>
      <c r="E2723" s="13" t="s">
        <v>2559</v>
      </c>
      <c r="F2723" s="15">
        <v>0</v>
      </c>
    </row>
    <row r="2724" spans="2:6" hidden="1" x14ac:dyDescent="0.2">
      <c r="B2724" s="14">
        <v>2013</v>
      </c>
      <c r="C2724" s="13" t="s">
        <v>2554</v>
      </c>
      <c r="D2724" s="13" t="s">
        <v>2624</v>
      </c>
      <c r="E2724" s="13" t="s">
        <v>2629</v>
      </c>
      <c r="F2724" s="15">
        <v>1</v>
      </c>
    </row>
    <row r="2725" spans="2:6" hidden="1" x14ac:dyDescent="0.2">
      <c r="B2725" s="14">
        <v>2013</v>
      </c>
      <c r="C2725" s="13" t="s">
        <v>2554</v>
      </c>
      <c r="D2725" s="13" t="s">
        <v>2624</v>
      </c>
      <c r="E2725" s="13" t="s">
        <v>2630</v>
      </c>
      <c r="F2725" s="15">
        <v>0</v>
      </c>
    </row>
    <row r="2726" spans="2:6" hidden="1" x14ac:dyDescent="0.2">
      <c r="B2726" s="14">
        <v>2013</v>
      </c>
      <c r="C2726" s="13" t="s">
        <v>2554</v>
      </c>
      <c r="D2726" s="13" t="s">
        <v>2624</v>
      </c>
      <c r="E2726" s="13" t="s">
        <v>2631</v>
      </c>
      <c r="F2726" s="15">
        <v>0</v>
      </c>
    </row>
    <row r="2727" spans="2:6" hidden="1" x14ac:dyDescent="0.2">
      <c r="B2727" s="14">
        <v>2013</v>
      </c>
      <c r="C2727" s="13" t="s">
        <v>2554</v>
      </c>
      <c r="D2727" s="13" t="s">
        <v>2624</v>
      </c>
      <c r="E2727" s="13" t="s">
        <v>2632</v>
      </c>
      <c r="F2727" s="15">
        <v>0</v>
      </c>
    </row>
    <row r="2728" spans="2:6" hidden="1" x14ac:dyDescent="0.2">
      <c r="B2728" s="14">
        <v>2013</v>
      </c>
      <c r="C2728" s="13" t="s">
        <v>2554</v>
      </c>
      <c r="D2728" s="13" t="s">
        <v>2624</v>
      </c>
      <c r="E2728" s="13" t="s">
        <v>2633</v>
      </c>
      <c r="F2728" s="15">
        <v>0</v>
      </c>
    </row>
    <row r="2729" spans="2:6" hidden="1" x14ac:dyDescent="0.2">
      <c r="B2729" s="14">
        <v>2013</v>
      </c>
      <c r="C2729" s="13" t="s">
        <v>2554</v>
      </c>
      <c r="D2729" s="13" t="s">
        <v>2624</v>
      </c>
      <c r="E2729" s="13" t="s">
        <v>2634</v>
      </c>
      <c r="F2729" s="15">
        <v>0</v>
      </c>
    </row>
    <row r="2730" spans="2:6" hidden="1" x14ac:dyDescent="0.2">
      <c r="B2730" s="14">
        <v>2013</v>
      </c>
      <c r="C2730" s="13" t="s">
        <v>2554</v>
      </c>
      <c r="D2730" s="13" t="s">
        <v>2624</v>
      </c>
      <c r="E2730" s="13" t="s">
        <v>2635</v>
      </c>
      <c r="F2730" s="15">
        <v>0</v>
      </c>
    </row>
    <row r="2731" spans="2:6" hidden="1" x14ac:dyDescent="0.2">
      <c r="B2731" s="14">
        <v>2013</v>
      </c>
      <c r="C2731" s="13" t="s">
        <v>2554</v>
      </c>
      <c r="D2731" s="13" t="s">
        <v>2624</v>
      </c>
      <c r="E2731" s="13" t="s">
        <v>2636</v>
      </c>
      <c r="F2731" s="15">
        <v>0</v>
      </c>
    </row>
    <row r="2732" spans="2:6" hidden="1" x14ac:dyDescent="0.2">
      <c r="B2732" s="14">
        <v>2013</v>
      </c>
      <c r="C2732" s="13" t="s">
        <v>2554</v>
      </c>
      <c r="D2732" s="13" t="s">
        <v>2624</v>
      </c>
      <c r="E2732" s="13" t="s">
        <v>2637</v>
      </c>
      <c r="F2732" s="15">
        <v>0</v>
      </c>
    </row>
    <row r="2733" spans="2:6" hidden="1" x14ac:dyDescent="0.2">
      <c r="B2733" s="14">
        <v>2013</v>
      </c>
      <c r="C2733" s="13" t="s">
        <v>2638</v>
      </c>
      <c r="D2733" s="13" t="s">
        <v>2638</v>
      </c>
      <c r="E2733" s="13" t="s">
        <v>2638</v>
      </c>
      <c r="F2733" s="15">
        <v>152</v>
      </c>
    </row>
    <row r="2734" spans="2:6" hidden="1" x14ac:dyDescent="0.2">
      <c r="B2734" s="14">
        <v>2013</v>
      </c>
      <c r="C2734" s="13" t="s">
        <v>2638</v>
      </c>
      <c r="D2734" s="13" t="s">
        <v>2638</v>
      </c>
      <c r="E2734" s="13" t="s">
        <v>2639</v>
      </c>
      <c r="F2734" s="15">
        <v>14</v>
      </c>
    </row>
    <row r="2735" spans="2:6" hidden="1" x14ac:dyDescent="0.2">
      <c r="B2735" s="14">
        <v>2013</v>
      </c>
      <c r="C2735" s="13" t="s">
        <v>2638</v>
      </c>
      <c r="D2735" s="13" t="s">
        <v>2638</v>
      </c>
      <c r="E2735" s="13" t="s">
        <v>2640</v>
      </c>
      <c r="F2735" s="15">
        <v>1</v>
      </c>
    </row>
    <row r="2736" spans="2:6" hidden="1" x14ac:dyDescent="0.2">
      <c r="B2736" s="14">
        <v>2013</v>
      </c>
      <c r="C2736" s="13" t="s">
        <v>2638</v>
      </c>
      <c r="D2736" s="13" t="s">
        <v>2638</v>
      </c>
      <c r="E2736" s="13" t="s">
        <v>2641</v>
      </c>
      <c r="F2736" s="15">
        <v>0</v>
      </c>
    </row>
    <row r="2737" spans="2:6" hidden="1" x14ac:dyDescent="0.2">
      <c r="B2737" s="14">
        <v>2013</v>
      </c>
      <c r="C2737" s="13" t="s">
        <v>2638</v>
      </c>
      <c r="D2737" s="13" t="s">
        <v>2638</v>
      </c>
      <c r="E2737" s="13" t="s">
        <v>2642</v>
      </c>
      <c r="F2737" s="15">
        <v>0</v>
      </c>
    </row>
    <row r="2738" spans="2:6" hidden="1" x14ac:dyDescent="0.2">
      <c r="B2738" s="14">
        <v>2013</v>
      </c>
      <c r="C2738" s="13" t="s">
        <v>2638</v>
      </c>
      <c r="D2738" s="13" t="s">
        <v>2638</v>
      </c>
      <c r="E2738" s="13" t="s">
        <v>2643</v>
      </c>
      <c r="F2738" s="15">
        <v>0</v>
      </c>
    </row>
    <row r="2739" spans="2:6" hidden="1" x14ac:dyDescent="0.2">
      <c r="B2739" s="14">
        <v>2013</v>
      </c>
      <c r="C2739" s="13" t="s">
        <v>2638</v>
      </c>
      <c r="D2739" s="13" t="s">
        <v>2638</v>
      </c>
      <c r="E2739" s="13" t="s">
        <v>2644</v>
      </c>
      <c r="F2739" s="15">
        <v>0</v>
      </c>
    </row>
    <row r="2740" spans="2:6" hidden="1" x14ac:dyDescent="0.2">
      <c r="B2740" s="14">
        <v>2013</v>
      </c>
      <c r="C2740" s="13" t="s">
        <v>2638</v>
      </c>
      <c r="D2740" s="13" t="s">
        <v>2638</v>
      </c>
      <c r="E2740" s="13" t="s">
        <v>2645</v>
      </c>
      <c r="F2740" s="15">
        <v>0</v>
      </c>
    </row>
    <row r="2741" spans="2:6" hidden="1" x14ac:dyDescent="0.2">
      <c r="B2741" s="14">
        <v>2013</v>
      </c>
      <c r="C2741" s="13" t="s">
        <v>2638</v>
      </c>
      <c r="D2741" s="13" t="s">
        <v>2638</v>
      </c>
      <c r="E2741" s="13" t="s">
        <v>2646</v>
      </c>
      <c r="F2741" s="15">
        <v>0</v>
      </c>
    </row>
    <row r="2742" spans="2:6" hidden="1" x14ac:dyDescent="0.2">
      <c r="B2742" s="14">
        <v>2013</v>
      </c>
      <c r="C2742" s="13" t="s">
        <v>2638</v>
      </c>
      <c r="D2742" s="13" t="s">
        <v>2638</v>
      </c>
      <c r="E2742" s="13" t="s">
        <v>2647</v>
      </c>
      <c r="F2742" s="15">
        <v>0</v>
      </c>
    </row>
    <row r="2743" spans="2:6" hidden="1" x14ac:dyDescent="0.2">
      <c r="B2743" s="14">
        <v>2013</v>
      </c>
      <c r="C2743" s="13" t="s">
        <v>2638</v>
      </c>
      <c r="D2743" s="13" t="s">
        <v>2638</v>
      </c>
      <c r="E2743" s="13" t="s">
        <v>2648</v>
      </c>
      <c r="F2743" s="15">
        <v>8</v>
      </c>
    </row>
    <row r="2744" spans="2:6" hidden="1" x14ac:dyDescent="0.2">
      <c r="B2744" s="14">
        <v>2013</v>
      </c>
      <c r="C2744" s="13" t="s">
        <v>2638</v>
      </c>
      <c r="D2744" s="13" t="s">
        <v>2638</v>
      </c>
      <c r="E2744" s="13" t="s">
        <v>2649</v>
      </c>
      <c r="F2744" s="15">
        <v>3</v>
      </c>
    </row>
    <row r="2745" spans="2:6" hidden="1" x14ac:dyDescent="0.2">
      <c r="B2745" s="14">
        <v>2013</v>
      </c>
      <c r="C2745" s="13" t="s">
        <v>2638</v>
      </c>
      <c r="D2745" s="13" t="s">
        <v>2650</v>
      </c>
      <c r="E2745" s="13" t="s">
        <v>2650</v>
      </c>
      <c r="F2745" s="15">
        <v>1</v>
      </c>
    </row>
    <row r="2746" spans="2:6" hidden="1" x14ac:dyDescent="0.2">
      <c r="B2746" s="14">
        <v>2013</v>
      </c>
      <c r="C2746" s="13" t="s">
        <v>2638</v>
      </c>
      <c r="D2746" s="13" t="s">
        <v>2650</v>
      </c>
      <c r="E2746" s="13" t="s">
        <v>2651</v>
      </c>
      <c r="F2746" s="15">
        <v>0</v>
      </c>
    </row>
    <row r="2747" spans="2:6" hidden="1" x14ac:dyDescent="0.2">
      <c r="B2747" s="14">
        <v>2013</v>
      </c>
      <c r="C2747" s="13" t="s">
        <v>2638</v>
      </c>
      <c r="D2747" s="13" t="s">
        <v>2650</v>
      </c>
      <c r="E2747" s="13" t="s">
        <v>2652</v>
      </c>
      <c r="F2747" s="15">
        <v>0</v>
      </c>
    </row>
    <row r="2748" spans="2:6" hidden="1" x14ac:dyDescent="0.2">
      <c r="B2748" s="14">
        <v>2013</v>
      </c>
      <c r="C2748" s="13" t="s">
        <v>2638</v>
      </c>
      <c r="D2748" s="13" t="s">
        <v>2650</v>
      </c>
      <c r="E2748" s="13" t="s">
        <v>2653</v>
      </c>
      <c r="F2748" s="15">
        <v>0</v>
      </c>
    </row>
    <row r="2749" spans="2:6" hidden="1" x14ac:dyDescent="0.2">
      <c r="B2749" s="14">
        <v>2013</v>
      </c>
      <c r="C2749" s="13" t="s">
        <v>2638</v>
      </c>
      <c r="D2749" s="13" t="s">
        <v>2650</v>
      </c>
      <c r="E2749" s="13" t="s">
        <v>2654</v>
      </c>
      <c r="F2749" s="15">
        <v>0</v>
      </c>
    </row>
    <row r="2750" spans="2:6" hidden="1" x14ac:dyDescent="0.2">
      <c r="B2750" s="14">
        <v>2013</v>
      </c>
      <c r="C2750" s="13" t="s">
        <v>2638</v>
      </c>
      <c r="D2750" s="13" t="s">
        <v>2650</v>
      </c>
      <c r="E2750" s="13" t="s">
        <v>2655</v>
      </c>
      <c r="F2750" s="15">
        <v>0</v>
      </c>
    </row>
    <row r="2751" spans="2:6" hidden="1" x14ac:dyDescent="0.2">
      <c r="B2751" s="14">
        <v>2013</v>
      </c>
      <c r="C2751" s="13" t="s">
        <v>2638</v>
      </c>
      <c r="D2751" s="13" t="s">
        <v>2650</v>
      </c>
      <c r="E2751" s="13" t="s">
        <v>2656</v>
      </c>
      <c r="F2751" s="15">
        <v>2</v>
      </c>
    </row>
    <row r="2752" spans="2:6" hidden="1" x14ac:dyDescent="0.2">
      <c r="B2752" s="14">
        <v>2013</v>
      </c>
      <c r="C2752" s="13" t="s">
        <v>2638</v>
      </c>
      <c r="D2752" s="13" t="s">
        <v>2650</v>
      </c>
      <c r="E2752" s="13" t="s">
        <v>2657</v>
      </c>
      <c r="F2752" s="15">
        <v>1</v>
      </c>
    </row>
    <row r="2753" spans="2:6" hidden="1" x14ac:dyDescent="0.2">
      <c r="B2753" s="14">
        <v>2013</v>
      </c>
      <c r="C2753" s="13" t="s">
        <v>2638</v>
      </c>
      <c r="D2753" s="13" t="s">
        <v>2658</v>
      </c>
      <c r="E2753" s="13" t="s">
        <v>2211</v>
      </c>
      <c r="F2753" s="15">
        <v>0</v>
      </c>
    </row>
    <row r="2754" spans="2:6" hidden="1" x14ac:dyDescent="0.2">
      <c r="B2754" s="14">
        <v>2013</v>
      </c>
      <c r="C2754" s="13" t="s">
        <v>2638</v>
      </c>
      <c r="D2754" s="13" t="s">
        <v>2658</v>
      </c>
      <c r="E2754" s="13" t="s">
        <v>2659</v>
      </c>
      <c r="F2754" s="15">
        <v>3</v>
      </c>
    </row>
    <row r="2755" spans="2:6" hidden="1" x14ac:dyDescent="0.2">
      <c r="B2755" s="14">
        <v>2013</v>
      </c>
      <c r="C2755" s="13" t="s">
        <v>2638</v>
      </c>
      <c r="D2755" s="13" t="s">
        <v>2658</v>
      </c>
      <c r="E2755" s="13" t="s">
        <v>2660</v>
      </c>
      <c r="F2755" s="15">
        <v>0</v>
      </c>
    </row>
    <row r="2756" spans="2:6" hidden="1" x14ac:dyDescent="0.2">
      <c r="B2756" s="14">
        <v>2013</v>
      </c>
      <c r="C2756" s="13" t="s">
        <v>2638</v>
      </c>
      <c r="D2756" s="13" t="s">
        <v>2658</v>
      </c>
      <c r="E2756" s="13" t="s">
        <v>2661</v>
      </c>
      <c r="F2756" s="15">
        <v>3</v>
      </c>
    </row>
    <row r="2757" spans="2:6" hidden="1" x14ac:dyDescent="0.2">
      <c r="B2757" s="14">
        <v>2013</v>
      </c>
      <c r="C2757" s="13" t="s">
        <v>2638</v>
      </c>
      <c r="D2757" s="13" t="s">
        <v>2658</v>
      </c>
      <c r="E2757" s="13" t="s">
        <v>2662</v>
      </c>
      <c r="F2757" s="15">
        <v>1</v>
      </c>
    </row>
    <row r="2758" spans="2:6" hidden="1" x14ac:dyDescent="0.2">
      <c r="B2758" s="14">
        <v>2013</v>
      </c>
      <c r="C2758" s="13" t="s">
        <v>2638</v>
      </c>
      <c r="D2758" s="13" t="s">
        <v>2658</v>
      </c>
      <c r="E2758" s="13" t="s">
        <v>2663</v>
      </c>
      <c r="F2758" s="15">
        <v>0</v>
      </c>
    </row>
    <row r="2759" spans="2:6" hidden="1" x14ac:dyDescent="0.2">
      <c r="B2759" s="14">
        <v>2013</v>
      </c>
      <c r="C2759" s="13" t="s">
        <v>2638</v>
      </c>
      <c r="D2759" s="13" t="s">
        <v>2658</v>
      </c>
      <c r="E2759" s="13" t="s">
        <v>2664</v>
      </c>
      <c r="F2759" s="15">
        <v>0</v>
      </c>
    </row>
    <row r="2760" spans="2:6" hidden="1" x14ac:dyDescent="0.2">
      <c r="B2760" s="14">
        <v>2013</v>
      </c>
      <c r="C2760" s="13" t="s">
        <v>2638</v>
      </c>
      <c r="D2760" s="13" t="s">
        <v>2658</v>
      </c>
      <c r="E2760" s="13" t="s">
        <v>2665</v>
      </c>
      <c r="F2760" s="15">
        <v>1</v>
      </c>
    </row>
    <row r="2761" spans="2:6" hidden="1" x14ac:dyDescent="0.2">
      <c r="B2761" s="14">
        <v>2013</v>
      </c>
      <c r="C2761" s="13" t="s">
        <v>2638</v>
      </c>
      <c r="D2761" s="13" t="s">
        <v>2658</v>
      </c>
      <c r="E2761" s="13" t="s">
        <v>2666</v>
      </c>
      <c r="F2761" s="15">
        <v>0</v>
      </c>
    </row>
    <row r="2762" spans="2:6" hidden="1" x14ac:dyDescent="0.2">
      <c r="B2762" s="14">
        <v>2013</v>
      </c>
      <c r="C2762" s="13" t="s">
        <v>2638</v>
      </c>
      <c r="D2762" s="13" t="s">
        <v>2667</v>
      </c>
      <c r="E2762" s="13" t="s">
        <v>2667</v>
      </c>
      <c r="F2762" s="15">
        <v>0</v>
      </c>
    </row>
    <row r="2763" spans="2:6" hidden="1" x14ac:dyDescent="0.2">
      <c r="B2763" s="14">
        <v>2013</v>
      </c>
      <c r="C2763" s="13" t="s">
        <v>2638</v>
      </c>
      <c r="D2763" s="13" t="s">
        <v>2667</v>
      </c>
      <c r="E2763" s="13" t="s">
        <v>2668</v>
      </c>
      <c r="F2763" s="15">
        <v>0</v>
      </c>
    </row>
    <row r="2764" spans="2:6" hidden="1" x14ac:dyDescent="0.2">
      <c r="B2764" s="14">
        <v>2013</v>
      </c>
      <c r="C2764" s="13" t="s">
        <v>2638</v>
      </c>
      <c r="D2764" s="13" t="s">
        <v>2667</v>
      </c>
      <c r="E2764" s="13" t="s">
        <v>1871</v>
      </c>
      <c r="F2764" s="15">
        <v>0</v>
      </c>
    </row>
    <row r="2765" spans="2:6" hidden="1" x14ac:dyDescent="0.2">
      <c r="B2765" s="14">
        <v>2013</v>
      </c>
      <c r="C2765" s="13" t="s">
        <v>2638</v>
      </c>
      <c r="D2765" s="13" t="s">
        <v>2667</v>
      </c>
      <c r="E2765" s="13" t="s">
        <v>2669</v>
      </c>
      <c r="F2765" s="15">
        <v>5</v>
      </c>
    </row>
    <row r="2766" spans="2:6" hidden="1" x14ac:dyDescent="0.2">
      <c r="B2766" s="14">
        <v>2013</v>
      </c>
      <c r="C2766" s="13" t="s">
        <v>2638</v>
      </c>
      <c r="D2766" s="13" t="s">
        <v>2670</v>
      </c>
      <c r="E2766" s="13" t="s">
        <v>2671</v>
      </c>
      <c r="F2766" s="15">
        <v>2</v>
      </c>
    </row>
    <row r="2767" spans="2:6" hidden="1" x14ac:dyDescent="0.2">
      <c r="B2767" s="14">
        <v>2013</v>
      </c>
      <c r="C2767" s="13" t="s">
        <v>2638</v>
      </c>
      <c r="D2767" s="13" t="s">
        <v>2670</v>
      </c>
      <c r="E2767" s="13" t="s">
        <v>2672</v>
      </c>
      <c r="F2767" s="15">
        <v>0</v>
      </c>
    </row>
    <row r="2768" spans="2:6" hidden="1" x14ac:dyDescent="0.2">
      <c r="B2768" s="14">
        <v>2013</v>
      </c>
      <c r="C2768" s="13" t="s">
        <v>2638</v>
      </c>
      <c r="D2768" s="13" t="s">
        <v>2670</v>
      </c>
      <c r="E2768" s="13" t="s">
        <v>2673</v>
      </c>
      <c r="F2768" s="15">
        <v>1</v>
      </c>
    </row>
    <row r="2769" spans="2:6" hidden="1" x14ac:dyDescent="0.2">
      <c r="B2769" s="14">
        <v>2013</v>
      </c>
      <c r="C2769" s="13" t="s">
        <v>2638</v>
      </c>
      <c r="D2769" s="13" t="s">
        <v>2670</v>
      </c>
      <c r="E2769" s="13" t="s">
        <v>2674</v>
      </c>
      <c r="F2769" s="15">
        <v>2</v>
      </c>
    </row>
    <row r="2770" spans="2:6" hidden="1" x14ac:dyDescent="0.2">
      <c r="B2770" s="14">
        <v>2013</v>
      </c>
      <c r="C2770" s="13" t="s">
        <v>2638</v>
      </c>
      <c r="D2770" s="13" t="s">
        <v>2670</v>
      </c>
      <c r="E2770" s="13" t="s">
        <v>2675</v>
      </c>
      <c r="F2770" s="15">
        <v>0</v>
      </c>
    </row>
    <row r="2771" spans="2:6" hidden="1" x14ac:dyDescent="0.2">
      <c r="B2771" s="14">
        <v>2013</v>
      </c>
      <c r="C2771" s="13" t="s">
        <v>2638</v>
      </c>
      <c r="D2771" s="13" t="s">
        <v>2670</v>
      </c>
      <c r="E2771" s="13" t="s">
        <v>2122</v>
      </c>
      <c r="F2771" s="15">
        <v>0</v>
      </c>
    </row>
    <row r="2772" spans="2:6" hidden="1" x14ac:dyDescent="0.2">
      <c r="B2772" s="14">
        <v>2013</v>
      </c>
      <c r="C2772" s="13" t="s">
        <v>2638</v>
      </c>
      <c r="D2772" s="13" t="s">
        <v>2670</v>
      </c>
      <c r="E2772" s="13" t="s">
        <v>2676</v>
      </c>
      <c r="F2772" s="15">
        <v>3</v>
      </c>
    </row>
    <row r="2773" spans="2:6" hidden="1" x14ac:dyDescent="0.2">
      <c r="B2773" s="14">
        <v>2013</v>
      </c>
      <c r="C2773" s="13" t="s">
        <v>2638</v>
      </c>
      <c r="D2773" s="13" t="s">
        <v>2670</v>
      </c>
      <c r="E2773" s="13" t="s">
        <v>2677</v>
      </c>
      <c r="F2773" s="15">
        <v>0</v>
      </c>
    </row>
    <row r="2774" spans="2:6" hidden="1" x14ac:dyDescent="0.2">
      <c r="B2774" s="14">
        <v>2013</v>
      </c>
      <c r="C2774" s="13" t="s">
        <v>2638</v>
      </c>
      <c r="D2774" s="13" t="s">
        <v>2670</v>
      </c>
      <c r="E2774" s="13" t="s">
        <v>2678</v>
      </c>
      <c r="F2774" s="15">
        <v>0</v>
      </c>
    </row>
    <row r="2775" spans="2:6" hidden="1" x14ac:dyDescent="0.2">
      <c r="B2775" s="14">
        <v>2013</v>
      </c>
      <c r="C2775" s="13" t="s">
        <v>2638</v>
      </c>
      <c r="D2775" s="13" t="s">
        <v>2670</v>
      </c>
      <c r="E2775" s="13" t="s">
        <v>2679</v>
      </c>
      <c r="F2775" s="15">
        <v>0</v>
      </c>
    </row>
    <row r="2776" spans="2:6" hidden="1" x14ac:dyDescent="0.2">
      <c r="B2776" s="14">
        <v>2013</v>
      </c>
      <c r="C2776" s="13" t="s">
        <v>2638</v>
      </c>
      <c r="D2776" s="13" t="s">
        <v>2670</v>
      </c>
      <c r="E2776" s="13" t="s">
        <v>2680</v>
      </c>
      <c r="F2776" s="15">
        <v>0</v>
      </c>
    </row>
    <row r="2777" spans="2:6" hidden="1" x14ac:dyDescent="0.2">
      <c r="B2777" s="14">
        <v>2013</v>
      </c>
      <c r="C2777" s="13" t="s">
        <v>2638</v>
      </c>
      <c r="D2777" s="13" t="s">
        <v>2273</v>
      </c>
      <c r="E2777" s="13" t="s">
        <v>2681</v>
      </c>
      <c r="F2777" s="15">
        <v>7</v>
      </c>
    </row>
    <row r="2778" spans="2:6" hidden="1" x14ac:dyDescent="0.2">
      <c r="B2778" s="14">
        <v>2013</v>
      </c>
      <c r="C2778" s="13" t="s">
        <v>2638</v>
      </c>
      <c r="D2778" s="13" t="s">
        <v>2273</v>
      </c>
      <c r="E2778" s="13" t="s">
        <v>2682</v>
      </c>
      <c r="F2778" s="15">
        <v>0</v>
      </c>
    </row>
    <row r="2779" spans="2:6" hidden="1" x14ac:dyDescent="0.2">
      <c r="B2779" s="14">
        <v>2013</v>
      </c>
      <c r="C2779" s="13" t="s">
        <v>2638</v>
      </c>
      <c r="D2779" s="13" t="s">
        <v>2273</v>
      </c>
      <c r="E2779" s="13" t="s">
        <v>2683</v>
      </c>
      <c r="F2779" s="15">
        <v>0</v>
      </c>
    </row>
    <row r="2780" spans="2:6" hidden="1" x14ac:dyDescent="0.2">
      <c r="B2780" s="14">
        <v>2013</v>
      </c>
      <c r="C2780" s="13" t="s">
        <v>2638</v>
      </c>
      <c r="D2780" s="13" t="s">
        <v>2273</v>
      </c>
      <c r="E2780" s="13" t="s">
        <v>2684</v>
      </c>
      <c r="F2780" s="15">
        <v>7</v>
      </c>
    </row>
    <row r="2781" spans="2:6" hidden="1" x14ac:dyDescent="0.2">
      <c r="B2781" s="14">
        <v>2013</v>
      </c>
      <c r="C2781" s="13" t="s">
        <v>2638</v>
      </c>
      <c r="D2781" s="13" t="s">
        <v>2273</v>
      </c>
      <c r="E2781" s="13" t="s">
        <v>2685</v>
      </c>
      <c r="F2781" s="15">
        <v>1</v>
      </c>
    </row>
    <row r="2782" spans="2:6" hidden="1" x14ac:dyDescent="0.2">
      <c r="B2782" s="14">
        <v>2013</v>
      </c>
      <c r="C2782" s="13" t="s">
        <v>2638</v>
      </c>
      <c r="D2782" s="13" t="s">
        <v>2273</v>
      </c>
      <c r="E2782" s="13" t="s">
        <v>2686</v>
      </c>
      <c r="F2782" s="15">
        <v>1</v>
      </c>
    </row>
    <row r="2783" spans="2:6" hidden="1" x14ac:dyDescent="0.2">
      <c r="B2783" s="14">
        <v>2013</v>
      </c>
      <c r="C2783" s="13" t="s">
        <v>2638</v>
      </c>
      <c r="D2783" s="13" t="s">
        <v>2687</v>
      </c>
      <c r="E2783" s="13" t="s">
        <v>2688</v>
      </c>
      <c r="F2783" s="15">
        <v>1</v>
      </c>
    </row>
    <row r="2784" spans="2:6" hidden="1" x14ac:dyDescent="0.2">
      <c r="B2784" s="14">
        <v>2013</v>
      </c>
      <c r="C2784" s="13" t="s">
        <v>2638</v>
      </c>
      <c r="D2784" s="13" t="s">
        <v>2687</v>
      </c>
      <c r="E2784" s="13" t="s">
        <v>2689</v>
      </c>
      <c r="F2784" s="15">
        <v>0</v>
      </c>
    </row>
    <row r="2785" spans="2:6" hidden="1" x14ac:dyDescent="0.2">
      <c r="B2785" s="14">
        <v>2013</v>
      </c>
      <c r="C2785" s="13" t="s">
        <v>2638</v>
      </c>
      <c r="D2785" s="13" t="s">
        <v>2687</v>
      </c>
      <c r="E2785" s="13" t="s">
        <v>2690</v>
      </c>
      <c r="F2785" s="15">
        <v>1</v>
      </c>
    </row>
    <row r="2786" spans="2:6" hidden="1" x14ac:dyDescent="0.2">
      <c r="B2786" s="14">
        <v>2013</v>
      </c>
      <c r="C2786" s="13" t="s">
        <v>2638</v>
      </c>
      <c r="D2786" s="13" t="s">
        <v>2691</v>
      </c>
      <c r="E2786" s="13" t="s">
        <v>2692</v>
      </c>
      <c r="F2786" s="15">
        <v>5</v>
      </c>
    </row>
    <row r="2787" spans="2:6" hidden="1" x14ac:dyDescent="0.2">
      <c r="B2787" s="14">
        <v>2013</v>
      </c>
      <c r="C2787" s="13" t="s">
        <v>2638</v>
      </c>
      <c r="D2787" s="13" t="s">
        <v>2691</v>
      </c>
      <c r="E2787" s="13" t="s">
        <v>2693</v>
      </c>
      <c r="F2787" s="15">
        <v>0</v>
      </c>
    </row>
    <row r="2788" spans="2:6" hidden="1" x14ac:dyDescent="0.2">
      <c r="B2788" s="14">
        <v>2013</v>
      </c>
      <c r="C2788" s="13" t="s">
        <v>2638</v>
      </c>
      <c r="D2788" s="13" t="s">
        <v>2691</v>
      </c>
      <c r="E2788" s="13" t="s">
        <v>2694</v>
      </c>
      <c r="F2788" s="15">
        <v>2</v>
      </c>
    </row>
    <row r="2789" spans="2:6" hidden="1" x14ac:dyDescent="0.2">
      <c r="B2789" s="14">
        <v>2013</v>
      </c>
      <c r="C2789" s="13" t="s">
        <v>2638</v>
      </c>
      <c r="D2789" s="13" t="s">
        <v>2691</v>
      </c>
      <c r="E2789" s="13" t="s">
        <v>2695</v>
      </c>
      <c r="F2789" s="15">
        <v>0</v>
      </c>
    </row>
    <row r="2790" spans="2:6" hidden="1" x14ac:dyDescent="0.2">
      <c r="B2790" s="14">
        <v>2013</v>
      </c>
      <c r="C2790" s="13" t="s">
        <v>2638</v>
      </c>
      <c r="D2790" s="13" t="s">
        <v>2696</v>
      </c>
      <c r="E2790" s="13" t="s">
        <v>2696</v>
      </c>
      <c r="F2790" s="15">
        <v>9</v>
      </c>
    </row>
    <row r="2791" spans="2:6" hidden="1" x14ac:dyDescent="0.2">
      <c r="B2791" s="14">
        <v>2013</v>
      </c>
      <c r="C2791" s="13" t="s">
        <v>2638</v>
      </c>
      <c r="D2791" s="13" t="s">
        <v>2696</v>
      </c>
      <c r="E2791" s="13" t="s">
        <v>2697</v>
      </c>
      <c r="F2791" s="15">
        <v>3</v>
      </c>
    </row>
    <row r="2792" spans="2:6" hidden="1" x14ac:dyDescent="0.2">
      <c r="B2792" s="14">
        <v>2013</v>
      </c>
      <c r="C2792" s="13" t="s">
        <v>2638</v>
      </c>
      <c r="D2792" s="13" t="s">
        <v>2696</v>
      </c>
      <c r="E2792" s="13" t="s">
        <v>2698</v>
      </c>
      <c r="F2792" s="15">
        <v>0</v>
      </c>
    </row>
    <row r="2793" spans="2:6" hidden="1" x14ac:dyDescent="0.2">
      <c r="B2793" s="14">
        <v>2013</v>
      </c>
      <c r="C2793" s="13" t="s">
        <v>2638</v>
      </c>
      <c r="D2793" s="13" t="s">
        <v>2696</v>
      </c>
      <c r="E2793" s="13" t="s">
        <v>2699</v>
      </c>
      <c r="F2793" s="15">
        <v>0</v>
      </c>
    </row>
    <row r="2794" spans="2:6" hidden="1" x14ac:dyDescent="0.2">
      <c r="B2794" s="14">
        <v>2013</v>
      </c>
      <c r="C2794" s="13" t="s">
        <v>2638</v>
      </c>
      <c r="D2794" s="13" t="s">
        <v>2696</v>
      </c>
      <c r="E2794" s="13" t="s">
        <v>2700</v>
      </c>
      <c r="F2794" s="15">
        <v>0</v>
      </c>
    </row>
    <row r="2795" spans="2:6" hidden="1" x14ac:dyDescent="0.2">
      <c r="B2795" s="14">
        <v>2013</v>
      </c>
      <c r="C2795" s="13" t="s">
        <v>2638</v>
      </c>
      <c r="D2795" s="13" t="s">
        <v>2701</v>
      </c>
      <c r="E2795" s="13" t="s">
        <v>2337</v>
      </c>
      <c r="F2795" s="15">
        <v>6</v>
      </c>
    </row>
    <row r="2796" spans="2:6" hidden="1" x14ac:dyDescent="0.2">
      <c r="B2796" s="14">
        <v>2013</v>
      </c>
      <c r="C2796" s="13" t="s">
        <v>2638</v>
      </c>
      <c r="D2796" s="13" t="s">
        <v>2701</v>
      </c>
      <c r="E2796" s="13" t="s">
        <v>2702</v>
      </c>
      <c r="F2796" s="15">
        <v>0</v>
      </c>
    </row>
    <row r="2797" spans="2:6" hidden="1" x14ac:dyDescent="0.2">
      <c r="B2797" s="14">
        <v>2013</v>
      </c>
      <c r="C2797" s="13" t="s">
        <v>2638</v>
      </c>
      <c r="D2797" s="13" t="s">
        <v>2701</v>
      </c>
      <c r="E2797" s="13" t="s">
        <v>2703</v>
      </c>
      <c r="F2797" s="15">
        <v>0</v>
      </c>
    </row>
    <row r="2798" spans="2:6" hidden="1" x14ac:dyDescent="0.2">
      <c r="B2798" s="14">
        <v>2013</v>
      </c>
      <c r="C2798" s="13" t="s">
        <v>2638</v>
      </c>
      <c r="D2798" s="13" t="s">
        <v>2701</v>
      </c>
      <c r="E2798" s="13" t="s">
        <v>2704</v>
      </c>
      <c r="F2798" s="15">
        <v>0</v>
      </c>
    </row>
    <row r="2799" spans="2:6" hidden="1" x14ac:dyDescent="0.2">
      <c r="B2799" s="14">
        <v>2013</v>
      </c>
      <c r="C2799" s="13" t="s">
        <v>2638</v>
      </c>
      <c r="D2799" s="13" t="s">
        <v>2701</v>
      </c>
      <c r="E2799" s="13" t="s">
        <v>2705</v>
      </c>
      <c r="F2799" s="15">
        <v>0</v>
      </c>
    </row>
    <row r="2800" spans="2:6" hidden="1" x14ac:dyDescent="0.2">
      <c r="B2800" s="14">
        <v>2013</v>
      </c>
      <c r="C2800" s="13" t="s">
        <v>2638</v>
      </c>
      <c r="D2800" s="13" t="s">
        <v>2701</v>
      </c>
      <c r="E2800" s="13" t="s">
        <v>2706</v>
      </c>
      <c r="F2800" s="15">
        <v>0</v>
      </c>
    </row>
    <row r="2801" spans="2:6" hidden="1" x14ac:dyDescent="0.2">
      <c r="B2801" s="14">
        <v>2013</v>
      </c>
      <c r="C2801" s="13" t="s">
        <v>2638</v>
      </c>
      <c r="D2801" s="13" t="s">
        <v>2701</v>
      </c>
      <c r="E2801" s="13" t="s">
        <v>2707</v>
      </c>
      <c r="F2801" s="15">
        <v>2</v>
      </c>
    </row>
    <row r="2802" spans="2:6" hidden="1" x14ac:dyDescent="0.2">
      <c r="B2802" s="14">
        <v>2013</v>
      </c>
      <c r="C2802" s="13" t="s">
        <v>2638</v>
      </c>
      <c r="D2802" s="13" t="s">
        <v>2708</v>
      </c>
      <c r="E2802" s="13" t="s">
        <v>2709</v>
      </c>
      <c r="F2802" s="15">
        <v>3</v>
      </c>
    </row>
    <row r="2803" spans="2:6" hidden="1" x14ac:dyDescent="0.2">
      <c r="B2803" s="14">
        <v>2013</v>
      </c>
      <c r="C2803" s="13" t="s">
        <v>2638</v>
      </c>
      <c r="D2803" s="13" t="s">
        <v>2708</v>
      </c>
      <c r="E2803" s="13" t="s">
        <v>2710</v>
      </c>
      <c r="F2803" s="15">
        <v>0</v>
      </c>
    </row>
    <row r="2804" spans="2:6" hidden="1" x14ac:dyDescent="0.2">
      <c r="B2804" s="14">
        <v>2013</v>
      </c>
      <c r="C2804" s="13" t="s">
        <v>2638</v>
      </c>
      <c r="D2804" s="13" t="s">
        <v>2708</v>
      </c>
      <c r="E2804" s="13" t="s">
        <v>2711</v>
      </c>
      <c r="F2804" s="15">
        <v>0</v>
      </c>
    </row>
    <row r="2805" spans="2:6" hidden="1" x14ac:dyDescent="0.2">
      <c r="B2805" s="14">
        <v>2013</v>
      </c>
      <c r="C2805" s="13" t="s">
        <v>2638</v>
      </c>
      <c r="D2805" s="13" t="s">
        <v>2708</v>
      </c>
      <c r="E2805" s="13" t="s">
        <v>2712</v>
      </c>
      <c r="F2805" s="15">
        <v>1</v>
      </c>
    </row>
    <row r="2806" spans="2:6" hidden="1" x14ac:dyDescent="0.2">
      <c r="B2806" s="14">
        <v>2013</v>
      </c>
      <c r="C2806" s="13" t="s">
        <v>2638</v>
      </c>
      <c r="D2806" s="13" t="s">
        <v>2708</v>
      </c>
      <c r="E2806" s="13" t="s">
        <v>2713</v>
      </c>
      <c r="F2806" s="15">
        <v>0</v>
      </c>
    </row>
    <row r="2807" spans="2:6" hidden="1" x14ac:dyDescent="0.2">
      <c r="B2807" s="14">
        <v>2013</v>
      </c>
      <c r="C2807" s="13" t="s">
        <v>2638</v>
      </c>
      <c r="D2807" s="13" t="s">
        <v>2708</v>
      </c>
      <c r="E2807" s="13" t="s">
        <v>2714</v>
      </c>
      <c r="F2807" s="15">
        <v>3</v>
      </c>
    </row>
    <row r="2808" spans="2:6" hidden="1" x14ac:dyDescent="0.2">
      <c r="B2808" s="14">
        <v>2013</v>
      </c>
      <c r="C2808" s="13" t="s">
        <v>2638</v>
      </c>
      <c r="D2808" s="13" t="s">
        <v>2708</v>
      </c>
      <c r="E2808" s="13" t="s">
        <v>2216</v>
      </c>
      <c r="F2808" s="15">
        <v>0</v>
      </c>
    </row>
    <row r="2809" spans="2:6" hidden="1" x14ac:dyDescent="0.2">
      <c r="B2809" s="14">
        <v>2013</v>
      </c>
      <c r="C2809" s="13" t="s">
        <v>2638</v>
      </c>
      <c r="D2809" s="13" t="s">
        <v>2708</v>
      </c>
      <c r="E2809" s="13" t="s">
        <v>2715</v>
      </c>
      <c r="F2809" s="15">
        <v>0</v>
      </c>
    </row>
    <row r="2810" spans="2:6" hidden="1" x14ac:dyDescent="0.2">
      <c r="B2810" s="14">
        <v>2013</v>
      </c>
      <c r="C2810" s="13" t="s">
        <v>2716</v>
      </c>
      <c r="D2810" s="13" t="s">
        <v>2716</v>
      </c>
      <c r="E2810" s="13" t="s">
        <v>2716</v>
      </c>
      <c r="F2810" s="15">
        <v>193</v>
      </c>
    </row>
    <row r="2811" spans="2:6" hidden="1" x14ac:dyDescent="0.2">
      <c r="B2811" s="14">
        <v>2013</v>
      </c>
      <c r="C2811" s="13" t="s">
        <v>2716</v>
      </c>
      <c r="D2811" s="13" t="s">
        <v>2716</v>
      </c>
      <c r="E2811" s="13" t="s">
        <v>2717</v>
      </c>
      <c r="F2811" s="15">
        <v>0</v>
      </c>
    </row>
    <row r="2812" spans="2:6" hidden="1" x14ac:dyDescent="0.2">
      <c r="B2812" s="14">
        <v>2013</v>
      </c>
      <c r="C2812" s="13" t="s">
        <v>2716</v>
      </c>
      <c r="D2812" s="13" t="s">
        <v>2716</v>
      </c>
      <c r="E2812" s="13" t="s">
        <v>2718</v>
      </c>
      <c r="F2812" s="15">
        <v>2</v>
      </c>
    </row>
    <row r="2813" spans="2:6" hidden="1" x14ac:dyDescent="0.2">
      <c r="B2813" s="14">
        <v>2013</v>
      </c>
      <c r="C2813" s="13" t="s">
        <v>2716</v>
      </c>
      <c r="D2813" s="13" t="s">
        <v>2716</v>
      </c>
      <c r="E2813" s="13" t="s">
        <v>2719</v>
      </c>
      <c r="F2813" s="15">
        <v>0</v>
      </c>
    </row>
    <row r="2814" spans="2:6" hidden="1" x14ac:dyDescent="0.2">
      <c r="B2814" s="14">
        <v>2013</v>
      </c>
      <c r="C2814" s="13" t="s">
        <v>2716</v>
      </c>
      <c r="D2814" s="13" t="s">
        <v>2716</v>
      </c>
      <c r="E2814" s="13" t="s">
        <v>2720</v>
      </c>
      <c r="F2814" s="15">
        <v>2</v>
      </c>
    </row>
    <row r="2815" spans="2:6" hidden="1" x14ac:dyDescent="0.2">
      <c r="B2815" s="14">
        <v>2013</v>
      </c>
      <c r="C2815" s="13" t="s">
        <v>2716</v>
      </c>
      <c r="D2815" s="13" t="s">
        <v>2716</v>
      </c>
      <c r="E2815" s="13" t="s">
        <v>2721</v>
      </c>
      <c r="F2815" s="15">
        <v>24</v>
      </c>
    </row>
    <row r="2816" spans="2:6" hidden="1" x14ac:dyDescent="0.2">
      <c r="B2816" s="14">
        <v>2013</v>
      </c>
      <c r="C2816" s="13" t="s">
        <v>2716</v>
      </c>
      <c r="D2816" s="13" t="s">
        <v>2716</v>
      </c>
      <c r="E2816" s="13" t="s">
        <v>2722</v>
      </c>
      <c r="F2816" s="15">
        <v>0</v>
      </c>
    </row>
    <row r="2817" spans="2:6" hidden="1" x14ac:dyDescent="0.2">
      <c r="B2817" s="14">
        <v>2013</v>
      </c>
      <c r="C2817" s="13" t="s">
        <v>2716</v>
      </c>
      <c r="D2817" s="13" t="s">
        <v>2716</v>
      </c>
      <c r="E2817" s="13" t="s">
        <v>2723</v>
      </c>
      <c r="F2817" s="15">
        <v>1</v>
      </c>
    </row>
    <row r="2818" spans="2:6" hidden="1" x14ac:dyDescent="0.2">
      <c r="B2818" s="14">
        <v>2013</v>
      </c>
      <c r="C2818" s="13" t="s">
        <v>2716</v>
      </c>
      <c r="D2818" s="13" t="s">
        <v>2716</v>
      </c>
      <c r="E2818" s="13" t="s">
        <v>2724</v>
      </c>
      <c r="F2818" s="15">
        <v>0</v>
      </c>
    </row>
    <row r="2819" spans="2:6" hidden="1" x14ac:dyDescent="0.2">
      <c r="B2819" s="14">
        <v>2013</v>
      </c>
      <c r="C2819" s="13" t="s">
        <v>2716</v>
      </c>
      <c r="D2819" s="13" t="s">
        <v>2716</v>
      </c>
      <c r="E2819" s="13" t="s">
        <v>2231</v>
      </c>
      <c r="F2819" s="15">
        <v>3</v>
      </c>
    </row>
    <row r="2820" spans="2:6" hidden="1" x14ac:dyDescent="0.2">
      <c r="B2820" s="14">
        <v>2013</v>
      </c>
      <c r="C2820" s="13" t="s">
        <v>2716</v>
      </c>
      <c r="D2820" s="13" t="s">
        <v>2716</v>
      </c>
      <c r="E2820" s="13" t="s">
        <v>2457</v>
      </c>
      <c r="F2820" s="15">
        <v>3</v>
      </c>
    </row>
    <row r="2821" spans="2:6" hidden="1" x14ac:dyDescent="0.2">
      <c r="B2821" s="14">
        <v>2013</v>
      </c>
      <c r="C2821" s="13" t="s">
        <v>2716</v>
      </c>
      <c r="D2821" s="13" t="s">
        <v>2716</v>
      </c>
      <c r="E2821" s="13" t="s">
        <v>2725</v>
      </c>
      <c r="F2821" s="15">
        <v>3</v>
      </c>
    </row>
    <row r="2822" spans="2:6" hidden="1" x14ac:dyDescent="0.2">
      <c r="B2822" s="14">
        <v>2013</v>
      </c>
      <c r="C2822" s="13" t="s">
        <v>2716</v>
      </c>
      <c r="D2822" s="13" t="s">
        <v>2716</v>
      </c>
      <c r="E2822" s="13" t="s">
        <v>2726</v>
      </c>
      <c r="F2822" s="15">
        <v>0</v>
      </c>
    </row>
    <row r="2823" spans="2:6" hidden="1" x14ac:dyDescent="0.2">
      <c r="B2823" s="14">
        <v>2013</v>
      </c>
      <c r="C2823" s="13" t="s">
        <v>2716</v>
      </c>
      <c r="D2823" s="13" t="s">
        <v>2716</v>
      </c>
      <c r="E2823" s="13" t="s">
        <v>2727</v>
      </c>
      <c r="F2823" s="15">
        <v>0</v>
      </c>
    </row>
    <row r="2824" spans="2:6" hidden="1" x14ac:dyDescent="0.2">
      <c r="B2824" s="14">
        <v>2013</v>
      </c>
      <c r="C2824" s="13" t="s">
        <v>2716</v>
      </c>
      <c r="D2824" s="13" t="s">
        <v>2728</v>
      </c>
      <c r="E2824" s="13" t="s">
        <v>2729</v>
      </c>
      <c r="F2824" s="15">
        <v>48</v>
      </c>
    </row>
    <row r="2825" spans="2:6" hidden="1" x14ac:dyDescent="0.2">
      <c r="B2825" s="14">
        <v>2013</v>
      </c>
      <c r="C2825" s="13" t="s">
        <v>2716</v>
      </c>
      <c r="D2825" s="13" t="s">
        <v>2728</v>
      </c>
      <c r="E2825" s="13" t="s">
        <v>2730</v>
      </c>
      <c r="F2825" s="15">
        <v>0</v>
      </c>
    </row>
    <row r="2826" spans="2:6" hidden="1" x14ac:dyDescent="0.2">
      <c r="B2826" s="14">
        <v>2013</v>
      </c>
      <c r="C2826" s="13" t="s">
        <v>2716</v>
      </c>
      <c r="D2826" s="13" t="s">
        <v>2728</v>
      </c>
      <c r="E2826" s="13" t="s">
        <v>2731</v>
      </c>
      <c r="F2826" s="15">
        <v>0</v>
      </c>
    </row>
    <row r="2827" spans="2:6" hidden="1" x14ac:dyDescent="0.2">
      <c r="B2827" s="14">
        <v>2013</v>
      </c>
      <c r="C2827" s="13" t="s">
        <v>2716</v>
      </c>
      <c r="D2827" s="13" t="s">
        <v>2728</v>
      </c>
      <c r="E2827" s="13" t="s">
        <v>2732</v>
      </c>
      <c r="F2827" s="15">
        <v>0</v>
      </c>
    </row>
    <row r="2828" spans="2:6" hidden="1" x14ac:dyDescent="0.2">
      <c r="B2828" s="14">
        <v>2013</v>
      </c>
      <c r="C2828" s="13" t="s">
        <v>2716</v>
      </c>
      <c r="D2828" s="13" t="s">
        <v>2728</v>
      </c>
      <c r="E2828" s="13" t="s">
        <v>2602</v>
      </c>
      <c r="F2828" s="15">
        <v>0</v>
      </c>
    </row>
    <row r="2829" spans="2:6" hidden="1" x14ac:dyDescent="0.2">
      <c r="B2829" s="14">
        <v>2013</v>
      </c>
      <c r="C2829" s="13" t="s">
        <v>2716</v>
      </c>
      <c r="D2829" s="13" t="s">
        <v>2728</v>
      </c>
      <c r="E2829" s="13" t="s">
        <v>2733</v>
      </c>
      <c r="F2829" s="15">
        <v>10</v>
      </c>
    </row>
    <row r="2830" spans="2:6" hidden="1" x14ac:dyDescent="0.2">
      <c r="B2830" s="14">
        <v>2013</v>
      </c>
      <c r="C2830" s="13" t="s">
        <v>2716</v>
      </c>
      <c r="D2830" s="13" t="s">
        <v>2728</v>
      </c>
      <c r="E2830" s="13" t="s">
        <v>2722</v>
      </c>
      <c r="F2830" s="15">
        <v>9</v>
      </c>
    </row>
    <row r="2831" spans="2:6" hidden="1" x14ac:dyDescent="0.2">
      <c r="B2831" s="14">
        <v>2013</v>
      </c>
      <c r="C2831" s="13" t="s">
        <v>2716</v>
      </c>
      <c r="D2831" s="13" t="s">
        <v>2728</v>
      </c>
      <c r="E2831" s="13" t="s">
        <v>2734</v>
      </c>
      <c r="F2831" s="15">
        <v>0</v>
      </c>
    </row>
    <row r="2832" spans="2:6" hidden="1" x14ac:dyDescent="0.2">
      <c r="B2832" s="14">
        <v>2013</v>
      </c>
      <c r="C2832" s="13" t="s">
        <v>2716</v>
      </c>
      <c r="D2832" s="13" t="s">
        <v>2728</v>
      </c>
      <c r="E2832" s="13" t="s">
        <v>2735</v>
      </c>
      <c r="F2832" s="15">
        <v>0</v>
      </c>
    </row>
    <row r="2833" spans="2:6" hidden="1" x14ac:dyDescent="0.2">
      <c r="B2833" s="14">
        <v>2013</v>
      </c>
      <c r="C2833" s="13" t="s">
        <v>2716</v>
      </c>
      <c r="D2833" s="13" t="s">
        <v>2728</v>
      </c>
      <c r="E2833" s="13" t="s">
        <v>2736</v>
      </c>
      <c r="F2833" s="15">
        <v>2</v>
      </c>
    </row>
    <row r="2834" spans="2:6" hidden="1" x14ac:dyDescent="0.2">
      <c r="B2834" s="14">
        <v>2013</v>
      </c>
      <c r="C2834" s="13" t="s">
        <v>2716</v>
      </c>
      <c r="D2834" s="13" t="s">
        <v>2728</v>
      </c>
      <c r="E2834" s="13" t="s">
        <v>2737</v>
      </c>
      <c r="F2834" s="15">
        <v>0</v>
      </c>
    </row>
    <row r="2835" spans="2:6" hidden="1" x14ac:dyDescent="0.2">
      <c r="B2835" s="14">
        <v>2013</v>
      </c>
      <c r="C2835" s="13" t="s">
        <v>2716</v>
      </c>
      <c r="D2835" s="13" t="s">
        <v>2738</v>
      </c>
      <c r="E2835" s="13" t="s">
        <v>2738</v>
      </c>
      <c r="F2835" s="15">
        <v>20</v>
      </c>
    </row>
    <row r="2836" spans="2:6" hidden="1" x14ac:dyDescent="0.2">
      <c r="B2836" s="14">
        <v>2013</v>
      </c>
      <c r="C2836" s="13" t="s">
        <v>2716</v>
      </c>
      <c r="D2836" s="13" t="s">
        <v>2738</v>
      </c>
      <c r="E2836" s="13" t="s">
        <v>2739</v>
      </c>
      <c r="F2836" s="15">
        <v>0</v>
      </c>
    </row>
    <row r="2837" spans="2:6" hidden="1" x14ac:dyDescent="0.2">
      <c r="B2837" s="14">
        <v>2013</v>
      </c>
      <c r="C2837" s="13" t="s">
        <v>2716</v>
      </c>
      <c r="D2837" s="13" t="s">
        <v>2738</v>
      </c>
      <c r="E2837" s="13" t="s">
        <v>2740</v>
      </c>
      <c r="F2837" s="15">
        <v>0</v>
      </c>
    </row>
    <row r="2838" spans="2:6" hidden="1" x14ac:dyDescent="0.2">
      <c r="B2838" s="14">
        <v>2013</v>
      </c>
      <c r="C2838" s="13" t="s">
        <v>2716</v>
      </c>
      <c r="D2838" s="13" t="s">
        <v>2738</v>
      </c>
      <c r="E2838" s="13" t="s">
        <v>2741</v>
      </c>
      <c r="F2838" s="15">
        <v>12</v>
      </c>
    </row>
    <row r="2839" spans="2:6" hidden="1" x14ac:dyDescent="0.2">
      <c r="B2839" s="14">
        <v>2013</v>
      </c>
      <c r="C2839" s="13" t="s">
        <v>2716</v>
      </c>
      <c r="D2839" s="13" t="s">
        <v>2738</v>
      </c>
      <c r="E2839" s="13" t="s">
        <v>1860</v>
      </c>
      <c r="F2839" s="15">
        <v>6</v>
      </c>
    </row>
    <row r="2840" spans="2:6" hidden="1" x14ac:dyDescent="0.2">
      <c r="B2840" s="14">
        <v>2013</v>
      </c>
      <c r="C2840" s="13" t="s">
        <v>2716</v>
      </c>
      <c r="D2840" s="13" t="s">
        <v>2742</v>
      </c>
      <c r="E2840" s="13" t="s">
        <v>2742</v>
      </c>
      <c r="F2840" s="15">
        <v>3</v>
      </c>
    </row>
    <row r="2841" spans="2:6" hidden="1" x14ac:dyDescent="0.2">
      <c r="B2841" s="14">
        <v>2013</v>
      </c>
      <c r="C2841" s="13" t="s">
        <v>2716</v>
      </c>
      <c r="D2841" s="13" t="s">
        <v>2742</v>
      </c>
      <c r="E2841" s="13" t="s">
        <v>2743</v>
      </c>
      <c r="F2841" s="15">
        <v>0</v>
      </c>
    </row>
    <row r="2842" spans="2:6" hidden="1" x14ac:dyDescent="0.2">
      <c r="B2842" s="14">
        <v>2013</v>
      </c>
      <c r="C2842" s="13" t="s">
        <v>2716</v>
      </c>
      <c r="D2842" s="13" t="s">
        <v>2742</v>
      </c>
      <c r="E2842" s="13" t="s">
        <v>2202</v>
      </c>
      <c r="F2842" s="15">
        <v>0</v>
      </c>
    </row>
    <row r="2843" spans="2:6" hidden="1" x14ac:dyDescent="0.2">
      <c r="B2843" s="14">
        <v>2013</v>
      </c>
      <c r="C2843" s="13" t="s">
        <v>2716</v>
      </c>
      <c r="D2843" s="13" t="s">
        <v>2742</v>
      </c>
      <c r="E2843" s="13" t="s">
        <v>1962</v>
      </c>
      <c r="F2843" s="15">
        <v>1</v>
      </c>
    </row>
    <row r="2844" spans="2:6" hidden="1" x14ac:dyDescent="0.2">
      <c r="B2844" s="14">
        <v>2013</v>
      </c>
      <c r="C2844" s="13" t="s">
        <v>2716</v>
      </c>
      <c r="D2844" s="13" t="s">
        <v>2742</v>
      </c>
      <c r="E2844" s="13" t="s">
        <v>2744</v>
      </c>
      <c r="F2844" s="15">
        <v>0</v>
      </c>
    </row>
    <row r="2845" spans="2:6" hidden="1" x14ac:dyDescent="0.2">
      <c r="B2845" s="14">
        <v>2013</v>
      </c>
      <c r="C2845" s="13" t="s">
        <v>2716</v>
      </c>
      <c r="D2845" s="13" t="s">
        <v>2745</v>
      </c>
      <c r="E2845" s="13" t="s">
        <v>2745</v>
      </c>
      <c r="F2845" s="15">
        <v>54</v>
      </c>
    </row>
    <row r="2846" spans="2:6" hidden="1" x14ac:dyDescent="0.2">
      <c r="B2846" s="14">
        <v>2013</v>
      </c>
      <c r="C2846" s="13" t="s">
        <v>2716</v>
      </c>
      <c r="D2846" s="13" t="s">
        <v>2745</v>
      </c>
      <c r="E2846" s="13" t="s">
        <v>2746</v>
      </c>
      <c r="F2846" s="15">
        <v>5</v>
      </c>
    </row>
    <row r="2847" spans="2:6" hidden="1" x14ac:dyDescent="0.2">
      <c r="B2847" s="14">
        <v>2013</v>
      </c>
      <c r="C2847" s="13" t="s">
        <v>2716</v>
      </c>
      <c r="D2847" s="13" t="s">
        <v>2745</v>
      </c>
      <c r="E2847" s="13" t="s">
        <v>2747</v>
      </c>
      <c r="F2847" s="15">
        <v>0</v>
      </c>
    </row>
    <row r="2848" spans="2:6" hidden="1" x14ac:dyDescent="0.2">
      <c r="B2848" s="14">
        <v>2013</v>
      </c>
      <c r="C2848" s="13" t="s">
        <v>2716</v>
      </c>
      <c r="D2848" s="13" t="s">
        <v>2745</v>
      </c>
      <c r="E2848" s="13" t="s">
        <v>1874</v>
      </c>
      <c r="F2848" s="15">
        <v>2</v>
      </c>
    </row>
    <row r="2849" spans="2:6" hidden="1" x14ac:dyDescent="0.2">
      <c r="B2849" s="14">
        <v>2013</v>
      </c>
      <c r="C2849" s="13" t="s">
        <v>2716</v>
      </c>
      <c r="D2849" s="13" t="s">
        <v>2745</v>
      </c>
      <c r="E2849" s="13" t="s">
        <v>2748</v>
      </c>
      <c r="F2849" s="15">
        <v>1</v>
      </c>
    </row>
    <row r="2850" spans="2:6" hidden="1" x14ac:dyDescent="0.2">
      <c r="B2850" s="14">
        <v>2013</v>
      </c>
      <c r="C2850" s="13" t="s">
        <v>2716</v>
      </c>
      <c r="D2850" s="13" t="s">
        <v>2745</v>
      </c>
      <c r="E2850" s="13" t="s">
        <v>2749</v>
      </c>
      <c r="F2850" s="15">
        <v>12</v>
      </c>
    </row>
    <row r="2851" spans="2:6" hidden="1" x14ac:dyDescent="0.2">
      <c r="B2851" s="14">
        <v>2013</v>
      </c>
      <c r="C2851" s="13" t="s">
        <v>2716</v>
      </c>
      <c r="D2851" s="13" t="s">
        <v>2745</v>
      </c>
      <c r="E2851" s="13" t="s">
        <v>2750</v>
      </c>
      <c r="F2851" s="15">
        <v>4</v>
      </c>
    </row>
    <row r="2852" spans="2:6" hidden="1" x14ac:dyDescent="0.2">
      <c r="B2852" s="14">
        <v>2013</v>
      </c>
      <c r="C2852" s="13" t="s">
        <v>2716</v>
      </c>
      <c r="D2852" s="13" t="s">
        <v>2745</v>
      </c>
      <c r="E2852" s="13" t="s">
        <v>2751</v>
      </c>
      <c r="F2852" s="15">
        <v>4</v>
      </c>
    </row>
    <row r="2853" spans="2:6" hidden="1" x14ac:dyDescent="0.2">
      <c r="B2853" s="14">
        <v>2013</v>
      </c>
      <c r="C2853" s="13" t="s">
        <v>2752</v>
      </c>
      <c r="D2853" s="13" t="s">
        <v>2753</v>
      </c>
      <c r="E2853" s="13" t="s">
        <v>2753</v>
      </c>
      <c r="F2853" s="15">
        <v>131</v>
      </c>
    </row>
    <row r="2854" spans="2:6" hidden="1" x14ac:dyDescent="0.2">
      <c r="B2854" s="14">
        <v>2013</v>
      </c>
      <c r="C2854" s="13" t="s">
        <v>2752</v>
      </c>
      <c r="D2854" s="13" t="s">
        <v>2753</v>
      </c>
      <c r="E2854" s="13" t="s">
        <v>2754</v>
      </c>
      <c r="F2854" s="15">
        <v>0</v>
      </c>
    </row>
    <row r="2855" spans="2:6" hidden="1" x14ac:dyDescent="0.2">
      <c r="B2855" s="14">
        <v>2013</v>
      </c>
      <c r="C2855" s="13" t="s">
        <v>2752</v>
      </c>
      <c r="D2855" s="13" t="s">
        <v>2753</v>
      </c>
      <c r="E2855" s="13" t="s">
        <v>2755</v>
      </c>
      <c r="F2855" s="15">
        <v>0</v>
      </c>
    </row>
    <row r="2856" spans="2:6" hidden="1" x14ac:dyDescent="0.2">
      <c r="B2856" s="14">
        <v>2013</v>
      </c>
      <c r="C2856" s="13" t="s">
        <v>2752</v>
      </c>
      <c r="D2856" s="13" t="s">
        <v>2753</v>
      </c>
      <c r="E2856" s="13" t="s">
        <v>2756</v>
      </c>
      <c r="F2856" s="15">
        <v>0</v>
      </c>
    </row>
    <row r="2857" spans="2:6" hidden="1" x14ac:dyDescent="0.2">
      <c r="B2857" s="14">
        <v>2013</v>
      </c>
      <c r="C2857" s="13" t="s">
        <v>2752</v>
      </c>
      <c r="D2857" s="13" t="s">
        <v>2753</v>
      </c>
      <c r="E2857" s="13" t="s">
        <v>2757</v>
      </c>
      <c r="F2857" s="15">
        <v>27</v>
      </c>
    </row>
    <row r="2858" spans="2:6" hidden="1" x14ac:dyDescent="0.2">
      <c r="B2858" s="14">
        <v>2013</v>
      </c>
      <c r="C2858" s="13" t="s">
        <v>2752</v>
      </c>
      <c r="D2858" s="13" t="s">
        <v>2753</v>
      </c>
      <c r="E2858" s="13" t="s">
        <v>2758</v>
      </c>
      <c r="F2858" s="15">
        <v>1</v>
      </c>
    </row>
    <row r="2859" spans="2:6" hidden="1" x14ac:dyDescent="0.2">
      <c r="B2859" s="14">
        <v>2013</v>
      </c>
      <c r="C2859" s="13" t="s">
        <v>2752</v>
      </c>
      <c r="D2859" s="13" t="s">
        <v>2753</v>
      </c>
      <c r="E2859" s="13" t="s">
        <v>2759</v>
      </c>
      <c r="F2859" s="15">
        <v>0</v>
      </c>
    </row>
    <row r="2860" spans="2:6" hidden="1" x14ac:dyDescent="0.2">
      <c r="B2860" s="14">
        <v>2013</v>
      </c>
      <c r="C2860" s="13" t="s">
        <v>2752</v>
      </c>
      <c r="D2860" s="13" t="s">
        <v>2753</v>
      </c>
      <c r="E2860" s="13" t="s">
        <v>2320</v>
      </c>
      <c r="F2860" s="15">
        <v>0</v>
      </c>
    </row>
    <row r="2861" spans="2:6" hidden="1" x14ac:dyDescent="0.2">
      <c r="B2861" s="14">
        <v>2013</v>
      </c>
      <c r="C2861" s="13" t="s">
        <v>2752</v>
      </c>
      <c r="D2861" s="13" t="s">
        <v>2753</v>
      </c>
      <c r="E2861" s="13" t="s">
        <v>2760</v>
      </c>
      <c r="F2861" s="15">
        <v>0</v>
      </c>
    </row>
    <row r="2862" spans="2:6" hidden="1" x14ac:dyDescent="0.2">
      <c r="B2862" s="14">
        <v>2013</v>
      </c>
      <c r="C2862" s="13" t="s">
        <v>2752</v>
      </c>
      <c r="D2862" s="13" t="s">
        <v>2753</v>
      </c>
      <c r="E2862" s="13" t="s">
        <v>2761</v>
      </c>
      <c r="F2862" s="15">
        <v>118</v>
      </c>
    </row>
    <row r="2863" spans="2:6" hidden="1" x14ac:dyDescent="0.2">
      <c r="B2863" s="14">
        <v>2013</v>
      </c>
      <c r="C2863" s="13" t="s">
        <v>2752</v>
      </c>
      <c r="D2863" s="13" t="s">
        <v>2753</v>
      </c>
      <c r="E2863" s="13" t="s">
        <v>2762</v>
      </c>
      <c r="F2863" s="15">
        <v>0</v>
      </c>
    </row>
    <row r="2864" spans="2:6" hidden="1" x14ac:dyDescent="0.2">
      <c r="B2864" s="14">
        <v>2013</v>
      </c>
      <c r="C2864" s="13" t="s">
        <v>2752</v>
      </c>
      <c r="D2864" s="13" t="s">
        <v>2753</v>
      </c>
      <c r="E2864" s="13" t="s">
        <v>2763</v>
      </c>
      <c r="F2864" s="15">
        <v>0</v>
      </c>
    </row>
    <row r="2865" spans="2:6" hidden="1" x14ac:dyDescent="0.2">
      <c r="B2865" s="14">
        <v>2013</v>
      </c>
      <c r="C2865" s="13" t="s">
        <v>2752</v>
      </c>
      <c r="D2865" s="13" t="s">
        <v>2753</v>
      </c>
      <c r="E2865" s="13" t="s">
        <v>2764</v>
      </c>
      <c r="F2865" s="15">
        <v>6</v>
      </c>
    </row>
    <row r="2866" spans="2:6" hidden="1" x14ac:dyDescent="0.2">
      <c r="B2866" s="14">
        <v>2013</v>
      </c>
      <c r="C2866" s="13" t="s">
        <v>2752</v>
      </c>
      <c r="D2866" s="13" t="s">
        <v>2753</v>
      </c>
      <c r="E2866" s="13" t="s">
        <v>2765</v>
      </c>
      <c r="F2866" s="15">
        <v>0</v>
      </c>
    </row>
    <row r="2867" spans="2:6" hidden="1" x14ac:dyDescent="0.2">
      <c r="B2867" s="14">
        <v>2013</v>
      </c>
      <c r="C2867" s="13" t="s">
        <v>2752</v>
      </c>
      <c r="D2867" s="13" t="s">
        <v>2753</v>
      </c>
      <c r="E2867" s="13" t="s">
        <v>2766</v>
      </c>
      <c r="F2867" s="15">
        <v>2</v>
      </c>
    </row>
    <row r="2868" spans="2:6" hidden="1" x14ac:dyDescent="0.2">
      <c r="B2868" s="14">
        <v>2013</v>
      </c>
      <c r="C2868" s="13" t="s">
        <v>2752</v>
      </c>
      <c r="D2868" s="13" t="s">
        <v>2753</v>
      </c>
      <c r="E2868" s="13" t="s">
        <v>2767</v>
      </c>
      <c r="F2868" s="15">
        <v>0</v>
      </c>
    </row>
    <row r="2869" spans="2:6" hidden="1" x14ac:dyDescent="0.2">
      <c r="B2869" s="14">
        <v>2013</v>
      </c>
      <c r="C2869" s="13" t="s">
        <v>2752</v>
      </c>
      <c r="D2869" s="13" t="s">
        <v>2753</v>
      </c>
      <c r="E2869" s="13" t="s">
        <v>1916</v>
      </c>
      <c r="F2869" s="15">
        <v>0</v>
      </c>
    </row>
    <row r="2870" spans="2:6" hidden="1" x14ac:dyDescent="0.2">
      <c r="B2870" s="14">
        <v>2013</v>
      </c>
      <c r="C2870" s="13" t="s">
        <v>2752</v>
      </c>
      <c r="D2870" s="13" t="s">
        <v>2753</v>
      </c>
      <c r="E2870" s="13" t="s">
        <v>2768</v>
      </c>
      <c r="F2870" s="15">
        <v>0</v>
      </c>
    </row>
    <row r="2871" spans="2:6" hidden="1" x14ac:dyDescent="0.2">
      <c r="B2871" s="14">
        <v>2013</v>
      </c>
      <c r="C2871" s="13" t="s">
        <v>2752</v>
      </c>
      <c r="D2871" s="13" t="s">
        <v>2753</v>
      </c>
      <c r="E2871" s="13" t="s">
        <v>2405</v>
      </c>
      <c r="F2871" s="15">
        <v>0</v>
      </c>
    </row>
    <row r="2872" spans="2:6" hidden="1" x14ac:dyDescent="0.2">
      <c r="B2872" s="14">
        <v>2013</v>
      </c>
      <c r="C2872" s="13" t="s">
        <v>2752</v>
      </c>
      <c r="D2872" s="13" t="s">
        <v>2753</v>
      </c>
      <c r="E2872" s="13" t="s">
        <v>2769</v>
      </c>
      <c r="F2872" s="15">
        <v>1</v>
      </c>
    </row>
    <row r="2873" spans="2:6" hidden="1" x14ac:dyDescent="0.2">
      <c r="B2873" s="14">
        <v>2013</v>
      </c>
      <c r="C2873" s="13" t="s">
        <v>2752</v>
      </c>
      <c r="D2873" s="13" t="s">
        <v>2753</v>
      </c>
      <c r="E2873" s="13" t="s">
        <v>2770</v>
      </c>
      <c r="F2873" s="15">
        <v>0</v>
      </c>
    </row>
    <row r="2874" spans="2:6" hidden="1" x14ac:dyDescent="0.2">
      <c r="B2874" s="14">
        <v>2013</v>
      </c>
      <c r="C2874" s="13" t="s">
        <v>2752</v>
      </c>
      <c r="D2874" s="13" t="s">
        <v>2753</v>
      </c>
      <c r="E2874" s="13" t="s">
        <v>2771</v>
      </c>
      <c r="F2874" s="15">
        <v>13</v>
      </c>
    </row>
    <row r="2875" spans="2:6" hidden="1" x14ac:dyDescent="0.2">
      <c r="B2875" s="14">
        <v>2013</v>
      </c>
      <c r="C2875" s="13" t="s">
        <v>2752</v>
      </c>
      <c r="D2875" s="13" t="s">
        <v>2753</v>
      </c>
      <c r="E2875" s="13" t="s">
        <v>2772</v>
      </c>
      <c r="F2875" s="15">
        <v>7</v>
      </c>
    </row>
    <row r="2876" spans="2:6" hidden="1" x14ac:dyDescent="0.2">
      <c r="B2876" s="14">
        <v>2013</v>
      </c>
      <c r="C2876" s="13" t="s">
        <v>2752</v>
      </c>
      <c r="D2876" s="13" t="s">
        <v>2753</v>
      </c>
      <c r="E2876" s="13" t="s">
        <v>2773</v>
      </c>
      <c r="F2876" s="15">
        <v>1</v>
      </c>
    </row>
    <row r="2877" spans="2:6" hidden="1" x14ac:dyDescent="0.2">
      <c r="B2877" s="14">
        <v>2013</v>
      </c>
      <c r="C2877" s="13" t="s">
        <v>2752</v>
      </c>
      <c r="D2877" s="13" t="s">
        <v>2753</v>
      </c>
      <c r="E2877" s="13" t="s">
        <v>2774</v>
      </c>
      <c r="F2877" s="15">
        <v>7</v>
      </c>
    </row>
    <row r="2878" spans="2:6" hidden="1" x14ac:dyDescent="0.2">
      <c r="B2878" s="14">
        <v>2013</v>
      </c>
      <c r="C2878" s="13" t="s">
        <v>2752</v>
      </c>
      <c r="D2878" s="13" t="s">
        <v>2753</v>
      </c>
      <c r="E2878" s="13" t="s">
        <v>2775</v>
      </c>
      <c r="F2878" s="15">
        <v>1</v>
      </c>
    </row>
    <row r="2879" spans="2:6" hidden="1" x14ac:dyDescent="0.2">
      <c r="B2879" s="14">
        <v>2013</v>
      </c>
      <c r="C2879" s="13" t="s">
        <v>2752</v>
      </c>
      <c r="D2879" s="13" t="s">
        <v>2753</v>
      </c>
      <c r="E2879" s="13" t="s">
        <v>2776</v>
      </c>
      <c r="F2879" s="15">
        <v>0</v>
      </c>
    </row>
    <row r="2880" spans="2:6" hidden="1" x14ac:dyDescent="0.2">
      <c r="B2880" s="14">
        <v>2013</v>
      </c>
      <c r="C2880" s="13" t="s">
        <v>2752</v>
      </c>
      <c r="D2880" s="13" t="s">
        <v>2753</v>
      </c>
      <c r="E2880" s="13" t="s">
        <v>2777</v>
      </c>
      <c r="F2880" s="15">
        <v>0</v>
      </c>
    </row>
    <row r="2881" spans="2:6" hidden="1" x14ac:dyDescent="0.2">
      <c r="B2881" s="14">
        <v>2013</v>
      </c>
      <c r="C2881" s="13" t="s">
        <v>2752</v>
      </c>
      <c r="D2881" s="13" t="s">
        <v>2329</v>
      </c>
      <c r="E2881" s="13" t="s">
        <v>2329</v>
      </c>
      <c r="F2881" s="15">
        <v>14</v>
      </c>
    </row>
    <row r="2882" spans="2:6" hidden="1" x14ac:dyDescent="0.2">
      <c r="B2882" s="14">
        <v>2013</v>
      </c>
      <c r="C2882" s="13" t="s">
        <v>2752</v>
      </c>
      <c r="D2882" s="13" t="s">
        <v>2329</v>
      </c>
      <c r="E2882" s="13" t="s">
        <v>1929</v>
      </c>
      <c r="F2882" s="15">
        <v>0</v>
      </c>
    </row>
    <row r="2883" spans="2:6" hidden="1" x14ac:dyDescent="0.2">
      <c r="B2883" s="14">
        <v>2013</v>
      </c>
      <c r="C2883" s="13" t="s">
        <v>2752</v>
      </c>
      <c r="D2883" s="13" t="s">
        <v>2329</v>
      </c>
      <c r="E2883" s="13" t="s">
        <v>2778</v>
      </c>
      <c r="F2883" s="15">
        <v>0</v>
      </c>
    </row>
    <row r="2884" spans="2:6" hidden="1" x14ac:dyDescent="0.2">
      <c r="B2884" s="14">
        <v>2013</v>
      </c>
      <c r="C2884" s="13" t="s">
        <v>2752</v>
      </c>
      <c r="D2884" s="13" t="s">
        <v>2329</v>
      </c>
      <c r="E2884" s="13" t="s">
        <v>2779</v>
      </c>
      <c r="F2884" s="15">
        <v>0</v>
      </c>
    </row>
    <row r="2885" spans="2:6" hidden="1" x14ac:dyDescent="0.2">
      <c r="B2885" s="14">
        <v>2013</v>
      </c>
      <c r="C2885" s="13" t="s">
        <v>2752</v>
      </c>
      <c r="D2885" s="13" t="s">
        <v>2329</v>
      </c>
      <c r="E2885" s="13" t="s">
        <v>1978</v>
      </c>
      <c r="F2885" s="15">
        <v>0</v>
      </c>
    </row>
    <row r="2886" spans="2:6" hidden="1" x14ac:dyDescent="0.2">
      <c r="B2886" s="14">
        <v>2013</v>
      </c>
      <c r="C2886" s="13" t="s">
        <v>2752</v>
      </c>
      <c r="D2886" s="13" t="s">
        <v>2329</v>
      </c>
      <c r="E2886" s="13" t="s">
        <v>2780</v>
      </c>
      <c r="F2886" s="15">
        <v>0</v>
      </c>
    </row>
    <row r="2887" spans="2:6" hidden="1" x14ac:dyDescent="0.2">
      <c r="B2887" s="14">
        <v>2013</v>
      </c>
      <c r="C2887" s="13" t="s">
        <v>2752</v>
      </c>
      <c r="D2887" s="13" t="s">
        <v>2329</v>
      </c>
      <c r="E2887" s="13" t="s">
        <v>2781</v>
      </c>
      <c r="F2887" s="15">
        <v>0</v>
      </c>
    </row>
    <row r="2888" spans="2:6" hidden="1" x14ac:dyDescent="0.2">
      <c r="B2888" s="14">
        <v>2013</v>
      </c>
      <c r="C2888" s="13" t="s">
        <v>2752</v>
      </c>
      <c r="D2888" s="13" t="s">
        <v>2329</v>
      </c>
      <c r="E2888" s="13" t="s">
        <v>2782</v>
      </c>
      <c r="F2888" s="15">
        <v>0</v>
      </c>
    </row>
    <row r="2889" spans="2:6" hidden="1" x14ac:dyDescent="0.2">
      <c r="B2889" s="14">
        <v>2013</v>
      </c>
      <c r="C2889" s="13" t="s">
        <v>2752</v>
      </c>
      <c r="D2889" s="13" t="s">
        <v>2329</v>
      </c>
      <c r="E2889" s="13" t="s">
        <v>1793</v>
      </c>
      <c r="F2889" s="15">
        <v>5</v>
      </c>
    </row>
    <row r="2890" spans="2:6" hidden="1" x14ac:dyDescent="0.2">
      <c r="B2890" s="14">
        <v>2013</v>
      </c>
      <c r="C2890" s="13" t="s">
        <v>2752</v>
      </c>
      <c r="D2890" s="13" t="s">
        <v>2329</v>
      </c>
      <c r="E2890" s="13" t="s">
        <v>2783</v>
      </c>
      <c r="F2890" s="15">
        <v>1</v>
      </c>
    </row>
    <row r="2891" spans="2:6" hidden="1" x14ac:dyDescent="0.2">
      <c r="B2891" s="14">
        <v>2013</v>
      </c>
      <c r="C2891" s="13" t="s">
        <v>2752</v>
      </c>
      <c r="D2891" s="13" t="s">
        <v>2329</v>
      </c>
      <c r="E2891" s="13" t="s">
        <v>2784</v>
      </c>
      <c r="F2891" s="15">
        <v>0</v>
      </c>
    </row>
    <row r="2892" spans="2:6" hidden="1" x14ac:dyDescent="0.2">
      <c r="B2892" s="14">
        <v>2013</v>
      </c>
      <c r="C2892" s="13" t="s">
        <v>2752</v>
      </c>
      <c r="D2892" s="13" t="s">
        <v>2329</v>
      </c>
      <c r="E2892" s="13" t="s">
        <v>2785</v>
      </c>
      <c r="F2892" s="15">
        <v>0</v>
      </c>
    </row>
    <row r="2893" spans="2:6" hidden="1" x14ac:dyDescent="0.2">
      <c r="B2893" s="14">
        <v>2013</v>
      </c>
      <c r="C2893" s="13" t="s">
        <v>2752</v>
      </c>
      <c r="D2893" s="13" t="s">
        <v>2329</v>
      </c>
      <c r="E2893" s="13" t="s">
        <v>2786</v>
      </c>
      <c r="F2893" s="15">
        <v>0</v>
      </c>
    </row>
    <row r="2894" spans="2:6" hidden="1" x14ac:dyDescent="0.2">
      <c r="B2894" s="14">
        <v>2013</v>
      </c>
      <c r="C2894" s="13" t="s">
        <v>2752</v>
      </c>
      <c r="D2894" s="13" t="s">
        <v>2329</v>
      </c>
      <c r="E2894" s="13" t="s">
        <v>2787</v>
      </c>
      <c r="F2894" s="15">
        <v>0</v>
      </c>
    </row>
    <row r="2895" spans="2:6" hidden="1" x14ac:dyDescent="0.2">
      <c r="B2895" s="14">
        <v>2013</v>
      </c>
      <c r="C2895" s="13" t="s">
        <v>2752</v>
      </c>
      <c r="D2895" s="13" t="s">
        <v>2329</v>
      </c>
      <c r="E2895" s="13" t="s">
        <v>2788</v>
      </c>
      <c r="F2895" s="15">
        <v>0</v>
      </c>
    </row>
    <row r="2896" spans="2:6" hidden="1" x14ac:dyDescent="0.2">
      <c r="B2896" s="14">
        <v>2013</v>
      </c>
      <c r="C2896" s="13" t="s">
        <v>2752</v>
      </c>
      <c r="D2896" s="13" t="s">
        <v>2789</v>
      </c>
      <c r="E2896" s="13" t="s">
        <v>2789</v>
      </c>
      <c r="F2896" s="15">
        <v>32</v>
      </c>
    </row>
    <row r="2897" spans="2:6" hidden="1" x14ac:dyDescent="0.2">
      <c r="B2897" s="14">
        <v>2013</v>
      </c>
      <c r="C2897" s="13" t="s">
        <v>2752</v>
      </c>
      <c r="D2897" s="13" t="s">
        <v>2789</v>
      </c>
      <c r="E2897" s="13" t="s">
        <v>2790</v>
      </c>
      <c r="F2897" s="15">
        <v>2</v>
      </c>
    </row>
    <row r="2898" spans="2:6" hidden="1" x14ac:dyDescent="0.2">
      <c r="B2898" s="14">
        <v>2013</v>
      </c>
      <c r="C2898" s="13" t="s">
        <v>2752</v>
      </c>
      <c r="D2898" s="13" t="s">
        <v>2789</v>
      </c>
      <c r="E2898" s="13" t="s">
        <v>2791</v>
      </c>
      <c r="F2898" s="15">
        <v>8</v>
      </c>
    </row>
    <row r="2899" spans="2:6" hidden="1" x14ac:dyDescent="0.2">
      <c r="B2899" s="14">
        <v>2013</v>
      </c>
      <c r="C2899" s="13" t="s">
        <v>2752</v>
      </c>
      <c r="D2899" s="13" t="s">
        <v>2789</v>
      </c>
      <c r="E2899" s="13" t="s">
        <v>2792</v>
      </c>
      <c r="F2899" s="15">
        <v>0</v>
      </c>
    </row>
    <row r="2900" spans="2:6" hidden="1" x14ac:dyDescent="0.2">
      <c r="B2900" s="14">
        <v>2013</v>
      </c>
      <c r="C2900" s="13" t="s">
        <v>2752</v>
      </c>
      <c r="D2900" s="13" t="s">
        <v>2789</v>
      </c>
      <c r="E2900" s="13" t="s">
        <v>2793</v>
      </c>
      <c r="F2900" s="15">
        <v>15</v>
      </c>
    </row>
    <row r="2901" spans="2:6" hidden="1" x14ac:dyDescent="0.2">
      <c r="B2901" s="14">
        <v>2013</v>
      </c>
      <c r="C2901" s="13" t="s">
        <v>2752</v>
      </c>
      <c r="D2901" s="13" t="s">
        <v>2789</v>
      </c>
      <c r="E2901" s="13" t="s">
        <v>2794</v>
      </c>
      <c r="F2901" s="15">
        <v>0</v>
      </c>
    </row>
    <row r="2902" spans="2:6" hidden="1" x14ac:dyDescent="0.2">
      <c r="B2902" s="14">
        <v>2013</v>
      </c>
      <c r="C2902" s="13" t="s">
        <v>2752</v>
      </c>
      <c r="D2902" s="13" t="s">
        <v>2795</v>
      </c>
      <c r="E2902" s="13" t="s">
        <v>2795</v>
      </c>
      <c r="F2902" s="15">
        <v>6</v>
      </c>
    </row>
    <row r="2903" spans="2:6" hidden="1" x14ac:dyDescent="0.2">
      <c r="B2903" s="14">
        <v>2013</v>
      </c>
      <c r="C2903" s="13" t="s">
        <v>2752</v>
      </c>
      <c r="D2903" s="13" t="s">
        <v>2795</v>
      </c>
      <c r="E2903" s="13" t="s">
        <v>2796</v>
      </c>
      <c r="F2903" s="15">
        <v>0</v>
      </c>
    </row>
    <row r="2904" spans="2:6" hidden="1" x14ac:dyDescent="0.2">
      <c r="B2904" s="14">
        <v>2013</v>
      </c>
      <c r="C2904" s="13" t="s">
        <v>2752</v>
      </c>
      <c r="D2904" s="13" t="s">
        <v>2795</v>
      </c>
      <c r="E2904" s="13" t="s">
        <v>2797</v>
      </c>
      <c r="F2904" s="15">
        <v>0</v>
      </c>
    </row>
    <row r="2905" spans="2:6" hidden="1" x14ac:dyDescent="0.2">
      <c r="B2905" s="14">
        <v>2013</v>
      </c>
      <c r="C2905" s="13" t="s">
        <v>2752</v>
      </c>
      <c r="D2905" s="13" t="s">
        <v>2795</v>
      </c>
      <c r="E2905" s="13" t="s">
        <v>2798</v>
      </c>
      <c r="F2905" s="15">
        <v>0</v>
      </c>
    </row>
    <row r="2906" spans="2:6" hidden="1" x14ac:dyDescent="0.2">
      <c r="B2906" s="14">
        <v>2013</v>
      </c>
      <c r="C2906" s="13" t="s">
        <v>2752</v>
      </c>
      <c r="D2906" s="13" t="s">
        <v>2795</v>
      </c>
      <c r="E2906" s="13" t="s">
        <v>2799</v>
      </c>
      <c r="F2906" s="15">
        <v>0</v>
      </c>
    </row>
    <row r="2907" spans="2:6" hidden="1" x14ac:dyDescent="0.2">
      <c r="B2907" s="14">
        <v>2013</v>
      </c>
      <c r="C2907" s="13" t="s">
        <v>2752</v>
      </c>
      <c r="D2907" s="13" t="s">
        <v>2795</v>
      </c>
      <c r="E2907" s="13" t="s">
        <v>2800</v>
      </c>
      <c r="F2907" s="15">
        <v>3</v>
      </c>
    </row>
    <row r="2908" spans="2:6" hidden="1" x14ac:dyDescent="0.2">
      <c r="B2908" s="14">
        <v>2013</v>
      </c>
      <c r="C2908" s="13" t="s">
        <v>2752</v>
      </c>
      <c r="D2908" s="13" t="s">
        <v>2795</v>
      </c>
      <c r="E2908" s="13" t="s">
        <v>2801</v>
      </c>
      <c r="F2908" s="15">
        <v>0</v>
      </c>
    </row>
    <row r="2909" spans="2:6" hidden="1" x14ac:dyDescent="0.2">
      <c r="B2909" s="14">
        <v>2013</v>
      </c>
      <c r="C2909" s="13" t="s">
        <v>2752</v>
      </c>
      <c r="D2909" s="13" t="s">
        <v>2795</v>
      </c>
      <c r="E2909" s="13" t="s">
        <v>2802</v>
      </c>
      <c r="F2909" s="15">
        <v>0</v>
      </c>
    </row>
    <row r="2910" spans="2:6" hidden="1" x14ac:dyDescent="0.2">
      <c r="B2910" s="14">
        <v>2013</v>
      </c>
      <c r="C2910" s="13" t="s">
        <v>2752</v>
      </c>
      <c r="D2910" s="13" t="s">
        <v>2795</v>
      </c>
      <c r="E2910" s="13" t="s">
        <v>2803</v>
      </c>
      <c r="F2910" s="15">
        <v>0</v>
      </c>
    </row>
    <row r="2911" spans="2:6" hidden="1" x14ac:dyDescent="0.2">
      <c r="B2911" s="14">
        <v>2013</v>
      </c>
      <c r="C2911" s="13" t="s">
        <v>2752</v>
      </c>
      <c r="D2911" s="13" t="s">
        <v>2795</v>
      </c>
      <c r="E2911" s="13" t="s">
        <v>2804</v>
      </c>
      <c r="F2911" s="15">
        <v>0</v>
      </c>
    </row>
    <row r="2912" spans="2:6" hidden="1" x14ac:dyDescent="0.2">
      <c r="B2912" s="14">
        <v>2013</v>
      </c>
      <c r="C2912" s="13" t="s">
        <v>2752</v>
      </c>
      <c r="D2912" s="13" t="s">
        <v>2795</v>
      </c>
      <c r="E2912" s="13" t="s">
        <v>2805</v>
      </c>
      <c r="F2912" s="15">
        <v>0</v>
      </c>
    </row>
    <row r="2913" spans="2:6" hidden="1" x14ac:dyDescent="0.2">
      <c r="B2913" s="14">
        <v>2013</v>
      </c>
      <c r="C2913" s="13" t="s">
        <v>2752</v>
      </c>
      <c r="D2913" s="13" t="s">
        <v>2795</v>
      </c>
      <c r="E2913" s="13" t="s">
        <v>2806</v>
      </c>
      <c r="F2913" s="15">
        <v>0</v>
      </c>
    </row>
    <row r="2914" spans="2:6" hidden="1" x14ac:dyDescent="0.2">
      <c r="B2914" s="14">
        <v>2013</v>
      </c>
      <c r="C2914" s="13" t="s">
        <v>2752</v>
      </c>
      <c r="D2914" s="13" t="s">
        <v>2795</v>
      </c>
      <c r="E2914" s="13" t="s">
        <v>2807</v>
      </c>
      <c r="F2914" s="15">
        <v>0</v>
      </c>
    </row>
    <row r="2915" spans="2:6" hidden="1" x14ac:dyDescent="0.2">
      <c r="B2915" s="14">
        <v>2013</v>
      </c>
      <c r="C2915" s="13" t="s">
        <v>2752</v>
      </c>
      <c r="D2915" s="13" t="s">
        <v>2795</v>
      </c>
      <c r="E2915" s="13" t="s">
        <v>2808</v>
      </c>
      <c r="F2915" s="15">
        <v>0</v>
      </c>
    </row>
    <row r="2916" spans="2:6" hidden="1" x14ac:dyDescent="0.2">
      <c r="B2916" s="14">
        <v>2013</v>
      </c>
      <c r="C2916" s="13" t="s">
        <v>2752</v>
      </c>
      <c r="D2916" s="13" t="s">
        <v>2795</v>
      </c>
      <c r="E2916" s="13" t="s">
        <v>2809</v>
      </c>
      <c r="F2916" s="15">
        <v>0</v>
      </c>
    </row>
    <row r="2917" spans="2:6" hidden="1" x14ac:dyDescent="0.2">
      <c r="B2917" s="14">
        <v>2013</v>
      </c>
      <c r="C2917" s="13" t="s">
        <v>2752</v>
      </c>
      <c r="D2917" s="13" t="s">
        <v>2795</v>
      </c>
      <c r="E2917" s="13" t="s">
        <v>2810</v>
      </c>
      <c r="F2917" s="15">
        <v>0</v>
      </c>
    </row>
    <row r="2918" spans="2:6" hidden="1" x14ac:dyDescent="0.2">
      <c r="B2918" s="14">
        <v>2013</v>
      </c>
      <c r="C2918" s="13" t="s">
        <v>2752</v>
      </c>
      <c r="D2918" s="13" t="s">
        <v>2795</v>
      </c>
      <c r="E2918" s="13" t="s">
        <v>2811</v>
      </c>
      <c r="F2918" s="15">
        <v>0</v>
      </c>
    </row>
    <row r="2919" spans="2:6" hidden="1" x14ac:dyDescent="0.2">
      <c r="B2919" s="14">
        <v>2013</v>
      </c>
      <c r="C2919" s="13" t="s">
        <v>2752</v>
      </c>
      <c r="D2919" s="13" t="s">
        <v>2795</v>
      </c>
      <c r="E2919" s="13" t="s">
        <v>2812</v>
      </c>
      <c r="F2919" s="15">
        <v>1</v>
      </c>
    </row>
    <row r="2920" spans="2:6" hidden="1" x14ac:dyDescent="0.2">
      <c r="B2920" s="14">
        <v>2013</v>
      </c>
      <c r="C2920" s="13" t="s">
        <v>2752</v>
      </c>
      <c r="D2920" s="13" t="s">
        <v>2795</v>
      </c>
      <c r="E2920" s="13" t="s">
        <v>2813</v>
      </c>
      <c r="F2920" s="15">
        <v>0</v>
      </c>
    </row>
    <row r="2921" spans="2:6" hidden="1" x14ac:dyDescent="0.2">
      <c r="B2921" s="14">
        <v>2013</v>
      </c>
      <c r="C2921" s="13" t="s">
        <v>2752</v>
      </c>
      <c r="D2921" s="13" t="s">
        <v>2795</v>
      </c>
      <c r="E2921" s="13" t="s">
        <v>2814</v>
      </c>
      <c r="F2921" s="15">
        <v>0</v>
      </c>
    </row>
    <row r="2922" spans="2:6" hidden="1" x14ac:dyDescent="0.2">
      <c r="B2922" s="14">
        <v>2013</v>
      </c>
      <c r="C2922" s="13" t="s">
        <v>2752</v>
      </c>
      <c r="D2922" s="13" t="s">
        <v>2795</v>
      </c>
      <c r="E2922" s="13" t="s">
        <v>2815</v>
      </c>
      <c r="F2922" s="15">
        <v>0</v>
      </c>
    </row>
    <row r="2923" spans="2:6" hidden="1" x14ac:dyDescent="0.2">
      <c r="B2923" s="14">
        <v>2013</v>
      </c>
      <c r="C2923" s="13" t="s">
        <v>2752</v>
      </c>
      <c r="D2923" s="13" t="s">
        <v>2795</v>
      </c>
      <c r="E2923" s="13" t="s">
        <v>2816</v>
      </c>
      <c r="F2923" s="15">
        <v>0</v>
      </c>
    </row>
    <row r="2924" spans="2:6" hidden="1" x14ac:dyDescent="0.2">
      <c r="B2924" s="14">
        <v>2013</v>
      </c>
      <c r="C2924" s="13" t="s">
        <v>2752</v>
      </c>
      <c r="D2924" s="13" t="s">
        <v>2795</v>
      </c>
      <c r="E2924" s="13" t="s">
        <v>2367</v>
      </c>
      <c r="F2924" s="15">
        <v>1</v>
      </c>
    </row>
    <row r="2925" spans="2:6" hidden="1" x14ac:dyDescent="0.2">
      <c r="B2925" s="14">
        <v>2013</v>
      </c>
      <c r="C2925" s="13" t="s">
        <v>2752</v>
      </c>
      <c r="D2925" s="13" t="s">
        <v>2795</v>
      </c>
      <c r="E2925" s="13" t="s">
        <v>2817</v>
      </c>
      <c r="F2925" s="15">
        <v>0</v>
      </c>
    </row>
    <row r="2926" spans="2:6" hidden="1" x14ac:dyDescent="0.2">
      <c r="B2926" s="14">
        <v>2013</v>
      </c>
      <c r="C2926" s="13" t="s">
        <v>2752</v>
      </c>
      <c r="D2926" s="13" t="s">
        <v>2795</v>
      </c>
      <c r="E2926" s="13" t="s">
        <v>2818</v>
      </c>
      <c r="F2926" s="15">
        <v>0</v>
      </c>
    </row>
    <row r="2927" spans="2:6" hidden="1" x14ac:dyDescent="0.2">
      <c r="B2927" s="14">
        <v>2013</v>
      </c>
      <c r="C2927" s="13" t="s">
        <v>2752</v>
      </c>
      <c r="D2927" s="13" t="s">
        <v>2795</v>
      </c>
      <c r="E2927" s="13" t="s">
        <v>2819</v>
      </c>
      <c r="F2927" s="15">
        <v>0</v>
      </c>
    </row>
    <row r="2928" spans="2:6" hidden="1" x14ac:dyDescent="0.2">
      <c r="B2928" s="14">
        <v>2013</v>
      </c>
      <c r="C2928" s="13" t="s">
        <v>2752</v>
      </c>
      <c r="D2928" s="13" t="s">
        <v>2795</v>
      </c>
      <c r="E2928" s="13" t="s">
        <v>2820</v>
      </c>
      <c r="F2928" s="15">
        <v>0</v>
      </c>
    </row>
    <row r="2929" spans="2:6" hidden="1" x14ac:dyDescent="0.2">
      <c r="B2929" s="14">
        <v>2013</v>
      </c>
      <c r="C2929" s="13" t="s">
        <v>2752</v>
      </c>
      <c r="D2929" s="13" t="s">
        <v>2795</v>
      </c>
      <c r="E2929" s="13" t="s">
        <v>2821</v>
      </c>
      <c r="F2929" s="15">
        <v>1</v>
      </c>
    </row>
    <row r="2930" spans="2:6" hidden="1" x14ac:dyDescent="0.2">
      <c r="B2930" s="14">
        <v>2013</v>
      </c>
      <c r="C2930" s="13" t="s">
        <v>2752</v>
      </c>
      <c r="D2930" s="13" t="s">
        <v>2795</v>
      </c>
      <c r="E2930" s="13" t="s">
        <v>2822</v>
      </c>
      <c r="F2930" s="15">
        <v>0</v>
      </c>
    </row>
    <row r="2931" spans="2:6" hidden="1" x14ac:dyDescent="0.2">
      <c r="B2931" s="14">
        <v>2013</v>
      </c>
      <c r="C2931" s="13" t="s">
        <v>2752</v>
      </c>
      <c r="D2931" s="13" t="s">
        <v>2795</v>
      </c>
      <c r="E2931" s="13" t="s">
        <v>2823</v>
      </c>
      <c r="F2931" s="15">
        <v>0</v>
      </c>
    </row>
    <row r="2932" spans="2:6" hidden="1" x14ac:dyDescent="0.2">
      <c r="B2932" s="14">
        <v>2013</v>
      </c>
      <c r="C2932" s="13" t="s">
        <v>2752</v>
      </c>
      <c r="D2932" s="13" t="s">
        <v>2795</v>
      </c>
      <c r="E2932" s="13" t="s">
        <v>2824</v>
      </c>
      <c r="F2932" s="15">
        <v>0</v>
      </c>
    </row>
    <row r="2933" spans="2:6" hidden="1" x14ac:dyDescent="0.2">
      <c r="B2933" s="14">
        <v>2013</v>
      </c>
      <c r="C2933" s="13" t="s">
        <v>2752</v>
      </c>
      <c r="D2933" s="13" t="s">
        <v>2795</v>
      </c>
      <c r="E2933" s="13" t="s">
        <v>2825</v>
      </c>
      <c r="F2933" s="15">
        <v>0</v>
      </c>
    </row>
    <row r="2934" spans="2:6" hidden="1" x14ac:dyDescent="0.2">
      <c r="B2934" s="14">
        <v>2013</v>
      </c>
      <c r="C2934" s="13" t="s">
        <v>2752</v>
      </c>
      <c r="D2934" s="13" t="s">
        <v>2795</v>
      </c>
      <c r="E2934" s="13" t="s">
        <v>2569</v>
      </c>
      <c r="F2934" s="15">
        <v>0</v>
      </c>
    </row>
    <row r="2935" spans="2:6" hidden="1" x14ac:dyDescent="0.2">
      <c r="B2935" s="14">
        <v>2013</v>
      </c>
      <c r="C2935" s="13" t="s">
        <v>2752</v>
      </c>
      <c r="D2935" s="13" t="s">
        <v>2795</v>
      </c>
      <c r="E2935" s="13" t="s">
        <v>2826</v>
      </c>
      <c r="F2935" s="15">
        <v>2</v>
      </c>
    </row>
    <row r="2936" spans="2:6" hidden="1" x14ac:dyDescent="0.2">
      <c r="B2936" s="14">
        <v>2013</v>
      </c>
      <c r="C2936" s="13" t="s">
        <v>2752</v>
      </c>
      <c r="D2936" s="13" t="s">
        <v>2752</v>
      </c>
      <c r="E2936" s="13" t="s">
        <v>2752</v>
      </c>
      <c r="F2936" s="15">
        <v>0</v>
      </c>
    </row>
    <row r="2937" spans="2:6" hidden="1" x14ac:dyDescent="0.2">
      <c r="B2937" s="14">
        <v>2013</v>
      </c>
      <c r="C2937" s="13" t="s">
        <v>2752</v>
      </c>
      <c r="D2937" s="13" t="s">
        <v>2752</v>
      </c>
      <c r="E2937" s="13" t="s">
        <v>2827</v>
      </c>
      <c r="F2937" s="15">
        <v>2</v>
      </c>
    </row>
    <row r="2938" spans="2:6" hidden="1" x14ac:dyDescent="0.2">
      <c r="B2938" s="14">
        <v>2013</v>
      </c>
      <c r="C2938" s="13" t="s">
        <v>2752</v>
      </c>
      <c r="D2938" s="13" t="s">
        <v>2752</v>
      </c>
      <c r="E2938" s="13" t="s">
        <v>2828</v>
      </c>
      <c r="F2938" s="15">
        <v>0</v>
      </c>
    </row>
    <row r="2939" spans="2:6" hidden="1" x14ac:dyDescent="0.2">
      <c r="B2939" s="14">
        <v>2013</v>
      </c>
      <c r="C2939" s="13" t="s">
        <v>2752</v>
      </c>
      <c r="D2939" s="13" t="s">
        <v>2752</v>
      </c>
      <c r="E2939" s="13" t="s">
        <v>2829</v>
      </c>
      <c r="F2939" s="15">
        <v>0</v>
      </c>
    </row>
    <row r="2940" spans="2:6" hidden="1" x14ac:dyDescent="0.2">
      <c r="B2940" s="14">
        <v>2013</v>
      </c>
      <c r="C2940" s="13" t="s">
        <v>2752</v>
      </c>
      <c r="D2940" s="13" t="s">
        <v>2830</v>
      </c>
      <c r="E2940" s="13" t="s">
        <v>2830</v>
      </c>
      <c r="F2940" s="15">
        <v>45</v>
      </c>
    </row>
    <row r="2941" spans="2:6" hidden="1" x14ac:dyDescent="0.2">
      <c r="B2941" s="14">
        <v>2013</v>
      </c>
      <c r="C2941" s="13" t="s">
        <v>2752</v>
      </c>
      <c r="D2941" s="13" t="s">
        <v>2830</v>
      </c>
      <c r="E2941" s="13" t="s">
        <v>2831</v>
      </c>
      <c r="F2941" s="15">
        <v>2</v>
      </c>
    </row>
    <row r="2942" spans="2:6" hidden="1" x14ac:dyDescent="0.2">
      <c r="B2942" s="14">
        <v>2013</v>
      </c>
      <c r="C2942" s="13" t="s">
        <v>2752</v>
      </c>
      <c r="D2942" s="13" t="s">
        <v>2830</v>
      </c>
      <c r="E2942" s="13" t="s">
        <v>2832</v>
      </c>
      <c r="F2942" s="15">
        <v>0</v>
      </c>
    </row>
    <row r="2943" spans="2:6" hidden="1" x14ac:dyDescent="0.2">
      <c r="B2943" s="14">
        <v>2013</v>
      </c>
      <c r="C2943" s="13" t="s">
        <v>2752</v>
      </c>
      <c r="D2943" s="13" t="s">
        <v>2830</v>
      </c>
      <c r="E2943" s="13" t="s">
        <v>2833</v>
      </c>
      <c r="F2943" s="15">
        <v>13</v>
      </c>
    </row>
    <row r="2944" spans="2:6" hidden="1" x14ac:dyDescent="0.2">
      <c r="B2944" s="14">
        <v>2013</v>
      </c>
      <c r="C2944" s="13" t="s">
        <v>2752</v>
      </c>
      <c r="D2944" s="13" t="s">
        <v>2830</v>
      </c>
      <c r="E2944" s="13" t="s">
        <v>2834</v>
      </c>
      <c r="F2944" s="15">
        <v>0</v>
      </c>
    </row>
    <row r="2945" spans="2:6" hidden="1" x14ac:dyDescent="0.2">
      <c r="B2945" s="14">
        <v>2013</v>
      </c>
      <c r="C2945" s="13" t="s">
        <v>2752</v>
      </c>
      <c r="D2945" s="13" t="s">
        <v>2830</v>
      </c>
      <c r="E2945" s="13" t="s">
        <v>2835</v>
      </c>
      <c r="F2945" s="15">
        <v>7</v>
      </c>
    </row>
    <row r="2946" spans="2:6" hidden="1" x14ac:dyDescent="0.2">
      <c r="B2946" s="14">
        <v>2013</v>
      </c>
      <c r="C2946" s="13" t="s">
        <v>2752</v>
      </c>
      <c r="D2946" s="13" t="s">
        <v>2830</v>
      </c>
      <c r="E2946" s="13" t="s">
        <v>2836</v>
      </c>
      <c r="F2946" s="15">
        <v>14</v>
      </c>
    </row>
    <row r="2947" spans="2:6" hidden="1" x14ac:dyDescent="0.2">
      <c r="B2947" s="14">
        <v>2013</v>
      </c>
      <c r="C2947" s="13" t="s">
        <v>2752</v>
      </c>
      <c r="D2947" s="13" t="s">
        <v>2830</v>
      </c>
      <c r="E2947" s="13" t="s">
        <v>2837</v>
      </c>
      <c r="F2947" s="15">
        <v>1</v>
      </c>
    </row>
    <row r="2948" spans="2:6" hidden="1" x14ac:dyDescent="0.2">
      <c r="B2948" s="14">
        <v>2013</v>
      </c>
      <c r="C2948" s="13" t="s">
        <v>2752</v>
      </c>
      <c r="D2948" s="13" t="s">
        <v>2838</v>
      </c>
      <c r="E2948" s="13" t="s">
        <v>2838</v>
      </c>
      <c r="F2948" s="15">
        <v>13</v>
      </c>
    </row>
    <row r="2949" spans="2:6" hidden="1" x14ac:dyDescent="0.2">
      <c r="B2949" s="14">
        <v>2013</v>
      </c>
      <c r="C2949" s="13" t="s">
        <v>2752</v>
      </c>
      <c r="D2949" s="13" t="s">
        <v>2838</v>
      </c>
      <c r="E2949" s="13" t="s">
        <v>2016</v>
      </c>
      <c r="F2949" s="15">
        <v>1</v>
      </c>
    </row>
    <row r="2950" spans="2:6" hidden="1" x14ac:dyDescent="0.2">
      <c r="B2950" s="14">
        <v>2013</v>
      </c>
      <c r="C2950" s="13" t="s">
        <v>2752</v>
      </c>
      <c r="D2950" s="13" t="s">
        <v>2838</v>
      </c>
      <c r="E2950" s="13" t="s">
        <v>2839</v>
      </c>
      <c r="F2950" s="15">
        <v>0</v>
      </c>
    </row>
    <row r="2951" spans="2:6" hidden="1" x14ac:dyDescent="0.2">
      <c r="B2951" s="14">
        <v>2013</v>
      </c>
      <c r="C2951" s="13" t="s">
        <v>2752</v>
      </c>
      <c r="D2951" s="13" t="s">
        <v>2838</v>
      </c>
      <c r="E2951" s="13" t="s">
        <v>2840</v>
      </c>
      <c r="F2951" s="15">
        <v>1</v>
      </c>
    </row>
    <row r="2952" spans="2:6" hidden="1" x14ac:dyDescent="0.2">
      <c r="B2952" s="14">
        <v>2013</v>
      </c>
      <c r="C2952" s="13" t="s">
        <v>2752</v>
      </c>
      <c r="D2952" s="13" t="s">
        <v>2838</v>
      </c>
      <c r="E2952" s="13" t="s">
        <v>2211</v>
      </c>
      <c r="F2952" s="15">
        <v>0</v>
      </c>
    </row>
    <row r="2953" spans="2:6" hidden="1" x14ac:dyDescent="0.2">
      <c r="B2953" s="14">
        <v>2013</v>
      </c>
      <c r="C2953" s="13" t="s">
        <v>2752</v>
      </c>
      <c r="D2953" s="13" t="s">
        <v>2838</v>
      </c>
      <c r="E2953" s="13" t="s">
        <v>2566</v>
      </c>
      <c r="F2953" s="15">
        <v>0</v>
      </c>
    </row>
    <row r="2954" spans="2:6" hidden="1" x14ac:dyDescent="0.2">
      <c r="B2954" s="14">
        <v>2013</v>
      </c>
      <c r="C2954" s="13" t="s">
        <v>2752</v>
      </c>
      <c r="D2954" s="13" t="s">
        <v>2838</v>
      </c>
      <c r="E2954" s="13" t="s">
        <v>2841</v>
      </c>
      <c r="F2954" s="15">
        <v>0</v>
      </c>
    </row>
    <row r="2955" spans="2:6" hidden="1" x14ac:dyDescent="0.2">
      <c r="B2955" s="14">
        <v>2013</v>
      </c>
      <c r="C2955" s="13" t="s">
        <v>2752</v>
      </c>
      <c r="D2955" s="13" t="s">
        <v>2838</v>
      </c>
      <c r="E2955" s="13" t="s">
        <v>2842</v>
      </c>
      <c r="F2955" s="15">
        <v>0</v>
      </c>
    </row>
    <row r="2956" spans="2:6" hidden="1" x14ac:dyDescent="0.2">
      <c r="B2956" s="14">
        <v>2013</v>
      </c>
      <c r="C2956" s="13" t="s">
        <v>2752</v>
      </c>
      <c r="D2956" s="13" t="s">
        <v>2838</v>
      </c>
      <c r="E2956" s="13" t="s">
        <v>2843</v>
      </c>
      <c r="F2956" s="15">
        <v>0</v>
      </c>
    </row>
    <row r="2957" spans="2:6" hidden="1" x14ac:dyDescent="0.2">
      <c r="B2957" s="14">
        <v>2013</v>
      </c>
      <c r="C2957" s="13" t="s">
        <v>2752</v>
      </c>
      <c r="D2957" s="13" t="s">
        <v>2569</v>
      </c>
      <c r="E2957" s="13" t="s">
        <v>2844</v>
      </c>
      <c r="F2957" s="15">
        <v>13</v>
      </c>
    </row>
    <row r="2958" spans="2:6" hidden="1" x14ac:dyDescent="0.2">
      <c r="B2958" s="14">
        <v>2013</v>
      </c>
      <c r="C2958" s="13" t="s">
        <v>2752</v>
      </c>
      <c r="D2958" s="13" t="s">
        <v>2569</v>
      </c>
      <c r="E2958" s="13" t="s">
        <v>2845</v>
      </c>
      <c r="F2958" s="15">
        <v>0</v>
      </c>
    </row>
    <row r="2959" spans="2:6" hidden="1" x14ac:dyDescent="0.2">
      <c r="B2959" s="14">
        <v>2013</v>
      </c>
      <c r="C2959" s="13" t="s">
        <v>2752</v>
      </c>
      <c r="D2959" s="13" t="s">
        <v>2569</v>
      </c>
      <c r="E2959" s="13" t="s">
        <v>2846</v>
      </c>
      <c r="F2959" s="15">
        <v>0</v>
      </c>
    </row>
    <row r="2960" spans="2:6" hidden="1" x14ac:dyDescent="0.2">
      <c r="B2960" s="14">
        <v>2013</v>
      </c>
      <c r="C2960" s="13" t="s">
        <v>2752</v>
      </c>
      <c r="D2960" s="13" t="s">
        <v>2569</v>
      </c>
      <c r="E2960" s="13" t="s">
        <v>2847</v>
      </c>
      <c r="F2960" s="15">
        <v>0</v>
      </c>
    </row>
    <row r="2961" spans="2:6" hidden="1" x14ac:dyDescent="0.2">
      <c r="B2961" s="14">
        <v>2013</v>
      </c>
      <c r="C2961" s="13" t="s">
        <v>2752</v>
      </c>
      <c r="D2961" s="13" t="s">
        <v>2569</v>
      </c>
      <c r="E2961" s="13" t="s">
        <v>2848</v>
      </c>
      <c r="F2961" s="15">
        <v>0</v>
      </c>
    </row>
    <row r="2962" spans="2:6" hidden="1" x14ac:dyDescent="0.2">
      <c r="B2962" s="14">
        <v>2013</v>
      </c>
      <c r="C2962" s="13" t="s">
        <v>2752</v>
      </c>
      <c r="D2962" s="13" t="s">
        <v>2569</v>
      </c>
      <c r="E2962" s="13" t="s">
        <v>2367</v>
      </c>
      <c r="F2962" s="15">
        <v>3</v>
      </c>
    </row>
    <row r="2963" spans="2:6" hidden="1" x14ac:dyDescent="0.2">
      <c r="B2963" s="14">
        <v>2013</v>
      </c>
      <c r="C2963" s="13" t="s">
        <v>2752</v>
      </c>
      <c r="D2963" s="13" t="s">
        <v>2569</v>
      </c>
      <c r="E2963" s="13" t="s">
        <v>2849</v>
      </c>
      <c r="F2963" s="15">
        <v>0</v>
      </c>
    </row>
    <row r="2964" spans="2:6" hidden="1" x14ac:dyDescent="0.2">
      <c r="B2964" s="14">
        <v>2013</v>
      </c>
      <c r="C2964" s="13" t="s">
        <v>2752</v>
      </c>
      <c r="D2964" s="13" t="s">
        <v>2569</v>
      </c>
      <c r="E2964" s="13" t="s">
        <v>2850</v>
      </c>
      <c r="F2964" s="15">
        <v>17</v>
      </c>
    </row>
    <row r="2965" spans="2:6" hidden="1" x14ac:dyDescent="0.2">
      <c r="B2965" s="14">
        <v>2013</v>
      </c>
      <c r="C2965" s="13" t="s">
        <v>2752</v>
      </c>
      <c r="D2965" s="13" t="s">
        <v>2569</v>
      </c>
      <c r="E2965" s="13" t="s">
        <v>2851</v>
      </c>
      <c r="F2965" s="15">
        <v>0</v>
      </c>
    </row>
    <row r="2966" spans="2:6" hidden="1" x14ac:dyDescent="0.2">
      <c r="B2966" s="14">
        <v>2013</v>
      </c>
      <c r="C2966" s="13" t="s">
        <v>2752</v>
      </c>
      <c r="D2966" s="13" t="s">
        <v>2569</v>
      </c>
      <c r="E2966" s="13" t="s">
        <v>2569</v>
      </c>
      <c r="F2966" s="15">
        <v>5</v>
      </c>
    </row>
    <row r="2967" spans="2:6" hidden="1" x14ac:dyDescent="0.2">
      <c r="B2967" s="14">
        <v>2013</v>
      </c>
      <c r="C2967" s="13" t="s">
        <v>2752</v>
      </c>
      <c r="D2967" s="13" t="s">
        <v>2852</v>
      </c>
      <c r="E2967" s="13" t="s">
        <v>2852</v>
      </c>
      <c r="F2967" s="15">
        <v>19</v>
      </c>
    </row>
    <row r="2968" spans="2:6" hidden="1" x14ac:dyDescent="0.2">
      <c r="B2968" s="14">
        <v>2013</v>
      </c>
      <c r="C2968" s="13" t="s">
        <v>2752</v>
      </c>
      <c r="D2968" s="13" t="s">
        <v>2852</v>
      </c>
      <c r="E2968" s="13" t="s">
        <v>2853</v>
      </c>
      <c r="F2968" s="15">
        <v>0</v>
      </c>
    </row>
    <row r="2969" spans="2:6" hidden="1" x14ac:dyDescent="0.2">
      <c r="B2969" s="14">
        <v>2013</v>
      </c>
      <c r="C2969" s="13" t="s">
        <v>2752</v>
      </c>
      <c r="D2969" s="13" t="s">
        <v>2852</v>
      </c>
      <c r="E2969" s="13" t="s">
        <v>2854</v>
      </c>
      <c r="F2969" s="15">
        <v>2</v>
      </c>
    </row>
    <row r="2970" spans="2:6" hidden="1" x14ac:dyDescent="0.2">
      <c r="B2970" s="14">
        <v>2013</v>
      </c>
      <c r="C2970" s="13" t="s">
        <v>2752</v>
      </c>
      <c r="D2970" s="13" t="s">
        <v>2852</v>
      </c>
      <c r="E2970" s="13" t="s">
        <v>2855</v>
      </c>
      <c r="F2970" s="15">
        <v>0</v>
      </c>
    </row>
    <row r="2971" spans="2:6" hidden="1" x14ac:dyDescent="0.2">
      <c r="B2971" s="14">
        <v>2013</v>
      </c>
      <c r="C2971" s="13" t="s">
        <v>2752</v>
      </c>
      <c r="D2971" s="13" t="s">
        <v>2852</v>
      </c>
      <c r="E2971" s="13" t="s">
        <v>2856</v>
      </c>
      <c r="F2971" s="15">
        <v>0</v>
      </c>
    </row>
    <row r="2972" spans="2:6" hidden="1" x14ac:dyDescent="0.2">
      <c r="B2972" s="14">
        <v>2013</v>
      </c>
      <c r="C2972" s="13" t="s">
        <v>2752</v>
      </c>
      <c r="D2972" s="13" t="s">
        <v>2852</v>
      </c>
      <c r="E2972" s="13" t="s">
        <v>2857</v>
      </c>
      <c r="F2972" s="15">
        <v>0</v>
      </c>
    </row>
    <row r="2973" spans="2:6" hidden="1" x14ac:dyDescent="0.2">
      <c r="B2973" s="14">
        <v>2013</v>
      </c>
      <c r="C2973" s="13" t="s">
        <v>2752</v>
      </c>
      <c r="D2973" s="13" t="s">
        <v>2852</v>
      </c>
      <c r="E2973" s="13" t="s">
        <v>2858</v>
      </c>
      <c r="F2973" s="15">
        <v>0</v>
      </c>
    </row>
    <row r="2974" spans="2:6" hidden="1" x14ac:dyDescent="0.2">
      <c r="B2974" s="14">
        <v>2013</v>
      </c>
      <c r="C2974" s="13" t="s">
        <v>2752</v>
      </c>
      <c r="D2974" s="13" t="s">
        <v>2852</v>
      </c>
      <c r="E2974" s="13" t="s">
        <v>2859</v>
      </c>
      <c r="F2974" s="15">
        <v>0</v>
      </c>
    </row>
    <row r="2975" spans="2:6" hidden="1" x14ac:dyDescent="0.2">
      <c r="B2975" s="14">
        <v>2013</v>
      </c>
      <c r="C2975" s="13" t="s">
        <v>2752</v>
      </c>
      <c r="D2975" s="13" t="s">
        <v>2852</v>
      </c>
      <c r="E2975" s="13" t="s">
        <v>2860</v>
      </c>
      <c r="F2975" s="15">
        <v>0</v>
      </c>
    </row>
    <row r="2976" spans="2:6" hidden="1" x14ac:dyDescent="0.2">
      <c r="B2976" s="14">
        <v>2013</v>
      </c>
      <c r="C2976" s="13" t="s">
        <v>1876</v>
      </c>
      <c r="D2976" s="13" t="s">
        <v>2861</v>
      </c>
      <c r="E2976" s="13" t="s">
        <v>2861</v>
      </c>
      <c r="F2976" s="15">
        <v>0</v>
      </c>
    </row>
    <row r="2977" spans="2:6" hidden="1" x14ac:dyDescent="0.2">
      <c r="B2977" s="14">
        <v>2013</v>
      </c>
      <c r="C2977" s="13" t="s">
        <v>1876</v>
      </c>
      <c r="D2977" s="13" t="s">
        <v>2861</v>
      </c>
      <c r="E2977" s="13" t="s">
        <v>2862</v>
      </c>
      <c r="F2977" s="15">
        <v>17</v>
      </c>
    </row>
    <row r="2978" spans="2:6" hidden="1" x14ac:dyDescent="0.2">
      <c r="B2978" s="14">
        <v>2013</v>
      </c>
      <c r="C2978" s="13" t="s">
        <v>1876</v>
      </c>
      <c r="D2978" s="13" t="s">
        <v>2861</v>
      </c>
      <c r="E2978" s="13" t="s">
        <v>2863</v>
      </c>
      <c r="F2978" s="15">
        <v>12</v>
      </c>
    </row>
    <row r="2979" spans="2:6" hidden="1" x14ac:dyDescent="0.2">
      <c r="B2979" s="14">
        <v>2013</v>
      </c>
      <c r="C2979" s="13" t="s">
        <v>1876</v>
      </c>
      <c r="D2979" s="13" t="s">
        <v>2861</v>
      </c>
      <c r="E2979" s="13" t="s">
        <v>2864</v>
      </c>
      <c r="F2979" s="15">
        <v>35</v>
      </c>
    </row>
    <row r="2980" spans="2:6" hidden="1" x14ac:dyDescent="0.2">
      <c r="B2980" s="14">
        <v>2013</v>
      </c>
      <c r="C2980" s="13" t="s">
        <v>1876</v>
      </c>
      <c r="D2980" s="13" t="s">
        <v>2861</v>
      </c>
      <c r="E2980" s="13" t="s">
        <v>2441</v>
      </c>
      <c r="F2980" s="15">
        <v>7</v>
      </c>
    </row>
    <row r="2981" spans="2:6" hidden="1" x14ac:dyDescent="0.2">
      <c r="B2981" s="14">
        <v>2013</v>
      </c>
      <c r="C2981" s="13" t="s">
        <v>1876</v>
      </c>
      <c r="D2981" s="13" t="s">
        <v>2861</v>
      </c>
      <c r="E2981" s="13" t="s">
        <v>2865</v>
      </c>
      <c r="F2981" s="15">
        <v>19</v>
      </c>
    </row>
    <row r="2982" spans="2:6" hidden="1" x14ac:dyDescent="0.2">
      <c r="B2982" s="14">
        <v>2013</v>
      </c>
      <c r="C2982" s="13" t="s">
        <v>1876</v>
      </c>
      <c r="D2982" s="13" t="s">
        <v>2861</v>
      </c>
      <c r="E2982" s="13" t="s">
        <v>2866</v>
      </c>
      <c r="F2982" s="15">
        <v>14</v>
      </c>
    </row>
    <row r="2983" spans="2:6" hidden="1" x14ac:dyDescent="0.2">
      <c r="B2983" s="14">
        <v>2013</v>
      </c>
      <c r="C2983" s="13" t="s">
        <v>1876</v>
      </c>
      <c r="D2983" s="13" t="s">
        <v>2861</v>
      </c>
      <c r="E2983" s="13" t="s">
        <v>2867</v>
      </c>
      <c r="F2983" s="15">
        <v>3</v>
      </c>
    </row>
    <row r="2984" spans="2:6" hidden="1" x14ac:dyDescent="0.2">
      <c r="B2984" s="14">
        <v>2013</v>
      </c>
      <c r="C2984" s="13" t="s">
        <v>1876</v>
      </c>
      <c r="D2984" s="13" t="s">
        <v>2861</v>
      </c>
      <c r="E2984" s="13" t="s">
        <v>2868</v>
      </c>
      <c r="F2984" s="15">
        <v>1</v>
      </c>
    </row>
    <row r="2985" spans="2:6" hidden="1" x14ac:dyDescent="0.2">
      <c r="B2985" s="14">
        <v>2013</v>
      </c>
      <c r="C2985" s="13" t="s">
        <v>1876</v>
      </c>
      <c r="D2985" s="13" t="s">
        <v>2861</v>
      </c>
      <c r="E2985" s="13" t="s">
        <v>2869</v>
      </c>
      <c r="F2985" s="15">
        <v>10</v>
      </c>
    </row>
    <row r="2986" spans="2:6" hidden="1" x14ac:dyDescent="0.2">
      <c r="B2986" s="14">
        <v>2013</v>
      </c>
      <c r="C2986" s="13" t="s">
        <v>1876</v>
      </c>
      <c r="D2986" s="13" t="s">
        <v>2861</v>
      </c>
      <c r="E2986" s="13" t="s">
        <v>2870</v>
      </c>
      <c r="F2986" s="15">
        <v>45</v>
      </c>
    </row>
    <row r="2987" spans="2:6" hidden="1" x14ac:dyDescent="0.2">
      <c r="B2987" s="14">
        <v>2013</v>
      </c>
      <c r="C2987" s="13" t="s">
        <v>1876</v>
      </c>
      <c r="D2987" s="13" t="s">
        <v>2871</v>
      </c>
      <c r="E2987" s="13" t="s">
        <v>2871</v>
      </c>
      <c r="F2987" s="15">
        <v>13</v>
      </c>
    </row>
    <row r="2988" spans="2:6" hidden="1" x14ac:dyDescent="0.2">
      <c r="B2988" s="14">
        <v>2013</v>
      </c>
      <c r="C2988" s="13" t="s">
        <v>1876</v>
      </c>
      <c r="D2988" s="13" t="s">
        <v>2871</v>
      </c>
      <c r="E2988" s="13" t="s">
        <v>2872</v>
      </c>
      <c r="F2988" s="15">
        <v>0</v>
      </c>
    </row>
    <row r="2989" spans="2:6" hidden="1" x14ac:dyDescent="0.2">
      <c r="B2989" s="14">
        <v>2013</v>
      </c>
      <c r="C2989" s="13" t="s">
        <v>1876</v>
      </c>
      <c r="D2989" s="13" t="s">
        <v>2871</v>
      </c>
      <c r="E2989" s="13" t="s">
        <v>2873</v>
      </c>
      <c r="F2989" s="15">
        <v>2</v>
      </c>
    </row>
    <row r="2990" spans="2:6" hidden="1" x14ac:dyDescent="0.2">
      <c r="B2990" s="14">
        <v>2013</v>
      </c>
      <c r="C2990" s="13" t="s">
        <v>1876</v>
      </c>
      <c r="D2990" s="13" t="s">
        <v>2871</v>
      </c>
      <c r="E2990" s="13" t="s">
        <v>2874</v>
      </c>
      <c r="F2990" s="15">
        <v>0</v>
      </c>
    </row>
    <row r="2991" spans="2:6" hidden="1" x14ac:dyDescent="0.2">
      <c r="B2991" s="14">
        <v>2013</v>
      </c>
      <c r="C2991" s="13" t="s">
        <v>1876</v>
      </c>
      <c r="D2991" s="13" t="s">
        <v>2871</v>
      </c>
      <c r="E2991" s="13" t="s">
        <v>2875</v>
      </c>
      <c r="F2991" s="15">
        <v>3</v>
      </c>
    </row>
    <row r="2992" spans="2:6" hidden="1" x14ac:dyDescent="0.2">
      <c r="B2992" s="14">
        <v>2013</v>
      </c>
      <c r="C2992" s="13" t="s">
        <v>1876</v>
      </c>
      <c r="D2992" s="13" t="s">
        <v>2871</v>
      </c>
      <c r="E2992" s="13" t="s">
        <v>2876</v>
      </c>
      <c r="F2992" s="15">
        <v>2</v>
      </c>
    </row>
    <row r="2993" spans="2:6" hidden="1" x14ac:dyDescent="0.2">
      <c r="B2993" s="14">
        <v>2013</v>
      </c>
      <c r="C2993" s="13" t="s">
        <v>1876</v>
      </c>
      <c r="D2993" s="13" t="s">
        <v>2871</v>
      </c>
      <c r="E2993" s="13" t="s">
        <v>2877</v>
      </c>
      <c r="F2993" s="15">
        <v>0</v>
      </c>
    </row>
    <row r="2994" spans="2:6" hidden="1" x14ac:dyDescent="0.2">
      <c r="B2994" s="14">
        <v>2013</v>
      </c>
      <c r="C2994" s="13" t="s">
        <v>1876</v>
      </c>
      <c r="D2994" s="13" t="s">
        <v>2871</v>
      </c>
      <c r="E2994" s="13" t="s">
        <v>2878</v>
      </c>
      <c r="F2994" s="15">
        <v>5</v>
      </c>
    </row>
    <row r="2995" spans="2:6" hidden="1" x14ac:dyDescent="0.2">
      <c r="B2995" s="14">
        <v>2013</v>
      </c>
      <c r="C2995" s="13" t="s">
        <v>1876</v>
      </c>
      <c r="D2995" s="13" t="s">
        <v>2423</v>
      </c>
      <c r="E2995" s="13" t="s">
        <v>2423</v>
      </c>
      <c r="F2995" s="15">
        <v>1</v>
      </c>
    </row>
    <row r="2996" spans="2:6" hidden="1" x14ac:dyDescent="0.2">
      <c r="B2996" s="14">
        <v>2013</v>
      </c>
      <c r="C2996" s="13" t="s">
        <v>1876</v>
      </c>
      <c r="D2996" s="13" t="s">
        <v>2423</v>
      </c>
      <c r="E2996" s="13" t="s">
        <v>2396</v>
      </c>
      <c r="F2996" s="15">
        <v>0</v>
      </c>
    </row>
    <row r="2997" spans="2:6" hidden="1" x14ac:dyDescent="0.2">
      <c r="B2997" s="14">
        <v>2013</v>
      </c>
      <c r="C2997" s="13" t="s">
        <v>1876</v>
      </c>
      <c r="D2997" s="13" t="s">
        <v>2423</v>
      </c>
      <c r="E2997" s="13" t="s">
        <v>2879</v>
      </c>
      <c r="F2997" s="15">
        <v>0</v>
      </c>
    </row>
    <row r="2998" spans="2:6" hidden="1" x14ac:dyDescent="0.2">
      <c r="B2998" s="14">
        <v>2013</v>
      </c>
      <c r="C2998" s="13" t="s">
        <v>1876</v>
      </c>
      <c r="D2998" s="13" t="s">
        <v>2423</v>
      </c>
      <c r="E2998" s="13" t="s">
        <v>2880</v>
      </c>
      <c r="F2998" s="15">
        <v>1</v>
      </c>
    </row>
    <row r="2999" spans="2:6" hidden="1" x14ac:dyDescent="0.2">
      <c r="B2999" s="14">
        <v>2013</v>
      </c>
      <c r="C2999" s="13" t="s">
        <v>1876</v>
      </c>
      <c r="D2999" s="13" t="s">
        <v>2423</v>
      </c>
      <c r="E2999" s="13" t="s">
        <v>2881</v>
      </c>
      <c r="F2999" s="15">
        <v>2</v>
      </c>
    </row>
    <row r="3000" spans="2:6" hidden="1" x14ac:dyDescent="0.2">
      <c r="B3000" s="14">
        <v>2013</v>
      </c>
      <c r="C3000" s="13" t="s">
        <v>1876</v>
      </c>
      <c r="D3000" s="13" t="s">
        <v>2423</v>
      </c>
      <c r="E3000" s="13" t="s">
        <v>2882</v>
      </c>
      <c r="F3000" s="15">
        <v>0</v>
      </c>
    </row>
    <row r="3001" spans="2:6" hidden="1" x14ac:dyDescent="0.2">
      <c r="B3001" s="14">
        <v>2013</v>
      </c>
      <c r="C3001" s="13" t="s">
        <v>1876</v>
      </c>
      <c r="D3001" s="13" t="s">
        <v>2883</v>
      </c>
      <c r="E3001" s="13" t="s">
        <v>2883</v>
      </c>
      <c r="F3001" s="15">
        <v>23</v>
      </c>
    </row>
    <row r="3002" spans="2:6" hidden="1" x14ac:dyDescent="0.2">
      <c r="B3002" s="14">
        <v>2013</v>
      </c>
      <c r="C3002" s="13" t="s">
        <v>1876</v>
      </c>
      <c r="D3002" s="13" t="s">
        <v>2883</v>
      </c>
      <c r="E3002" s="13" t="s">
        <v>2884</v>
      </c>
      <c r="F3002" s="15">
        <v>1</v>
      </c>
    </row>
    <row r="3003" spans="2:6" hidden="1" x14ac:dyDescent="0.2">
      <c r="B3003" s="14">
        <v>2013</v>
      </c>
      <c r="C3003" s="13" t="s">
        <v>1876</v>
      </c>
      <c r="D3003" s="13" t="s">
        <v>2883</v>
      </c>
      <c r="E3003" s="13" t="s">
        <v>2722</v>
      </c>
      <c r="F3003" s="15">
        <v>2</v>
      </c>
    </row>
    <row r="3004" spans="2:6" hidden="1" x14ac:dyDescent="0.2">
      <c r="B3004" s="14">
        <v>2013</v>
      </c>
      <c r="C3004" s="13" t="s">
        <v>1876</v>
      </c>
      <c r="D3004" s="13" t="s">
        <v>2806</v>
      </c>
      <c r="E3004" s="13" t="s">
        <v>2806</v>
      </c>
      <c r="F3004" s="15">
        <v>0</v>
      </c>
    </row>
    <row r="3005" spans="2:6" hidden="1" x14ac:dyDescent="0.2">
      <c r="B3005" s="14">
        <v>2013</v>
      </c>
      <c r="C3005" s="13" t="s">
        <v>1876</v>
      </c>
      <c r="D3005" s="13" t="s">
        <v>2806</v>
      </c>
      <c r="E3005" s="13" t="s">
        <v>2885</v>
      </c>
      <c r="F3005" s="15">
        <v>0</v>
      </c>
    </row>
    <row r="3006" spans="2:6" hidden="1" x14ac:dyDescent="0.2">
      <c r="B3006" s="14">
        <v>2013</v>
      </c>
      <c r="C3006" s="13" t="s">
        <v>1876</v>
      </c>
      <c r="D3006" s="13" t="s">
        <v>2806</v>
      </c>
      <c r="E3006" s="13" t="s">
        <v>2886</v>
      </c>
      <c r="F3006" s="15">
        <v>0</v>
      </c>
    </row>
    <row r="3007" spans="2:6" hidden="1" x14ac:dyDescent="0.2">
      <c r="B3007" s="14">
        <v>2013</v>
      </c>
      <c r="C3007" s="13" t="s">
        <v>1876</v>
      </c>
      <c r="D3007" s="13" t="s">
        <v>2806</v>
      </c>
      <c r="E3007" s="13" t="s">
        <v>2887</v>
      </c>
      <c r="F3007" s="15">
        <v>0</v>
      </c>
    </row>
    <row r="3008" spans="2:6" hidden="1" x14ac:dyDescent="0.2">
      <c r="B3008" s="14">
        <v>2013</v>
      </c>
      <c r="C3008" s="13" t="s">
        <v>1876</v>
      </c>
      <c r="D3008" s="13" t="s">
        <v>2888</v>
      </c>
      <c r="E3008" s="13" t="s">
        <v>2888</v>
      </c>
      <c r="F3008" s="15">
        <v>7</v>
      </c>
    </row>
    <row r="3009" spans="2:6" hidden="1" x14ac:dyDescent="0.2">
      <c r="B3009" s="14">
        <v>2013</v>
      </c>
      <c r="C3009" s="13" t="s">
        <v>1876</v>
      </c>
      <c r="D3009" s="13" t="s">
        <v>2888</v>
      </c>
      <c r="E3009" s="13" t="s">
        <v>2889</v>
      </c>
      <c r="F3009" s="15">
        <v>1</v>
      </c>
    </row>
    <row r="3010" spans="2:6" hidden="1" x14ac:dyDescent="0.2">
      <c r="B3010" s="14">
        <v>2013</v>
      </c>
      <c r="C3010" s="13" t="s">
        <v>1876</v>
      </c>
      <c r="D3010" s="13" t="s">
        <v>2888</v>
      </c>
      <c r="E3010" s="13" t="s">
        <v>2890</v>
      </c>
      <c r="F3010" s="15">
        <v>0</v>
      </c>
    </row>
    <row r="3011" spans="2:6" hidden="1" x14ac:dyDescent="0.2">
      <c r="B3011" s="14">
        <v>2013</v>
      </c>
      <c r="C3011" s="13" t="s">
        <v>1876</v>
      </c>
      <c r="D3011" s="13" t="s">
        <v>2888</v>
      </c>
      <c r="E3011" s="13" t="s">
        <v>2891</v>
      </c>
      <c r="F3011" s="15">
        <v>0</v>
      </c>
    </row>
    <row r="3012" spans="2:6" hidden="1" x14ac:dyDescent="0.2">
      <c r="B3012" s="14">
        <v>2013</v>
      </c>
      <c r="C3012" s="13" t="s">
        <v>1876</v>
      </c>
      <c r="D3012" s="13" t="s">
        <v>2888</v>
      </c>
      <c r="E3012" s="13" t="s">
        <v>2892</v>
      </c>
      <c r="F3012" s="15">
        <v>0</v>
      </c>
    </row>
    <row r="3013" spans="2:6" hidden="1" x14ac:dyDescent="0.2">
      <c r="B3013" s="14">
        <v>2013</v>
      </c>
      <c r="C3013" s="13" t="s">
        <v>1876</v>
      </c>
      <c r="D3013" s="13" t="s">
        <v>2888</v>
      </c>
      <c r="E3013" s="13" t="s">
        <v>2893</v>
      </c>
      <c r="F3013" s="15">
        <v>0</v>
      </c>
    </row>
    <row r="3014" spans="2:6" hidden="1" x14ac:dyDescent="0.2">
      <c r="B3014" s="14">
        <v>2013</v>
      </c>
      <c r="C3014" s="13" t="s">
        <v>1876</v>
      </c>
      <c r="D3014" s="13" t="s">
        <v>2888</v>
      </c>
      <c r="E3014" s="13" t="s">
        <v>2894</v>
      </c>
      <c r="F3014" s="15">
        <v>0</v>
      </c>
    </row>
    <row r="3015" spans="2:6" hidden="1" x14ac:dyDescent="0.2">
      <c r="B3015" s="14">
        <v>2013</v>
      </c>
      <c r="C3015" s="13" t="s">
        <v>1876</v>
      </c>
      <c r="D3015" s="13" t="s">
        <v>2888</v>
      </c>
      <c r="E3015" s="13" t="s">
        <v>2895</v>
      </c>
      <c r="F3015" s="15">
        <v>0</v>
      </c>
    </row>
    <row r="3016" spans="2:6" hidden="1" x14ac:dyDescent="0.2">
      <c r="B3016" s="14">
        <v>2013</v>
      </c>
      <c r="C3016" s="13" t="s">
        <v>1876</v>
      </c>
      <c r="D3016" s="13" t="s">
        <v>2888</v>
      </c>
      <c r="E3016" s="13" t="s">
        <v>2896</v>
      </c>
      <c r="F3016" s="15">
        <v>0</v>
      </c>
    </row>
    <row r="3017" spans="2:6" hidden="1" x14ac:dyDescent="0.2">
      <c r="B3017" s="14">
        <v>2013</v>
      </c>
      <c r="C3017" s="13" t="s">
        <v>1876</v>
      </c>
      <c r="D3017" s="13" t="s">
        <v>2888</v>
      </c>
      <c r="E3017" s="13" t="s">
        <v>2897</v>
      </c>
      <c r="F3017" s="15">
        <v>0</v>
      </c>
    </row>
    <row r="3018" spans="2:6" hidden="1" x14ac:dyDescent="0.2">
      <c r="B3018" s="14">
        <v>2013</v>
      </c>
      <c r="C3018" s="13" t="s">
        <v>1876</v>
      </c>
      <c r="D3018" s="13" t="s">
        <v>2898</v>
      </c>
      <c r="E3018" s="13" t="s">
        <v>2899</v>
      </c>
      <c r="F3018" s="15">
        <v>3</v>
      </c>
    </row>
    <row r="3019" spans="2:6" hidden="1" x14ac:dyDescent="0.2">
      <c r="B3019" s="14">
        <v>2013</v>
      </c>
      <c r="C3019" s="13" t="s">
        <v>1876</v>
      </c>
      <c r="D3019" s="13" t="s">
        <v>2898</v>
      </c>
      <c r="E3019" s="13" t="s">
        <v>2900</v>
      </c>
      <c r="F3019" s="15">
        <v>7</v>
      </c>
    </row>
    <row r="3020" spans="2:6" hidden="1" x14ac:dyDescent="0.2">
      <c r="B3020" s="14">
        <v>2013</v>
      </c>
      <c r="C3020" s="13" t="s">
        <v>1876</v>
      </c>
      <c r="D3020" s="13" t="s">
        <v>2898</v>
      </c>
      <c r="E3020" s="13" t="s">
        <v>2901</v>
      </c>
      <c r="F3020" s="15">
        <v>2</v>
      </c>
    </row>
    <row r="3021" spans="2:6" hidden="1" x14ac:dyDescent="0.2">
      <c r="B3021" s="14">
        <v>2013</v>
      </c>
      <c r="C3021" s="13" t="s">
        <v>1876</v>
      </c>
      <c r="D3021" s="13" t="s">
        <v>2898</v>
      </c>
      <c r="E3021" s="13" t="s">
        <v>2898</v>
      </c>
      <c r="F3021" s="15">
        <v>3</v>
      </c>
    </row>
    <row r="3022" spans="2:6" hidden="1" x14ac:dyDescent="0.2">
      <c r="B3022" s="14">
        <v>2013</v>
      </c>
      <c r="C3022" s="13" t="s">
        <v>1876</v>
      </c>
      <c r="D3022" s="13" t="s">
        <v>2898</v>
      </c>
      <c r="E3022" s="13" t="s">
        <v>2902</v>
      </c>
      <c r="F3022" s="15">
        <v>2</v>
      </c>
    </row>
    <row r="3023" spans="2:6" hidden="1" x14ac:dyDescent="0.2">
      <c r="B3023" s="14">
        <v>2013</v>
      </c>
      <c r="C3023" s="13" t="s">
        <v>1876</v>
      </c>
      <c r="D3023" s="13" t="s">
        <v>2903</v>
      </c>
      <c r="E3023" s="13" t="s">
        <v>2904</v>
      </c>
      <c r="F3023" s="15">
        <v>3</v>
      </c>
    </row>
    <row r="3024" spans="2:6" hidden="1" x14ac:dyDescent="0.2">
      <c r="B3024" s="14">
        <v>2013</v>
      </c>
      <c r="C3024" s="13" t="s">
        <v>1876</v>
      </c>
      <c r="D3024" s="13" t="s">
        <v>2903</v>
      </c>
      <c r="E3024" s="13" t="s">
        <v>2905</v>
      </c>
      <c r="F3024" s="15">
        <v>0</v>
      </c>
    </row>
    <row r="3025" spans="2:6" hidden="1" x14ac:dyDescent="0.2">
      <c r="B3025" s="14">
        <v>2013</v>
      </c>
      <c r="C3025" s="13" t="s">
        <v>1876</v>
      </c>
      <c r="D3025" s="13" t="s">
        <v>2903</v>
      </c>
      <c r="E3025" s="13" t="s">
        <v>2906</v>
      </c>
      <c r="F3025" s="15">
        <v>2</v>
      </c>
    </row>
    <row r="3026" spans="2:6" hidden="1" x14ac:dyDescent="0.2">
      <c r="B3026" s="14">
        <v>2013</v>
      </c>
      <c r="C3026" s="13" t="s">
        <v>1876</v>
      </c>
      <c r="D3026" s="13" t="s">
        <v>2903</v>
      </c>
      <c r="E3026" s="13" t="s">
        <v>2907</v>
      </c>
      <c r="F3026" s="15">
        <v>0</v>
      </c>
    </row>
    <row r="3027" spans="2:6" hidden="1" x14ac:dyDescent="0.2">
      <c r="B3027" s="14">
        <v>2013</v>
      </c>
      <c r="C3027" s="13" t="s">
        <v>1876</v>
      </c>
      <c r="D3027" s="13" t="s">
        <v>2903</v>
      </c>
      <c r="E3027" s="13" t="s">
        <v>2908</v>
      </c>
      <c r="F3027" s="15">
        <v>0</v>
      </c>
    </row>
    <row r="3028" spans="2:6" hidden="1" x14ac:dyDescent="0.2">
      <c r="B3028" s="14">
        <v>2013</v>
      </c>
      <c r="C3028" s="13" t="s">
        <v>1876</v>
      </c>
      <c r="D3028" s="13" t="s">
        <v>2903</v>
      </c>
      <c r="E3028" s="13" t="s">
        <v>2909</v>
      </c>
      <c r="F3028" s="15">
        <v>0</v>
      </c>
    </row>
    <row r="3029" spans="2:6" hidden="1" x14ac:dyDescent="0.2">
      <c r="B3029" s="14">
        <v>2013</v>
      </c>
      <c r="C3029" s="13" t="s">
        <v>1876</v>
      </c>
      <c r="D3029" s="13" t="s">
        <v>2903</v>
      </c>
      <c r="E3029" s="13" t="s">
        <v>2910</v>
      </c>
      <c r="F3029" s="15">
        <v>0</v>
      </c>
    </row>
    <row r="3030" spans="2:6" hidden="1" x14ac:dyDescent="0.2">
      <c r="B3030" s="14">
        <v>2013</v>
      </c>
      <c r="C3030" s="13" t="s">
        <v>1876</v>
      </c>
      <c r="D3030" s="13" t="s">
        <v>2903</v>
      </c>
      <c r="E3030" s="13" t="s">
        <v>2911</v>
      </c>
      <c r="F3030" s="15">
        <v>0</v>
      </c>
    </row>
    <row r="3031" spans="2:6" hidden="1" x14ac:dyDescent="0.2">
      <c r="B3031" s="14">
        <v>2013</v>
      </c>
      <c r="C3031" s="13" t="s">
        <v>1876</v>
      </c>
      <c r="D3031" s="13" t="s">
        <v>2903</v>
      </c>
      <c r="E3031" s="13" t="s">
        <v>2903</v>
      </c>
      <c r="F3031" s="15">
        <v>8</v>
      </c>
    </row>
    <row r="3032" spans="2:6" hidden="1" x14ac:dyDescent="0.2">
      <c r="B3032" s="14">
        <v>2013</v>
      </c>
      <c r="C3032" s="13" t="s">
        <v>1876</v>
      </c>
      <c r="D3032" s="13" t="s">
        <v>2903</v>
      </c>
      <c r="E3032" s="13" t="s">
        <v>2912</v>
      </c>
      <c r="F3032" s="15">
        <v>0</v>
      </c>
    </row>
    <row r="3033" spans="2:6" hidden="1" x14ac:dyDescent="0.2">
      <c r="B3033" s="14">
        <v>2013</v>
      </c>
      <c r="C3033" s="13" t="s">
        <v>1876</v>
      </c>
      <c r="D3033" s="13" t="s">
        <v>2903</v>
      </c>
      <c r="E3033" s="13" t="s">
        <v>2913</v>
      </c>
      <c r="F3033" s="15">
        <v>0</v>
      </c>
    </row>
    <row r="3034" spans="2:6" hidden="1" x14ac:dyDescent="0.2">
      <c r="B3034" s="14">
        <v>2013</v>
      </c>
      <c r="C3034" s="13" t="s">
        <v>1876</v>
      </c>
      <c r="D3034" s="13" t="s">
        <v>2903</v>
      </c>
      <c r="E3034" s="13" t="s">
        <v>2914</v>
      </c>
      <c r="F3034" s="15">
        <v>0</v>
      </c>
    </row>
    <row r="3035" spans="2:6" hidden="1" x14ac:dyDescent="0.2">
      <c r="B3035" s="14">
        <v>2013</v>
      </c>
      <c r="C3035" s="13" t="s">
        <v>1876</v>
      </c>
      <c r="D3035" s="13" t="s">
        <v>2903</v>
      </c>
      <c r="E3035" s="13" t="s">
        <v>2915</v>
      </c>
      <c r="F3035" s="15">
        <v>0</v>
      </c>
    </row>
    <row r="3036" spans="2:6" hidden="1" x14ac:dyDescent="0.2">
      <c r="B3036" s="14">
        <v>2013</v>
      </c>
      <c r="C3036" s="13" t="s">
        <v>1876</v>
      </c>
      <c r="D3036" s="13" t="s">
        <v>2916</v>
      </c>
      <c r="E3036" s="13" t="s">
        <v>2917</v>
      </c>
      <c r="F3036" s="15">
        <v>39</v>
      </c>
    </row>
    <row r="3037" spans="2:6" hidden="1" x14ac:dyDescent="0.2">
      <c r="B3037" s="14">
        <v>2013</v>
      </c>
      <c r="C3037" s="13" t="s">
        <v>1876</v>
      </c>
      <c r="D3037" s="13" t="s">
        <v>2916</v>
      </c>
      <c r="E3037" s="13" t="s">
        <v>2918</v>
      </c>
      <c r="F3037" s="15">
        <v>2</v>
      </c>
    </row>
    <row r="3038" spans="2:6" hidden="1" x14ac:dyDescent="0.2">
      <c r="B3038" s="14">
        <v>2013</v>
      </c>
      <c r="C3038" s="13" t="s">
        <v>1876</v>
      </c>
      <c r="D3038" s="13" t="s">
        <v>2916</v>
      </c>
      <c r="E3038" s="13" t="s">
        <v>2919</v>
      </c>
      <c r="F3038" s="15">
        <v>3</v>
      </c>
    </row>
    <row r="3039" spans="2:6" hidden="1" x14ac:dyDescent="0.2">
      <c r="B3039" s="14">
        <v>2013</v>
      </c>
      <c r="C3039" s="13" t="s">
        <v>1876</v>
      </c>
      <c r="D3039" s="13" t="s">
        <v>2916</v>
      </c>
      <c r="E3039" s="13" t="s">
        <v>2920</v>
      </c>
      <c r="F3039" s="15">
        <v>2</v>
      </c>
    </row>
    <row r="3040" spans="2:6" hidden="1" x14ac:dyDescent="0.2">
      <c r="B3040" s="14">
        <v>2013</v>
      </c>
      <c r="C3040" s="13" t="s">
        <v>1876</v>
      </c>
      <c r="D3040" s="13" t="s">
        <v>2916</v>
      </c>
      <c r="E3040" s="13" t="s">
        <v>2921</v>
      </c>
      <c r="F3040" s="15">
        <v>1</v>
      </c>
    </row>
    <row r="3041" spans="2:6" hidden="1" x14ac:dyDescent="0.2">
      <c r="B3041" s="14">
        <v>2013</v>
      </c>
      <c r="C3041" s="13" t="s">
        <v>1876</v>
      </c>
      <c r="D3041" s="13" t="s">
        <v>2916</v>
      </c>
      <c r="E3041" s="13" t="s">
        <v>2922</v>
      </c>
      <c r="F3041" s="15">
        <v>0</v>
      </c>
    </row>
    <row r="3042" spans="2:6" hidden="1" x14ac:dyDescent="0.2">
      <c r="B3042" s="14">
        <v>2013</v>
      </c>
      <c r="C3042" s="13" t="s">
        <v>1876</v>
      </c>
      <c r="D3042" s="13" t="s">
        <v>2916</v>
      </c>
      <c r="E3042" s="13" t="s">
        <v>2923</v>
      </c>
      <c r="F3042" s="15">
        <v>1</v>
      </c>
    </row>
    <row r="3043" spans="2:6" hidden="1" x14ac:dyDescent="0.2">
      <c r="B3043" s="14">
        <v>2013</v>
      </c>
      <c r="C3043" s="13" t="s">
        <v>1876</v>
      </c>
      <c r="D3043" s="13" t="s">
        <v>2916</v>
      </c>
      <c r="E3043" s="13" t="s">
        <v>2924</v>
      </c>
      <c r="F3043" s="15">
        <v>0</v>
      </c>
    </row>
    <row r="3044" spans="2:6" hidden="1" x14ac:dyDescent="0.2">
      <c r="B3044" s="14">
        <v>2013</v>
      </c>
      <c r="C3044" s="13" t="s">
        <v>1876</v>
      </c>
      <c r="D3044" s="13" t="s">
        <v>2925</v>
      </c>
      <c r="E3044" s="13" t="s">
        <v>2925</v>
      </c>
      <c r="F3044" s="15">
        <v>2</v>
      </c>
    </row>
    <row r="3045" spans="2:6" hidden="1" x14ac:dyDescent="0.2">
      <c r="B3045" s="14">
        <v>2013</v>
      </c>
      <c r="C3045" s="13" t="s">
        <v>1876</v>
      </c>
      <c r="D3045" s="13" t="s">
        <v>2925</v>
      </c>
      <c r="E3045" s="13" t="s">
        <v>2926</v>
      </c>
      <c r="F3045" s="15">
        <v>0</v>
      </c>
    </row>
    <row r="3046" spans="2:6" hidden="1" x14ac:dyDescent="0.2">
      <c r="B3046" s="14">
        <v>2013</v>
      </c>
      <c r="C3046" s="13" t="s">
        <v>1876</v>
      </c>
      <c r="D3046" s="13" t="s">
        <v>2925</v>
      </c>
      <c r="E3046" s="13" t="s">
        <v>2927</v>
      </c>
      <c r="F3046" s="15">
        <v>0</v>
      </c>
    </row>
    <row r="3047" spans="2:6" hidden="1" x14ac:dyDescent="0.2">
      <c r="B3047" s="14">
        <v>2013</v>
      </c>
      <c r="C3047" s="13" t="s">
        <v>1876</v>
      </c>
      <c r="D3047" s="13" t="s">
        <v>2925</v>
      </c>
      <c r="E3047" s="13" t="s">
        <v>2928</v>
      </c>
      <c r="F3047" s="15">
        <v>0</v>
      </c>
    </row>
    <row r="3048" spans="2:6" hidden="1" x14ac:dyDescent="0.2">
      <c r="B3048" s="14">
        <v>2013</v>
      </c>
      <c r="C3048" s="13" t="s">
        <v>1876</v>
      </c>
      <c r="D3048" s="13" t="s">
        <v>2925</v>
      </c>
      <c r="E3048" s="13" t="s">
        <v>2472</v>
      </c>
      <c r="F3048" s="15">
        <v>0</v>
      </c>
    </row>
    <row r="3049" spans="2:6" hidden="1" x14ac:dyDescent="0.2">
      <c r="B3049" s="14">
        <v>2013</v>
      </c>
      <c r="C3049" s="13" t="s">
        <v>1876</v>
      </c>
      <c r="D3049" s="13" t="s">
        <v>2925</v>
      </c>
      <c r="E3049" s="13" t="s">
        <v>2929</v>
      </c>
      <c r="F3049" s="15">
        <v>2</v>
      </c>
    </row>
    <row r="3050" spans="2:6" hidden="1" x14ac:dyDescent="0.2">
      <c r="B3050" s="14">
        <v>2013</v>
      </c>
      <c r="C3050" s="13" t="s">
        <v>1876</v>
      </c>
      <c r="D3050" s="13" t="s">
        <v>2925</v>
      </c>
      <c r="E3050" s="13" t="s">
        <v>2930</v>
      </c>
      <c r="F3050" s="15">
        <v>0</v>
      </c>
    </row>
    <row r="3051" spans="2:6" hidden="1" x14ac:dyDescent="0.2">
      <c r="B3051" s="14">
        <v>2013</v>
      </c>
      <c r="C3051" s="13" t="s">
        <v>1876</v>
      </c>
      <c r="D3051" s="13" t="s">
        <v>2925</v>
      </c>
      <c r="E3051" s="13" t="s">
        <v>2931</v>
      </c>
      <c r="F3051" s="15">
        <v>0</v>
      </c>
    </row>
    <row r="3052" spans="2:6" hidden="1" x14ac:dyDescent="0.2">
      <c r="B3052" s="14">
        <v>2013</v>
      </c>
      <c r="C3052" s="13" t="s">
        <v>1876</v>
      </c>
      <c r="D3052" s="13" t="s">
        <v>2932</v>
      </c>
      <c r="E3052" s="13" t="s">
        <v>2933</v>
      </c>
      <c r="F3052" s="15">
        <v>7</v>
      </c>
    </row>
    <row r="3053" spans="2:6" hidden="1" x14ac:dyDescent="0.2">
      <c r="B3053" s="14">
        <v>2013</v>
      </c>
      <c r="C3053" s="13" t="s">
        <v>1876</v>
      </c>
      <c r="D3053" s="13" t="s">
        <v>2932</v>
      </c>
      <c r="E3053" s="13" t="s">
        <v>1972</v>
      </c>
      <c r="F3053" s="15">
        <v>0</v>
      </c>
    </row>
    <row r="3054" spans="2:6" hidden="1" x14ac:dyDescent="0.2">
      <c r="B3054" s="14">
        <v>2013</v>
      </c>
      <c r="C3054" s="13" t="s">
        <v>1876</v>
      </c>
      <c r="D3054" s="13" t="s">
        <v>2932</v>
      </c>
      <c r="E3054" s="13" t="s">
        <v>2934</v>
      </c>
      <c r="F3054" s="15">
        <v>0</v>
      </c>
    </row>
    <row r="3055" spans="2:6" hidden="1" x14ac:dyDescent="0.2">
      <c r="B3055" s="14">
        <v>2013</v>
      </c>
      <c r="C3055" s="13" t="s">
        <v>1876</v>
      </c>
      <c r="D3055" s="13" t="s">
        <v>2932</v>
      </c>
      <c r="E3055" s="13" t="s">
        <v>2935</v>
      </c>
      <c r="F3055" s="15">
        <v>0</v>
      </c>
    </row>
    <row r="3056" spans="2:6" hidden="1" x14ac:dyDescent="0.2">
      <c r="B3056" s="14">
        <v>2013</v>
      </c>
      <c r="C3056" s="13" t="s">
        <v>1876</v>
      </c>
      <c r="D3056" s="13" t="s">
        <v>2936</v>
      </c>
      <c r="E3056" s="13" t="s">
        <v>2936</v>
      </c>
      <c r="F3056" s="15">
        <v>5</v>
      </c>
    </row>
    <row r="3057" spans="2:6" hidden="1" x14ac:dyDescent="0.2">
      <c r="B3057" s="14">
        <v>2013</v>
      </c>
      <c r="C3057" s="13" t="s">
        <v>1876</v>
      </c>
      <c r="D3057" s="13" t="s">
        <v>2936</v>
      </c>
      <c r="E3057" s="13" t="s">
        <v>2937</v>
      </c>
      <c r="F3057" s="15">
        <v>5</v>
      </c>
    </row>
    <row r="3058" spans="2:6" hidden="1" x14ac:dyDescent="0.2">
      <c r="B3058" s="14">
        <v>2013</v>
      </c>
      <c r="C3058" s="13" t="s">
        <v>1876</v>
      </c>
      <c r="D3058" s="13" t="s">
        <v>2936</v>
      </c>
      <c r="E3058" s="13" t="s">
        <v>2938</v>
      </c>
      <c r="F3058" s="15">
        <v>0</v>
      </c>
    </row>
    <row r="3059" spans="2:6" hidden="1" x14ac:dyDescent="0.2">
      <c r="B3059" s="14">
        <v>2013</v>
      </c>
      <c r="C3059" s="13" t="s">
        <v>2939</v>
      </c>
      <c r="D3059" s="13" t="s">
        <v>2940</v>
      </c>
      <c r="E3059" s="13" t="s">
        <v>2940</v>
      </c>
      <c r="F3059" s="15">
        <v>277</v>
      </c>
    </row>
    <row r="3060" spans="2:6" hidden="1" x14ac:dyDescent="0.2">
      <c r="B3060" s="14">
        <v>2013</v>
      </c>
      <c r="C3060" s="13" t="s">
        <v>2939</v>
      </c>
      <c r="D3060" s="13" t="s">
        <v>2940</v>
      </c>
      <c r="E3060" s="13" t="s">
        <v>2941</v>
      </c>
      <c r="F3060" s="15">
        <v>4</v>
      </c>
    </row>
    <row r="3061" spans="2:6" hidden="1" x14ac:dyDescent="0.2">
      <c r="B3061" s="14">
        <v>2013</v>
      </c>
      <c r="C3061" s="13" t="s">
        <v>2939</v>
      </c>
      <c r="D3061" s="13" t="s">
        <v>2940</v>
      </c>
      <c r="E3061" s="13" t="s">
        <v>2942</v>
      </c>
      <c r="F3061" s="15">
        <v>5</v>
      </c>
    </row>
    <row r="3062" spans="2:6" hidden="1" x14ac:dyDescent="0.2">
      <c r="B3062" s="14">
        <v>2013</v>
      </c>
      <c r="C3062" s="13" t="s">
        <v>2939</v>
      </c>
      <c r="D3062" s="13" t="s">
        <v>2940</v>
      </c>
      <c r="E3062" s="13" t="s">
        <v>2943</v>
      </c>
      <c r="F3062" s="15">
        <v>0</v>
      </c>
    </row>
    <row r="3063" spans="2:6" hidden="1" x14ac:dyDescent="0.2">
      <c r="B3063" s="14">
        <v>2013</v>
      </c>
      <c r="C3063" s="13" t="s">
        <v>2939</v>
      </c>
      <c r="D3063" s="13" t="s">
        <v>2940</v>
      </c>
      <c r="E3063" s="13" t="s">
        <v>2944</v>
      </c>
      <c r="F3063" s="15">
        <v>83</v>
      </c>
    </row>
    <row r="3064" spans="2:6" hidden="1" x14ac:dyDescent="0.2">
      <c r="B3064" s="14">
        <v>2013</v>
      </c>
      <c r="C3064" s="13" t="s">
        <v>2939</v>
      </c>
      <c r="D3064" s="13" t="s">
        <v>2940</v>
      </c>
      <c r="E3064" s="13" t="s">
        <v>2945</v>
      </c>
      <c r="F3064" s="15">
        <v>4</v>
      </c>
    </row>
    <row r="3065" spans="2:6" hidden="1" x14ac:dyDescent="0.2">
      <c r="B3065" s="14">
        <v>2013</v>
      </c>
      <c r="C3065" s="13" t="s">
        <v>2939</v>
      </c>
      <c r="D3065" s="13" t="s">
        <v>2940</v>
      </c>
      <c r="E3065" s="13" t="s">
        <v>2946</v>
      </c>
      <c r="F3065" s="15">
        <v>2</v>
      </c>
    </row>
    <row r="3066" spans="2:6" hidden="1" x14ac:dyDescent="0.2">
      <c r="B3066" s="14">
        <v>2013</v>
      </c>
      <c r="C3066" s="13" t="s">
        <v>2939</v>
      </c>
      <c r="D3066" s="13" t="s">
        <v>2940</v>
      </c>
      <c r="E3066" s="13" t="s">
        <v>2947</v>
      </c>
      <c r="F3066" s="15">
        <v>6</v>
      </c>
    </row>
    <row r="3067" spans="2:6" hidden="1" x14ac:dyDescent="0.2">
      <c r="B3067" s="14">
        <v>2013</v>
      </c>
      <c r="C3067" s="13" t="s">
        <v>2939</v>
      </c>
      <c r="D3067" s="13" t="s">
        <v>2940</v>
      </c>
      <c r="E3067" s="13" t="s">
        <v>2948</v>
      </c>
      <c r="F3067" s="15">
        <v>0</v>
      </c>
    </row>
    <row r="3068" spans="2:6" hidden="1" x14ac:dyDescent="0.2">
      <c r="B3068" s="14">
        <v>2013</v>
      </c>
      <c r="C3068" s="13" t="s">
        <v>2939</v>
      </c>
      <c r="D3068" s="13" t="s">
        <v>2940</v>
      </c>
      <c r="E3068" s="13" t="s">
        <v>2949</v>
      </c>
      <c r="F3068" s="15">
        <v>5</v>
      </c>
    </row>
    <row r="3069" spans="2:6" hidden="1" x14ac:dyDescent="0.2">
      <c r="B3069" s="14">
        <v>2013</v>
      </c>
      <c r="C3069" s="13" t="s">
        <v>2939</v>
      </c>
      <c r="D3069" s="13" t="s">
        <v>2940</v>
      </c>
      <c r="E3069" s="13" t="s">
        <v>2950</v>
      </c>
      <c r="F3069" s="15">
        <v>0</v>
      </c>
    </row>
    <row r="3070" spans="2:6" hidden="1" x14ac:dyDescent="0.2">
      <c r="B3070" s="14">
        <v>2013</v>
      </c>
      <c r="C3070" s="13" t="s">
        <v>2939</v>
      </c>
      <c r="D3070" s="13" t="s">
        <v>2940</v>
      </c>
      <c r="E3070" s="13" t="s">
        <v>2951</v>
      </c>
      <c r="F3070" s="15">
        <v>10</v>
      </c>
    </row>
    <row r="3071" spans="2:6" hidden="1" x14ac:dyDescent="0.2">
      <c r="B3071" s="14">
        <v>2013</v>
      </c>
      <c r="C3071" s="13" t="s">
        <v>2939</v>
      </c>
      <c r="D3071" s="13" t="s">
        <v>2940</v>
      </c>
      <c r="E3071" s="13" t="s">
        <v>2952</v>
      </c>
      <c r="F3071" s="15">
        <v>12</v>
      </c>
    </row>
    <row r="3072" spans="2:6" hidden="1" x14ac:dyDescent="0.2">
      <c r="B3072" s="14">
        <v>2013</v>
      </c>
      <c r="C3072" s="13" t="s">
        <v>2939</v>
      </c>
      <c r="D3072" s="13" t="s">
        <v>2940</v>
      </c>
      <c r="E3072" s="13" t="s">
        <v>1858</v>
      </c>
      <c r="F3072" s="15">
        <v>0</v>
      </c>
    </row>
    <row r="3073" spans="2:6" hidden="1" x14ac:dyDescent="0.2">
      <c r="B3073" s="14">
        <v>2013</v>
      </c>
      <c r="C3073" s="13" t="s">
        <v>2939</v>
      </c>
      <c r="D3073" s="13" t="s">
        <v>2940</v>
      </c>
      <c r="E3073" s="13" t="s">
        <v>2953</v>
      </c>
      <c r="F3073" s="15">
        <v>3</v>
      </c>
    </row>
    <row r="3074" spans="2:6" hidden="1" x14ac:dyDescent="0.2">
      <c r="B3074" s="14">
        <v>2013</v>
      </c>
      <c r="C3074" s="13" t="s">
        <v>2939</v>
      </c>
      <c r="D3074" s="13" t="s">
        <v>2940</v>
      </c>
      <c r="E3074" s="13" t="s">
        <v>2954</v>
      </c>
      <c r="F3074" s="15">
        <v>6</v>
      </c>
    </row>
    <row r="3075" spans="2:6" hidden="1" x14ac:dyDescent="0.2">
      <c r="B3075" s="14">
        <v>2013</v>
      </c>
      <c r="C3075" s="13" t="s">
        <v>2939</v>
      </c>
      <c r="D3075" s="13" t="s">
        <v>2940</v>
      </c>
      <c r="E3075" s="13" t="s">
        <v>2955</v>
      </c>
      <c r="F3075" s="15">
        <v>2</v>
      </c>
    </row>
    <row r="3076" spans="2:6" hidden="1" x14ac:dyDescent="0.2">
      <c r="B3076" s="14">
        <v>2013</v>
      </c>
      <c r="C3076" s="13" t="s">
        <v>2939</v>
      </c>
      <c r="D3076" s="13" t="s">
        <v>2940</v>
      </c>
      <c r="E3076" s="13" t="s">
        <v>2956</v>
      </c>
      <c r="F3076" s="15">
        <v>7</v>
      </c>
    </row>
    <row r="3077" spans="2:6" hidden="1" x14ac:dyDescent="0.2">
      <c r="B3077" s="14">
        <v>2013</v>
      </c>
      <c r="C3077" s="13" t="s">
        <v>2939</v>
      </c>
      <c r="D3077" s="13" t="s">
        <v>2940</v>
      </c>
      <c r="E3077" s="13" t="s">
        <v>2957</v>
      </c>
      <c r="F3077" s="15">
        <v>0</v>
      </c>
    </row>
    <row r="3078" spans="2:6" hidden="1" x14ac:dyDescent="0.2">
      <c r="B3078" s="14">
        <v>2013</v>
      </c>
      <c r="C3078" s="13" t="s">
        <v>2939</v>
      </c>
      <c r="D3078" s="13" t="s">
        <v>2940</v>
      </c>
      <c r="E3078" s="13" t="s">
        <v>2958</v>
      </c>
      <c r="F3078" s="15">
        <v>2</v>
      </c>
    </row>
    <row r="3079" spans="2:6" hidden="1" x14ac:dyDescent="0.2">
      <c r="B3079" s="14">
        <v>2013</v>
      </c>
      <c r="C3079" s="13" t="s">
        <v>2939</v>
      </c>
      <c r="D3079" s="13" t="s">
        <v>2959</v>
      </c>
      <c r="E3079" s="13" t="s">
        <v>2959</v>
      </c>
      <c r="F3079" s="15">
        <v>12</v>
      </c>
    </row>
    <row r="3080" spans="2:6" hidden="1" x14ac:dyDescent="0.2">
      <c r="B3080" s="14">
        <v>2013</v>
      </c>
      <c r="C3080" s="13" t="s">
        <v>2939</v>
      </c>
      <c r="D3080" s="13" t="s">
        <v>2959</v>
      </c>
      <c r="E3080" s="13" t="s">
        <v>2960</v>
      </c>
      <c r="F3080" s="15">
        <v>0</v>
      </c>
    </row>
    <row r="3081" spans="2:6" hidden="1" x14ac:dyDescent="0.2">
      <c r="B3081" s="14">
        <v>2013</v>
      </c>
      <c r="C3081" s="13" t="s">
        <v>2939</v>
      </c>
      <c r="D3081" s="13" t="s">
        <v>2959</v>
      </c>
      <c r="E3081" s="13" t="s">
        <v>2961</v>
      </c>
      <c r="F3081" s="15">
        <v>0</v>
      </c>
    </row>
    <row r="3082" spans="2:6" hidden="1" x14ac:dyDescent="0.2">
      <c r="B3082" s="14">
        <v>2013</v>
      </c>
      <c r="C3082" s="13" t="s">
        <v>2939</v>
      </c>
      <c r="D3082" s="13" t="s">
        <v>2959</v>
      </c>
      <c r="E3082" s="13" t="s">
        <v>2962</v>
      </c>
      <c r="F3082" s="15">
        <v>0</v>
      </c>
    </row>
    <row r="3083" spans="2:6" hidden="1" x14ac:dyDescent="0.2">
      <c r="B3083" s="14">
        <v>2013</v>
      </c>
      <c r="C3083" s="13" t="s">
        <v>2939</v>
      </c>
      <c r="D3083" s="13" t="s">
        <v>2959</v>
      </c>
      <c r="E3083" s="13" t="s">
        <v>2963</v>
      </c>
      <c r="F3083" s="15">
        <v>5</v>
      </c>
    </row>
    <row r="3084" spans="2:6" hidden="1" x14ac:dyDescent="0.2">
      <c r="B3084" s="14">
        <v>2013</v>
      </c>
      <c r="C3084" s="13" t="s">
        <v>2939</v>
      </c>
      <c r="D3084" s="13" t="s">
        <v>2959</v>
      </c>
      <c r="E3084" s="13" t="s">
        <v>2722</v>
      </c>
      <c r="F3084" s="15">
        <v>2</v>
      </c>
    </row>
    <row r="3085" spans="2:6" hidden="1" x14ac:dyDescent="0.2">
      <c r="B3085" s="14">
        <v>2013</v>
      </c>
      <c r="C3085" s="13" t="s">
        <v>2939</v>
      </c>
      <c r="D3085" s="13" t="s">
        <v>2939</v>
      </c>
      <c r="E3085" s="13" t="s">
        <v>2939</v>
      </c>
      <c r="F3085" s="15">
        <v>32</v>
      </c>
    </row>
    <row r="3086" spans="2:6" hidden="1" x14ac:dyDescent="0.2">
      <c r="B3086" s="14">
        <v>2013</v>
      </c>
      <c r="C3086" s="13" t="s">
        <v>2939</v>
      </c>
      <c r="D3086" s="13" t="s">
        <v>2939</v>
      </c>
      <c r="E3086" s="13" t="s">
        <v>2964</v>
      </c>
      <c r="F3086" s="15">
        <v>0</v>
      </c>
    </row>
    <row r="3087" spans="2:6" hidden="1" x14ac:dyDescent="0.2">
      <c r="B3087" s="14">
        <v>2013</v>
      </c>
      <c r="C3087" s="13" t="s">
        <v>2939</v>
      </c>
      <c r="D3087" s="13" t="s">
        <v>2939</v>
      </c>
      <c r="E3087" s="13" t="s">
        <v>2965</v>
      </c>
      <c r="F3087" s="15">
        <v>5</v>
      </c>
    </row>
    <row r="3088" spans="2:6" hidden="1" x14ac:dyDescent="0.2">
      <c r="B3088" s="14">
        <v>2013</v>
      </c>
      <c r="C3088" s="13" t="s">
        <v>2939</v>
      </c>
      <c r="D3088" s="13" t="s">
        <v>2939</v>
      </c>
      <c r="E3088" s="13" t="s">
        <v>2966</v>
      </c>
      <c r="F3088" s="15">
        <v>4</v>
      </c>
    </row>
    <row r="3089" spans="2:6" hidden="1" x14ac:dyDescent="0.2">
      <c r="B3089" s="14">
        <v>2013</v>
      </c>
      <c r="C3089" s="13" t="s">
        <v>2939</v>
      </c>
      <c r="D3089" s="13" t="s">
        <v>2939</v>
      </c>
      <c r="E3089" s="13" t="s">
        <v>2967</v>
      </c>
      <c r="F3089" s="15">
        <v>3</v>
      </c>
    </row>
    <row r="3090" spans="2:6" hidden="1" x14ac:dyDescent="0.2">
      <c r="B3090" s="14">
        <v>2013</v>
      </c>
      <c r="C3090" s="13" t="s">
        <v>2939</v>
      </c>
      <c r="D3090" s="13" t="s">
        <v>2939</v>
      </c>
      <c r="E3090" s="13" t="s">
        <v>2968</v>
      </c>
      <c r="F3090" s="15">
        <v>1</v>
      </c>
    </row>
    <row r="3091" spans="2:6" hidden="1" x14ac:dyDescent="0.2">
      <c r="B3091" s="14">
        <v>2013</v>
      </c>
      <c r="C3091" s="13" t="s">
        <v>2939</v>
      </c>
      <c r="D3091" s="13" t="s">
        <v>2939</v>
      </c>
      <c r="E3091" s="13" t="s">
        <v>2969</v>
      </c>
      <c r="F3091" s="15">
        <v>6</v>
      </c>
    </row>
    <row r="3092" spans="2:6" hidden="1" x14ac:dyDescent="0.2">
      <c r="B3092" s="14">
        <v>2013</v>
      </c>
      <c r="C3092" s="13" t="s">
        <v>2939</v>
      </c>
      <c r="D3092" s="13" t="s">
        <v>2939</v>
      </c>
      <c r="E3092" s="13" t="s">
        <v>2970</v>
      </c>
      <c r="F3092" s="15">
        <v>16</v>
      </c>
    </row>
    <row r="3093" spans="2:6" hidden="1" x14ac:dyDescent="0.2">
      <c r="B3093" s="14">
        <v>2013</v>
      </c>
      <c r="C3093" s="13" t="s">
        <v>2939</v>
      </c>
      <c r="D3093" s="13" t="s">
        <v>2939</v>
      </c>
      <c r="E3093" s="13" t="s">
        <v>2971</v>
      </c>
      <c r="F3093" s="15">
        <v>0</v>
      </c>
    </row>
    <row r="3094" spans="2:6" hidden="1" x14ac:dyDescent="0.2">
      <c r="B3094" s="14">
        <v>2013</v>
      </c>
      <c r="C3094" s="13" t="s">
        <v>2939</v>
      </c>
      <c r="D3094" s="13" t="s">
        <v>2939</v>
      </c>
      <c r="E3094" s="13" t="s">
        <v>2723</v>
      </c>
      <c r="F3094" s="15">
        <v>1</v>
      </c>
    </row>
    <row r="3095" spans="2:6" hidden="1" x14ac:dyDescent="0.2">
      <c r="B3095" s="14">
        <v>2013</v>
      </c>
      <c r="C3095" s="13" t="s">
        <v>2939</v>
      </c>
      <c r="D3095" s="13" t="s">
        <v>2939</v>
      </c>
      <c r="E3095" s="13" t="s">
        <v>2902</v>
      </c>
      <c r="F3095" s="15">
        <v>5</v>
      </c>
    </row>
    <row r="3096" spans="2:6" hidden="1" x14ac:dyDescent="0.2">
      <c r="B3096" s="14">
        <v>2013</v>
      </c>
      <c r="C3096" s="13" t="s">
        <v>2939</v>
      </c>
      <c r="D3096" s="13" t="s">
        <v>2939</v>
      </c>
      <c r="E3096" s="13" t="s">
        <v>2972</v>
      </c>
      <c r="F3096" s="15">
        <v>2</v>
      </c>
    </row>
    <row r="3097" spans="2:6" hidden="1" x14ac:dyDescent="0.2">
      <c r="B3097" s="14">
        <v>2013</v>
      </c>
      <c r="C3097" s="13" t="s">
        <v>2973</v>
      </c>
      <c r="D3097" s="13" t="s">
        <v>2973</v>
      </c>
      <c r="E3097" s="13" t="s">
        <v>2973</v>
      </c>
      <c r="F3097" s="15">
        <v>405</v>
      </c>
    </row>
    <row r="3098" spans="2:6" hidden="1" x14ac:dyDescent="0.2">
      <c r="B3098" s="14">
        <v>2013</v>
      </c>
      <c r="C3098" s="13" t="s">
        <v>2973</v>
      </c>
      <c r="D3098" s="13" t="s">
        <v>2973</v>
      </c>
      <c r="E3098" s="13" t="s">
        <v>2974</v>
      </c>
      <c r="F3098" s="15">
        <v>23</v>
      </c>
    </row>
    <row r="3099" spans="2:6" hidden="1" x14ac:dyDescent="0.2">
      <c r="B3099" s="14">
        <v>2013</v>
      </c>
      <c r="C3099" s="13" t="s">
        <v>2973</v>
      </c>
      <c r="D3099" s="13" t="s">
        <v>2973</v>
      </c>
      <c r="E3099" s="13" t="s">
        <v>2975</v>
      </c>
      <c r="F3099" s="15">
        <v>254</v>
      </c>
    </row>
    <row r="3100" spans="2:6" hidden="1" x14ac:dyDescent="0.2">
      <c r="B3100" s="14">
        <v>2013</v>
      </c>
      <c r="C3100" s="13" t="s">
        <v>2973</v>
      </c>
      <c r="D3100" s="13" t="s">
        <v>2973</v>
      </c>
      <c r="E3100" s="13" t="s">
        <v>2976</v>
      </c>
      <c r="F3100" s="15">
        <v>52</v>
      </c>
    </row>
    <row r="3101" spans="2:6" hidden="1" x14ac:dyDescent="0.2">
      <c r="B3101" s="14">
        <v>2013</v>
      </c>
      <c r="C3101" s="13" t="s">
        <v>2973</v>
      </c>
      <c r="D3101" s="13" t="s">
        <v>2973</v>
      </c>
      <c r="E3101" s="13" t="s">
        <v>2977</v>
      </c>
      <c r="F3101" s="15">
        <v>106</v>
      </c>
    </row>
    <row r="3102" spans="2:6" hidden="1" x14ac:dyDescent="0.2">
      <c r="B3102" s="14">
        <v>2013</v>
      </c>
      <c r="C3102" s="13" t="s">
        <v>2973</v>
      </c>
      <c r="D3102" s="13" t="s">
        <v>2973</v>
      </c>
      <c r="E3102" s="13" t="s">
        <v>2978</v>
      </c>
      <c r="F3102" s="15">
        <v>154</v>
      </c>
    </row>
    <row r="3103" spans="2:6" hidden="1" x14ac:dyDescent="0.2">
      <c r="B3103" s="14">
        <v>2013</v>
      </c>
      <c r="C3103" s="13" t="s">
        <v>2973</v>
      </c>
      <c r="D3103" s="13" t="s">
        <v>2973</v>
      </c>
      <c r="E3103" s="13" t="s">
        <v>2979</v>
      </c>
      <c r="F3103" s="15">
        <v>33</v>
      </c>
    </row>
    <row r="3104" spans="2:6" hidden="1" x14ac:dyDescent="0.2">
      <c r="B3104" s="14">
        <v>2013</v>
      </c>
      <c r="C3104" s="13" t="s">
        <v>2973</v>
      </c>
      <c r="D3104" s="13" t="s">
        <v>2973</v>
      </c>
      <c r="E3104" s="13" t="s">
        <v>2980</v>
      </c>
      <c r="F3104" s="15">
        <v>71</v>
      </c>
    </row>
    <row r="3105" spans="2:6" hidden="1" x14ac:dyDescent="0.2">
      <c r="B3105" s="14">
        <v>2013</v>
      </c>
      <c r="C3105" s="13" t="s">
        <v>2973</v>
      </c>
      <c r="D3105" s="13" t="s">
        <v>2973</v>
      </c>
      <c r="E3105" s="13" t="s">
        <v>2981</v>
      </c>
      <c r="F3105" s="15">
        <v>27</v>
      </c>
    </row>
    <row r="3106" spans="2:6" hidden="1" x14ac:dyDescent="0.2">
      <c r="B3106" s="14">
        <v>2013</v>
      </c>
      <c r="C3106" s="13" t="s">
        <v>2973</v>
      </c>
      <c r="D3106" s="13" t="s">
        <v>2973</v>
      </c>
      <c r="E3106" s="13" t="s">
        <v>2780</v>
      </c>
      <c r="F3106" s="15">
        <v>348</v>
      </c>
    </row>
    <row r="3107" spans="2:6" hidden="1" x14ac:dyDescent="0.2">
      <c r="B3107" s="14">
        <v>2013</v>
      </c>
      <c r="C3107" s="13" t="s">
        <v>2973</v>
      </c>
      <c r="D3107" s="13" t="s">
        <v>2973</v>
      </c>
      <c r="E3107" s="13" t="s">
        <v>2982</v>
      </c>
      <c r="F3107" s="15">
        <v>126</v>
      </c>
    </row>
    <row r="3108" spans="2:6" hidden="1" x14ac:dyDescent="0.2">
      <c r="B3108" s="14">
        <v>2013</v>
      </c>
      <c r="C3108" s="13" t="s">
        <v>2973</v>
      </c>
      <c r="D3108" s="13" t="s">
        <v>2973</v>
      </c>
      <c r="E3108" s="13" t="s">
        <v>1874</v>
      </c>
      <c r="F3108" s="15">
        <v>134</v>
      </c>
    </row>
    <row r="3109" spans="2:6" hidden="1" x14ac:dyDescent="0.2">
      <c r="B3109" s="14">
        <v>2013</v>
      </c>
      <c r="C3109" s="13" t="s">
        <v>2973</v>
      </c>
      <c r="D3109" s="13" t="s">
        <v>2973</v>
      </c>
      <c r="E3109" s="13" t="s">
        <v>2983</v>
      </c>
      <c r="F3109" s="15">
        <v>36</v>
      </c>
    </row>
    <row r="3110" spans="2:6" hidden="1" x14ac:dyDescent="0.2">
      <c r="B3110" s="14">
        <v>2013</v>
      </c>
      <c r="C3110" s="13" t="s">
        <v>2973</v>
      </c>
      <c r="D3110" s="13" t="s">
        <v>2973</v>
      </c>
      <c r="E3110" s="13" t="s">
        <v>2984</v>
      </c>
      <c r="F3110" s="15">
        <v>62</v>
      </c>
    </row>
    <row r="3111" spans="2:6" hidden="1" x14ac:dyDescent="0.2">
      <c r="B3111" s="14">
        <v>2013</v>
      </c>
      <c r="C3111" s="13" t="s">
        <v>2973</v>
      </c>
      <c r="D3111" s="13" t="s">
        <v>2973</v>
      </c>
      <c r="E3111" s="13" t="s">
        <v>2945</v>
      </c>
      <c r="F3111" s="15">
        <v>153</v>
      </c>
    </row>
    <row r="3112" spans="2:6" hidden="1" x14ac:dyDescent="0.2">
      <c r="B3112" s="14">
        <v>2013</v>
      </c>
      <c r="C3112" s="13" t="s">
        <v>2973</v>
      </c>
      <c r="D3112" s="13" t="s">
        <v>2973</v>
      </c>
      <c r="E3112" s="13" t="s">
        <v>2985</v>
      </c>
      <c r="F3112" s="15">
        <v>70</v>
      </c>
    </row>
    <row r="3113" spans="2:6" hidden="1" x14ac:dyDescent="0.2">
      <c r="B3113" s="14">
        <v>2013</v>
      </c>
      <c r="C3113" s="13" t="s">
        <v>2973</v>
      </c>
      <c r="D3113" s="13" t="s">
        <v>2973</v>
      </c>
      <c r="E3113" s="13" t="s">
        <v>2986</v>
      </c>
      <c r="F3113" s="15">
        <v>455</v>
      </c>
    </row>
    <row r="3114" spans="2:6" hidden="1" x14ac:dyDescent="0.2">
      <c r="B3114" s="14">
        <v>2013</v>
      </c>
      <c r="C3114" s="13" t="s">
        <v>2973</v>
      </c>
      <c r="D3114" s="13" t="s">
        <v>2973</v>
      </c>
      <c r="E3114" s="13" t="s">
        <v>2987</v>
      </c>
      <c r="F3114" s="15">
        <v>50</v>
      </c>
    </row>
    <row r="3115" spans="2:6" hidden="1" x14ac:dyDescent="0.2">
      <c r="B3115" s="14">
        <v>2013</v>
      </c>
      <c r="C3115" s="13" t="s">
        <v>2973</v>
      </c>
      <c r="D3115" s="13" t="s">
        <v>2973</v>
      </c>
      <c r="E3115" s="13" t="s">
        <v>2988</v>
      </c>
      <c r="F3115" s="15">
        <v>99</v>
      </c>
    </row>
    <row r="3116" spans="2:6" hidden="1" x14ac:dyDescent="0.2">
      <c r="B3116" s="14">
        <v>2013</v>
      </c>
      <c r="C3116" s="13" t="s">
        <v>2973</v>
      </c>
      <c r="D3116" s="13" t="s">
        <v>2973</v>
      </c>
      <c r="E3116" s="13" t="s">
        <v>2989</v>
      </c>
      <c r="F3116" s="15">
        <v>34</v>
      </c>
    </row>
    <row r="3117" spans="2:6" hidden="1" x14ac:dyDescent="0.2">
      <c r="B3117" s="14">
        <v>2013</v>
      </c>
      <c r="C3117" s="13" t="s">
        <v>2973</v>
      </c>
      <c r="D3117" s="13" t="s">
        <v>2973</v>
      </c>
      <c r="E3117" s="13" t="s">
        <v>1961</v>
      </c>
      <c r="F3117" s="15">
        <v>77</v>
      </c>
    </row>
    <row r="3118" spans="2:6" hidden="1" x14ac:dyDescent="0.2">
      <c r="B3118" s="14">
        <v>2013</v>
      </c>
      <c r="C3118" s="13" t="s">
        <v>2973</v>
      </c>
      <c r="D3118" s="13" t="s">
        <v>2973</v>
      </c>
      <c r="E3118" s="13" t="s">
        <v>2122</v>
      </c>
      <c r="F3118" s="15">
        <v>131</v>
      </c>
    </row>
    <row r="3119" spans="2:6" hidden="1" x14ac:dyDescent="0.2">
      <c r="B3119" s="14">
        <v>2013</v>
      </c>
      <c r="C3119" s="13" t="s">
        <v>2973</v>
      </c>
      <c r="D3119" s="13" t="s">
        <v>2973</v>
      </c>
      <c r="E3119" s="13" t="s">
        <v>2990</v>
      </c>
      <c r="F3119" s="15">
        <v>80</v>
      </c>
    </row>
    <row r="3120" spans="2:6" hidden="1" x14ac:dyDescent="0.2">
      <c r="B3120" s="14">
        <v>2013</v>
      </c>
      <c r="C3120" s="13" t="s">
        <v>2973</v>
      </c>
      <c r="D3120" s="13" t="s">
        <v>2973</v>
      </c>
      <c r="E3120" s="13" t="s">
        <v>2991</v>
      </c>
      <c r="F3120" s="15">
        <v>6</v>
      </c>
    </row>
    <row r="3121" spans="2:6" hidden="1" x14ac:dyDescent="0.2">
      <c r="B3121" s="14">
        <v>2013</v>
      </c>
      <c r="C3121" s="13" t="s">
        <v>2973</v>
      </c>
      <c r="D3121" s="13" t="s">
        <v>2973</v>
      </c>
      <c r="E3121" s="13" t="s">
        <v>2992</v>
      </c>
      <c r="F3121" s="15">
        <v>73</v>
      </c>
    </row>
    <row r="3122" spans="2:6" hidden="1" x14ac:dyDescent="0.2">
      <c r="B3122" s="14">
        <v>2013</v>
      </c>
      <c r="C3122" s="13" t="s">
        <v>2973</v>
      </c>
      <c r="D3122" s="13" t="s">
        <v>2973</v>
      </c>
      <c r="E3122" s="13" t="s">
        <v>2993</v>
      </c>
      <c r="F3122" s="15">
        <v>25</v>
      </c>
    </row>
    <row r="3123" spans="2:6" hidden="1" x14ac:dyDescent="0.2">
      <c r="B3123" s="14">
        <v>2013</v>
      </c>
      <c r="C3123" s="13" t="s">
        <v>2973</v>
      </c>
      <c r="D3123" s="13" t="s">
        <v>2973</v>
      </c>
      <c r="E3123" s="13" t="s">
        <v>2994</v>
      </c>
      <c r="F3123" s="15">
        <v>5</v>
      </c>
    </row>
    <row r="3124" spans="2:6" hidden="1" x14ac:dyDescent="0.2">
      <c r="B3124" s="14">
        <v>2013</v>
      </c>
      <c r="C3124" s="13" t="s">
        <v>2973</v>
      </c>
      <c r="D3124" s="13" t="s">
        <v>2973</v>
      </c>
      <c r="E3124" s="13" t="s">
        <v>2995</v>
      </c>
      <c r="F3124" s="15">
        <v>55</v>
      </c>
    </row>
    <row r="3125" spans="2:6" hidden="1" x14ac:dyDescent="0.2">
      <c r="B3125" s="14">
        <v>2013</v>
      </c>
      <c r="C3125" s="13" t="s">
        <v>2973</v>
      </c>
      <c r="D3125" s="13" t="s">
        <v>2973</v>
      </c>
      <c r="E3125" s="13" t="s">
        <v>2996</v>
      </c>
      <c r="F3125" s="15">
        <v>7</v>
      </c>
    </row>
    <row r="3126" spans="2:6" hidden="1" x14ac:dyDescent="0.2">
      <c r="B3126" s="14">
        <v>2013</v>
      </c>
      <c r="C3126" s="13" t="s">
        <v>2973</v>
      </c>
      <c r="D3126" s="13" t="s">
        <v>2973</v>
      </c>
      <c r="E3126" s="13" t="s">
        <v>2997</v>
      </c>
      <c r="F3126" s="15">
        <v>31</v>
      </c>
    </row>
    <row r="3127" spans="2:6" hidden="1" x14ac:dyDescent="0.2">
      <c r="B3127" s="14">
        <v>2013</v>
      </c>
      <c r="C3127" s="13" t="s">
        <v>2973</v>
      </c>
      <c r="D3127" s="13" t="s">
        <v>2973</v>
      </c>
      <c r="E3127" s="13" t="s">
        <v>2620</v>
      </c>
      <c r="F3127" s="15">
        <v>73</v>
      </c>
    </row>
    <row r="3128" spans="2:6" hidden="1" x14ac:dyDescent="0.2">
      <c r="B3128" s="14">
        <v>2013</v>
      </c>
      <c r="C3128" s="13" t="s">
        <v>2973</v>
      </c>
      <c r="D3128" s="13" t="s">
        <v>2973</v>
      </c>
      <c r="E3128" s="13" t="s">
        <v>2998</v>
      </c>
      <c r="F3128" s="15">
        <v>429</v>
      </c>
    </row>
    <row r="3129" spans="2:6" hidden="1" x14ac:dyDescent="0.2">
      <c r="B3129" s="14">
        <v>2013</v>
      </c>
      <c r="C3129" s="13" t="s">
        <v>2973</v>
      </c>
      <c r="D3129" s="13" t="s">
        <v>2973</v>
      </c>
      <c r="E3129" s="13" t="s">
        <v>2999</v>
      </c>
      <c r="F3129" s="15">
        <v>207</v>
      </c>
    </row>
    <row r="3130" spans="2:6" hidden="1" x14ac:dyDescent="0.2">
      <c r="B3130" s="14">
        <v>2013</v>
      </c>
      <c r="C3130" s="13" t="s">
        <v>2973</v>
      </c>
      <c r="D3130" s="13" t="s">
        <v>2973</v>
      </c>
      <c r="E3130" s="13" t="s">
        <v>1922</v>
      </c>
      <c r="F3130" s="15">
        <v>20</v>
      </c>
    </row>
    <row r="3131" spans="2:6" hidden="1" x14ac:dyDescent="0.2">
      <c r="B3131" s="14">
        <v>2013</v>
      </c>
      <c r="C3131" s="13" t="s">
        <v>2973</v>
      </c>
      <c r="D3131" s="13" t="s">
        <v>2973</v>
      </c>
      <c r="E3131" s="13" t="s">
        <v>3000</v>
      </c>
      <c r="F3131" s="15">
        <v>370</v>
      </c>
    </row>
    <row r="3132" spans="2:6" hidden="1" x14ac:dyDescent="0.2">
      <c r="B3132" s="14">
        <v>2013</v>
      </c>
      <c r="C3132" s="13" t="s">
        <v>2973</v>
      </c>
      <c r="D3132" s="13" t="s">
        <v>2973</v>
      </c>
      <c r="E3132" s="13" t="s">
        <v>2257</v>
      </c>
      <c r="F3132" s="15">
        <v>90</v>
      </c>
    </row>
    <row r="3133" spans="2:6" hidden="1" x14ac:dyDescent="0.2">
      <c r="B3133" s="14">
        <v>2013</v>
      </c>
      <c r="C3133" s="13" t="s">
        <v>2973</v>
      </c>
      <c r="D3133" s="13" t="s">
        <v>2973</v>
      </c>
      <c r="E3133" s="13" t="s">
        <v>3001</v>
      </c>
      <c r="F3133" s="15">
        <v>85</v>
      </c>
    </row>
    <row r="3134" spans="2:6" hidden="1" x14ac:dyDescent="0.2">
      <c r="B3134" s="14">
        <v>2013</v>
      </c>
      <c r="C3134" s="13" t="s">
        <v>2973</v>
      </c>
      <c r="D3134" s="13" t="s">
        <v>2973</v>
      </c>
      <c r="E3134" s="13" t="s">
        <v>3002</v>
      </c>
      <c r="F3134" s="15">
        <v>2</v>
      </c>
    </row>
    <row r="3135" spans="2:6" hidden="1" x14ac:dyDescent="0.2">
      <c r="B3135" s="14">
        <v>2013</v>
      </c>
      <c r="C3135" s="13" t="s">
        <v>2973</v>
      </c>
      <c r="D3135" s="13" t="s">
        <v>2973</v>
      </c>
      <c r="E3135" s="13" t="s">
        <v>1858</v>
      </c>
      <c r="F3135" s="15">
        <v>3</v>
      </c>
    </row>
    <row r="3136" spans="2:6" hidden="1" x14ac:dyDescent="0.2">
      <c r="B3136" s="14">
        <v>2013</v>
      </c>
      <c r="C3136" s="13" t="s">
        <v>2973</v>
      </c>
      <c r="D3136" s="13" t="s">
        <v>2973</v>
      </c>
      <c r="E3136" s="13" t="s">
        <v>3003</v>
      </c>
      <c r="F3136" s="15">
        <v>52</v>
      </c>
    </row>
    <row r="3137" spans="2:6" hidden="1" x14ac:dyDescent="0.2">
      <c r="B3137" s="14">
        <v>2013</v>
      </c>
      <c r="C3137" s="13" t="s">
        <v>2973</v>
      </c>
      <c r="D3137" s="13" t="s">
        <v>2973</v>
      </c>
      <c r="E3137" s="13" t="s">
        <v>3004</v>
      </c>
      <c r="F3137" s="15">
        <v>58</v>
      </c>
    </row>
    <row r="3138" spans="2:6" hidden="1" x14ac:dyDescent="0.2">
      <c r="B3138" s="14">
        <v>2013</v>
      </c>
      <c r="C3138" s="13" t="s">
        <v>2973</v>
      </c>
      <c r="D3138" s="13" t="s">
        <v>2973</v>
      </c>
      <c r="E3138" s="13" t="s">
        <v>3005</v>
      </c>
      <c r="F3138" s="15">
        <v>52</v>
      </c>
    </row>
    <row r="3139" spans="2:6" hidden="1" x14ac:dyDescent="0.2">
      <c r="B3139" s="14">
        <v>2013</v>
      </c>
      <c r="C3139" s="13" t="s">
        <v>2973</v>
      </c>
      <c r="D3139" s="13" t="s">
        <v>2973</v>
      </c>
      <c r="E3139" s="13" t="s">
        <v>3006</v>
      </c>
      <c r="F3139" s="15">
        <v>150</v>
      </c>
    </row>
    <row r="3140" spans="2:6" hidden="1" x14ac:dyDescent="0.2">
      <c r="B3140" s="14">
        <v>2013</v>
      </c>
      <c r="C3140" s="13" t="s">
        <v>2973</v>
      </c>
      <c r="D3140" s="13" t="s">
        <v>3007</v>
      </c>
      <c r="E3140" s="13" t="s">
        <v>3007</v>
      </c>
      <c r="F3140" s="15">
        <v>82</v>
      </c>
    </row>
    <row r="3141" spans="2:6" hidden="1" x14ac:dyDescent="0.2">
      <c r="B3141" s="14">
        <v>2013</v>
      </c>
      <c r="C3141" s="13" t="s">
        <v>2973</v>
      </c>
      <c r="D3141" s="13" t="s">
        <v>3007</v>
      </c>
      <c r="E3141" s="13" t="s">
        <v>3008</v>
      </c>
      <c r="F3141" s="15">
        <v>3</v>
      </c>
    </row>
    <row r="3142" spans="2:6" hidden="1" x14ac:dyDescent="0.2">
      <c r="B3142" s="14">
        <v>2013</v>
      </c>
      <c r="C3142" s="13" t="s">
        <v>2973</v>
      </c>
      <c r="D3142" s="13" t="s">
        <v>3007</v>
      </c>
      <c r="E3142" s="13" t="s">
        <v>3009</v>
      </c>
      <c r="F3142" s="15">
        <v>6</v>
      </c>
    </row>
    <row r="3143" spans="2:6" hidden="1" x14ac:dyDescent="0.2">
      <c r="B3143" s="14">
        <v>2013</v>
      </c>
      <c r="C3143" s="13" t="s">
        <v>2973</v>
      </c>
      <c r="D3143" s="13" t="s">
        <v>3007</v>
      </c>
      <c r="E3143" s="13" t="s">
        <v>3010</v>
      </c>
      <c r="F3143" s="15">
        <v>3</v>
      </c>
    </row>
    <row r="3144" spans="2:6" hidden="1" x14ac:dyDescent="0.2">
      <c r="B3144" s="14">
        <v>2013</v>
      </c>
      <c r="C3144" s="13" t="s">
        <v>2973</v>
      </c>
      <c r="D3144" s="13" t="s">
        <v>3007</v>
      </c>
      <c r="E3144" s="13" t="s">
        <v>3011</v>
      </c>
      <c r="F3144" s="15">
        <v>5</v>
      </c>
    </row>
    <row r="3145" spans="2:6" hidden="1" x14ac:dyDescent="0.2">
      <c r="B3145" s="14">
        <v>2013</v>
      </c>
      <c r="C3145" s="13" t="s">
        <v>2973</v>
      </c>
      <c r="D3145" s="13" t="s">
        <v>3012</v>
      </c>
      <c r="E3145" s="13" t="s">
        <v>3012</v>
      </c>
      <c r="F3145" s="15">
        <v>0</v>
      </c>
    </row>
    <row r="3146" spans="2:6" hidden="1" x14ac:dyDescent="0.2">
      <c r="B3146" s="14">
        <v>2013</v>
      </c>
      <c r="C3146" s="13" t="s">
        <v>2973</v>
      </c>
      <c r="D3146" s="13" t="s">
        <v>3012</v>
      </c>
      <c r="E3146" s="13" t="s">
        <v>3013</v>
      </c>
      <c r="F3146" s="15">
        <v>0</v>
      </c>
    </row>
    <row r="3147" spans="2:6" hidden="1" x14ac:dyDescent="0.2">
      <c r="B3147" s="14">
        <v>2013</v>
      </c>
      <c r="C3147" s="13" t="s">
        <v>2973</v>
      </c>
      <c r="D3147" s="13" t="s">
        <v>3012</v>
      </c>
      <c r="E3147" s="13" t="s">
        <v>3014</v>
      </c>
      <c r="F3147" s="15">
        <v>0</v>
      </c>
    </row>
    <row r="3148" spans="2:6" hidden="1" x14ac:dyDescent="0.2">
      <c r="B3148" s="14">
        <v>2013</v>
      </c>
      <c r="C3148" s="13" t="s">
        <v>2973</v>
      </c>
      <c r="D3148" s="13" t="s">
        <v>3012</v>
      </c>
      <c r="E3148" s="13" t="s">
        <v>3015</v>
      </c>
      <c r="F3148" s="15">
        <v>0</v>
      </c>
    </row>
    <row r="3149" spans="2:6" hidden="1" x14ac:dyDescent="0.2">
      <c r="B3149" s="14">
        <v>2013</v>
      </c>
      <c r="C3149" s="13" t="s">
        <v>2973</v>
      </c>
      <c r="D3149" s="13" t="s">
        <v>3012</v>
      </c>
      <c r="E3149" s="13" t="s">
        <v>3016</v>
      </c>
      <c r="F3149" s="15">
        <v>0</v>
      </c>
    </row>
    <row r="3150" spans="2:6" hidden="1" x14ac:dyDescent="0.2">
      <c r="B3150" s="14">
        <v>2013</v>
      </c>
      <c r="C3150" s="13" t="s">
        <v>2973</v>
      </c>
      <c r="D3150" s="13" t="s">
        <v>3017</v>
      </c>
      <c r="E3150" s="13" t="s">
        <v>3017</v>
      </c>
      <c r="F3150" s="15">
        <v>0</v>
      </c>
    </row>
    <row r="3151" spans="2:6" hidden="1" x14ac:dyDescent="0.2">
      <c r="B3151" s="14">
        <v>2013</v>
      </c>
      <c r="C3151" s="13" t="s">
        <v>2973</v>
      </c>
      <c r="D3151" s="13" t="s">
        <v>3017</v>
      </c>
      <c r="E3151" s="13" t="s">
        <v>3018</v>
      </c>
      <c r="F3151" s="15">
        <v>0</v>
      </c>
    </row>
    <row r="3152" spans="2:6" hidden="1" x14ac:dyDescent="0.2">
      <c r="B3152" s="14">
        <v>2013</v>
      </c>
      <c r="C3152" s="13" t="s">
        <v>2973</v>
      </c>
      <c r="D3152" s="13" t="s">
        <v>3017</v>
      </c>
      <c r="E3152" s="13" t="s">
        <v>3019</v>
      </c>
      <c r="F3152" s="15">
        <v>0</v>
      </c>
    </row>
    <row r="3153" spans="2:6" hidden="1" x14ac:dyDescent="0.2">
      <c r="B3153" s="14">
        <v>2013</v>
      </c>
      <c r="C3153" s="13" t="s">
        <v>2973</v>
      </c>
      <c r="D3153" s="13" t="s">
        <v>3017</v>
      </c>
      <c r="E3153" s="13" t="s">
        <v>3020</v>
      </c>
      <c r="F3153" s="15">
        <v>0</v>
      </c>
    </row>
    <row r="3154" spans="2:6" hidden="1" x14ac:dyDescent="0.2">
      <c r="B3154" s="14">
        <v>2013</v>
      </c>
      <c r="C3154" s="13" t="s">
        <v>2973</v>
      </c>
      <c r="D3154" s="13" t="s">
        <v>3017</v>
      </c>
      <c r="E3154" s="13" t="s">
        <v>3021</v>
      </c>
      <c r="F3154" s="15">
        <v>0</v>
      </c>
    </row>
    <row r="3155" spans="2:6" hidden="1" x14ac:dyDescent="0.2">
      <c r="B3155" s="14">
        <v>2013</v>
      </c>
      <c r="C3155" s="13" t="s">
        <v>2973</v>
      </c>
      <c r="D3155" s="13" t="s">
        <v>3017</v>
      </c>
      <c r="E3155" s="13" t="s">
        <v>2690</v>
      </c>
      <c r="F3155" s="15">
        <v>0</v>
      </c>
    </row>
    <row r="3156" spans="2:6" hidden="1" x14ac:dyDescent="0.2">
      <c r="B3156" s="14">
        <v>2013</v>
      </c>
      <c r="C3156" s="13" t="s">
        <v>2973</v>
      </c>
      <c r="D3156" s="13" t="s">
        <v>3017</v>
      </c>
      <c r="E3156" s="13" t="s">
        <v>3022</v>
      </c>
      <c r="F3156" s="15">
        <v>2</v>
      </c>
    </row>
    <row r="3157" spans="2:6" hidden="1" x14ac:dyDescent="0.2">
      <c r="B3157" s="14">
        <v>2013</v>
      </c>
      <c r="C3157" s="13" t="s">
        <v>2973</v>
      </c>
      <c r="D3157" s="13" t="s">
        <v>3023</v>
      </c>
      <c r="E3157" s="13" t="s">
        <v>3024</v>
      </c>
      <c r="F3157" s="15">
        <v>59</v>
      </c>
    </row>
    <row r="3158" spans="2:6" hidden="1" x14ac:dyDescent="0.2">
      <c r="B3158" s="14">
        <v>2013</v>
      </c>
      <c r="C3158" s="13" t="s">
        <v>2973</v>
      </c>
      <c r="D3158" s="13" t="s">
        <v>3023</v>
      </c>
      <c r="E3158" s="13" t="s">
        <v>3025</v>
      </c>
      <c r="F3158" s="15">
        <v>0</v>
      </c>
    </row>
    <row r="3159" spans="2:6" hidden="1" x14ac:dyDescent="0.2">
      <c r="B3159" s="14">
        <v>2013</v>
      </c>
      <c r="C3159" s="13" t="s">
        <v>2973</v>
      </c>
      <c r="D3159" s="13" t="s">
        <v>3023</v>
      </c>
      <c r="E3159" s="13" t="s">
        <v>3026</v>
      </c>
      <c r="F3159" s="15">
        <v>1</v>
      </c>
    </row>
    <row r="3160" spans="2:6" hidden="1" x14ac:dyDescent="0.2">
      <c r="B3160" s="14">
        <v>2013</v>
      </c>
      <c r="C3160" s="13" t="s">
        <v>2973</v>
      </c>
      <c r="D3160" s="13" t="s">
        <v>3023</v>
      </c>
      <c r="E3160" s="13" t="s">
        <v>3027</v>
      </c>
      <c r="F3160" s="15">
        <v>1</v>
      </c>
    </row>
    <row r="3161" spans="2:6" hidden="1" x14ac:dyDescent="0.2">
      <c r="B3161" s="14">
        <v>2013</v>
      </c>
      <c r="C3161" s="13" t="s">
        <v>2973</v>
      </c>
      <c r="D3161" s="13" t="s">
        <v>3023</v>
      </c>
      <c r="E3161" s="13" t="s">
        <v>2757</v>
      </c>
      <c r="F3161" s="15">
        <v>0</v>
      </c>
    </row>
    <row r="3162" spans="2:6" hidden="1" x14ac:dyDescent="0.2">
      <c r="B3162" s="14">
        <v>2013</v>
      </c>
      <c r="C3162" s="13" t="s">
        <v>2973</v>
      </c>
      <c r="D3162" s="13" t="s">
        <v>3023</v>
      </c>
      <c r="E3162" s="13" t="s">
        <v>3028</v>
      </c>
      <c r="F3162" s="15">
        <v>0</v>
      </c>
    </row>
    <row r="3163" spans="2:6" hidden="1" x14ac:dyDescent="0.2">
      <c r="B3163" s="14">
        <v>2013</v>
      </c>
      <c r="C3163" s="13" t="s">
        <v>2973</v>
      </c>
      <c r="D3163" s="13" t="s">
        <v>3023</v>
      </c>
      <c r="E3163" s="13" t="s">
        <v>3029</v>
      </c>
      <c r="F3163" s="15">
        <v>14</v>
      </c>
    </row>
    <row r="3164" spans="2:6" hidden="1" x14ac:dyDescent="0.2">
      <c r="B3164" s="14">
        <v>2013</v>
      </c>
      <c r="C3164" s="13" t="s">
        <v>2973</v>
      </c>
      <c r="D3164" s="13" t="s">
        <v>3023</v>
      </c>
      <c r="E3164" s="13" t="s">
        <v>3030</v>
      </c>
      <c r="F3164" s="15">
        <v>4</v>
      </c>
    </row>
    <row r="3165" spans="2:6" hidden="1" x14ac:dyDescent="0.2">
      <c r="B3165" s="14">
        <v>2013</v>
      </c>
      <c r="C3165" s="13" t="s">
        <v>2973</v>
      </c>
      <c r="D3165" s="13" t="s">
        <v>3023</v>
      </c>
      <c r="E3165" s="13" t="s">
        <v>3031</v>
      </c>
      <c r="F3165" s="15">
        <v>8</v>
      </c>
    </row>
    <row r="3166" spans="2:6" hidden="1" x14ac:dyDescent="0.2">
      <c r="B3166" s="14">
        <v>2013</v>
      </c>
      <c r="C3166" s="13" t="s">
        <v>2973</v>
      </c>
      <c r="D3166" s="13" t="s">
        <v>3023</v>
      </c>
      <c r="E3166" s="13" t="s">
        <v>3032</v>
      </c>
      <c r="F3166" s="15">
        <v>6</v>
      </c>
    </row>
    <row r="3167" spans="2:6" hidden="1" x14ac:dyDescent="0.2">
      <c r="B3167" s="14">
        <v>2013</v>
      </c>
      <c r="C3167" s="13" t="s">
        <v>2973</v>
      </c>
      <c r="D3167" s="13" t="s">
        <v>3023</v>
      </c>
      <c r="E3167" s="13" t="s">
        <v>3033</v>
      </c>
      <c r="F3167" s="15">
        <v>5</v>
      </c>
    </row>
    <row r="3168" spans="2:6" hidden="1" x14ac:dyDescent="0.2">
      <c r="B3168" s="14">
        <v>2013</v>
      </c>
      <c r="C3168" s="13" t="s">
        <v>2973</v>
      </c>
      <c r="D3168" s="13" t="s">
        <v>3023</v>
      </c>
      <c r="E3168" s="13" t="s">
        <v>3034</v>
      </c>
      <c r="F3168" s="15">
        <v>13</v>
      </c>
    </row>
    <row r="3169" spans="2:6" hidden="1" x14ac:dyDescent="0.2">
      <c r="B3169" s="14">
        <v>2013</v>
      </c>
      <c r="C3169" s="13" t="s">
        <v>2973</v>
      </c>
      <c r="D3169" s="13" t="s">
        <v>3023</v>
      </c>
      <c r="E3169" s="13" t="s">
        <v>2108</v>
      </c>
      <c r="F3169" s="15">
        <v>4</v>
      </c>
    </row>
    <row r="3170" spans="2:6" hidden="1" x14ac:dyDescent="0.2">
      <c r="B3170" s="14">
        <v>2013</v>
      </c>
      <c r="C3170" s="13" t="s">
        <v>2973</v>
      </c>
      <c r="D3170" s="13" t="s">
        <v>3023</v>
      </c>
      <c r="E3170" s="13" t="s">
        <v>1922</v>
      </c>
      <c r="F3170" s="15">
        <v>1</v>
      </c>
    </row>
    <row r="3171" spans="2:6" hidden="1" x14ac:dyDescent="0.2">
      <c r="B3171" s="14">
        <v>2013</v>
      </c>
      <c r="C3171" s="13" t="s">
        <v>2973</v>
      </c>
      <c r="D3171" s="13" t="s">
        <v>3023</v>
      </c>
      <c r="E3171" s="13" t="s">
        <v>3035</v>
      </c>
      <c r="F3171" s="15">
        <v>0</v>
      </c>
    </row>
    <row r="3172" spans="2:6" hidden="1" x14ac:dyDescent="0.2">
      <c r="B3172" s="14">
        <v>2013</v>
      </c>
      <c r="C3172" s="13" t="s">
        <v>2973</v>
      </c>
      <c r="D3172" s="13" t="s">
        <v>3023</v>
      </c>
      <c r="E3172" s="13" t="s">
        <v>3036</v>
      </c>
      <c r="F3172" s="15">
        <v>0</v>
      </c>
    </row>
    <row r="3173" spans="2:6" hidden="1" x14ac:dyDescent="0.2">
      <c r="B3173" s="14">
        <v>2013</v>
      </c>
      <c r="C3173" s="13" t="s">
        <v>2973</v>
      </c>
      <c r="D3173" s="13" t="s">
        <v>3037</v>
      </c>
      <c r="E3173" s="13" t="s">
        <v>3037</v>
      </c>
      <c r="F3173" s="15">
        <v>20</v>
      </c>
    </row>
    <row r="3174" spans="2:6" hidden="1" x14ac:dyDescent="0.2">
      <c r="B3174" s="14">
        <v>2013</v>
      </c>
      <c r="C3174" s="13" t="s">
        <v>2973</v>
      </c>
      <c r="D3174" s="13" t="s">
        <v>3037</v>
      </c>
      <c r="E3174" s="13" t="s">
        <v>3038</v>
      </c>
      <c r="F3174" s="15">
        <v>0</v>
      </c>
    </row>
    <row r="3175" spans="2:6" hidden="1" x14ac:dyDescent="0.2">
      <c r="B3175" s="14">
        <v>2013</v>
      </c>
      <c r="C3175" s="13" t="s">
        <v>2973</v>
      </c>
      <c r="D3175" s="13" t="s">
        <v>3037</v>
      </c>
      <c r="E3175" s="13" t="s">
        <v>3039</v>
      </c>
      <c r="F3175" s="15">
        <v>1</v>
      </c>
    </row>
    <row r="3176" spans="2:6" hidden="1" x14ac:dyDescent="0.2">
      <c r="B3176" s="14">
        <v>2013</v>
      </c>
      <c r="C3176" s="13" t="s">
        <v>2973</v>
      </c>
      <c r="D3176" s="13" t="s">
        <v>3037</v>
      </c>
      <c r="E3176" s="13" t="s">
        <v>3040</v>
      </c>
      <c r="F3176" s="15">
        <v>8</v>
      </c>
    </row>
    <row r="3177" spans="2:6" hidden="1" x14ac:dyDescent="0.2">
      <c r="B3177" s="14">
        <v>2013</v>
      </c>
      <c r="C3177" s="13" t="s">
        <v>2973</v>
      </c>
      <c r="D3177" s="13" t="s">
        <v>3037</v>
      </c>
      <c r="E3177" s="13" t="s">
        <v>2417</v>
      </c>
      <c r="F3177" s="15">
        <v>29</v>
      </c>
    </row>
    <row r="3178" spans="2:6" hidden="1" x14ac:dyDescent="0.2">
      <c r="B3178" s="14">
        <v>2013</v>
      </c>
      <c r="C3178" s="13" t="s">
        <v>2973</v>
      </c>
      <c r="D3178" s="13" t="s">
        <v>3037</v>
      </c>
      <c r="E3178" s="13" t="s">
        <v>3041</v>
      </c>
      <c r="F3178" s="15">
        <v>0</v>
      </c>
    </row>
    <row r="3179" spans="2:6" hidden="1" x14ac:dyDescent="0.2">
      <c r="B3179" s="14">
        <v>2013</v>
      </c>
      <c r="C3179" s="13" t="s">
        <v>2973</v>
      </c>
      <c r="D3179" s="13" t="s">
        <v>3037</v>
      </c>
      <c r="E3179" s="13" t="s">
        <v>3042</v>
      </c>
      <c r="F3179" s="15">
        <v>0</v>
      </c>
    </row>
    <row r="3180" spans="2:6" hidden="1" x14ac:dyDescent="0.2">
      <c r="B3180" s="14">
        <v>2013</v>
      </c>
      <c r="C3180" s="13" t="s">
        <v>2973</v>
      </c>
      <c r="D3180" s="13" t="s">
        <v>3037</v>
      </c>
      <c r="E3180" s="13" t="s">
        <v>3043</v>
      </c>
      <c r="F3180" s="15">
        <v>0</v>
      </c>
    </row>
    <row r="3181" spans="2:6" hidden="1" x14ac:dyDescent="0.2">
      <c r="B3181" s="14">
        <v>2013</v>
      </c>
      <c r="C3181" s="13" t="s">
        <v>2973</v>
      </c>
      <c r="D3181" s="13" t="s">
        <v>3037</v>
      </c>
      <c r="E3181" s="13" t="s">
        <v>3044</v>
      </c>
      <c r="F3181" s="15">
        <v>0</v>
      </c>
    </row>
    <row r="3182" spans="2:6" hidden="1" x14ac:dyDescent="0.2">
      <c r="B3182" s="14">
        <v>2013</v>
      </c>
      <c r="C3182" s="13" t="s">
        <v>2973</v>
      </c>
      <c r="D3182" s="13" t="s">
        <v>3037</v>
      </c>
      <c r="E3182" s="13" t="s">
        <v>3045</v>
      </c>
      <c r="F3182" s="15">
        <v>0</v>
      </c>
    </row>
    <row r="3183" spans="2:6" hidden="1" x14ac:dyDescent="0.2">
      <c r="B3183" s="14">
        <v>2013</v>
      </c>
      <c r="C3183" s="13" t="s">
        <v>2973</v>
      </c>
      <c r="D3183" s="13" t="s">
        <v>3037</v>
      </c>
      <c r="E3183" s="13" t="s">
        <v>3046</v>
      </c>
      <c r="F3183" s="15">
        <v>0</v>
      </c>
    </row>
    <row r="3184" spans="2:6" hidden="1" x14ac:dyDescent="0.2">
      <c r="B3184" s="14">
        <v>2013</v>
      </c>
      <c r="C3184" s="13" t="s">
        <v>2973</v>
      </c>
      <c r="D3184" s="13" t="s">
        <v>3037</v>
      </c>
      <c r="E3184" s="13" t="s">
        <v>3047</v>
      </c>
      <c r="F3184" s="15">
        <v>0</v>
      </c>
    </row>
    <row r="3185" spans="2:6" hidden="1" x14ac:dyDescent="0.2">
      <c r="B3185" s="14">
        <v>2013</v>
      </c>
      <c r="C3185" s="13" t="s">
        <v>2973</v>
      </c>
      <c r="D3185" s="13" t="s">
        <v>3048</v>
      </c>
      <c r="E3185" s="13" t="s">
        <v>3049</v>
      </c>
      <c r="F3185" s="15">
        <v>6</v>
      </c>
    </row>
    <row r="3186" spans="2:6" hidden="1" x14ac:dyDescent="0.2">
      <c r="B3186" s="14">
        <v>2013</v>
      </c>
      <c r="C3186" s="13" t="s">
        <v>2973</v>
      </c>
      <c r="D3186" s="13" t="s">
        <v>3048</v>
      </c>
      <c r="E3186" s="13" t="s">
        <v>3050</v>
      </c>
      <c r="F3186" s="15">
        <v>6</v>
      </c>
    </row>
    <row r="3187" spans="2:6" hidden="1" x14ac:dyDescent="0.2">
      <c r="B3187" s="14">
        <v>2013</v>
      </c>
      <c r="C3187" s="13" t="s">
        <v>2973</v>
      </c>
      <c r="D3187" s="13" t="s">
        <v>3048</v>
      </c>
      <c r="E3187" s="13" t="s">
        <v>3051</v>
      </c>
      <c r="F3187" s="15">
        <v>0</v>
      </c>
    </row>
    <row r="3188" spans="2:6" hidden="1" x14ac:dyDescent="0.2">
      <c r="B3188" s="14">
        <v>2013</v>
      </c>
      <c r="C3188" s="13" t="s">
        <v>2973</v>
      </c>
      <c r="D3188" s="13" t="s">
        <v>3048</v>
      </c>
      <c r="E3188" s="13" t="s">
        <v>3052</v>
      </c>
      <c r="F3188" s="15">
        <v>0</v>
      </c>
    </row>
    <row r="3189" spans="2:6" hidden="1" x14ac:dyDescent="0.2">
      <c r="B3189" s="14">
        <v>2013</v>
      </c>
      <c r="C3189" s="13" t="s">
        <v>2973</v>
      </c>
      <c r="D3189" s="13" t="s">
        <v>3048</v>
      </c>
      <c r="E3189" s="13" t="s">
        <v>3053</v>
      </c>
      <c r="F3189" s="15">
        <v>1</v>
      </c>
    </row>
    <row r="3190" spans="2:6" hidden="1" x14ac:dyDescent="0.2">
      <c r="B3190" s="14">
        <v>2013</v>
      </c>
      <c r="C3190" s="13" t="s">
        <v>2973</v>
      </c>
      <c r="D3190" s="13" t="s">
        <v>3048</v>
      </c>
      <c r="E3190" s="13" t="s">
        <v>2558</v>
      </c>
      <c r="F3190" s="15">
        <v>0</v>
      </c>
    </row>
    <row r="3191" spans="2:6" hidden="1" x14ac:dyDescent="0.2">
      <c r="B3191" s="14">
        <v>2013</v>
      </c>
      <c r="C3191" s="13" t="s">
        <v>2973</v>
      </c>
      <c r="D3191" s="13" t="s">
        <v>3048</v>
      </c>
      <c r="E3191" s="13" t="s">
        <v>3054</v>
      </c>
      <c r="F3191" s="15">
        <v>1</v>
      </c>
    </row>
    <row r="3192" spans="2:6" hidden="1" x14ac:dyDescent="0.2">
      <c r="B3192" s="14">
        <v>2013</v>
      </c>
      <c r="C3192" s="13" t="s">
        <v>2973</v>
      </c>
      <c r="D3192" s="13" t="s">
        <v>3048</v>
      </c>
      <c r="E3192" s="13" t="s">
        <v>3055</v>
      </c>
      <c r="F3192" s="15">
        <v>0</v>
      </c>
    </row>
    <row r="3193" spans="2:6" hidden="1" x14ac:dyDescent="0.2">
      <c r="B3193" s="14">
        <v>2013</v>
      </c>
      <c r="C3193" s="13" t="s">
        <v>2973</v>
      </c>
      <c r="D3193" s="13" t="s">
        <v>3048</v>
      </c>
      <c r="E3193" s="13" t="s">
        <v>3048</v>
      </c>
      <c r="F3193" s="15">
        <v>6</v>
      </c>
    </row>
    <row r="3194" spans="2:6" hidden="1" x14ac:dyDescent="0.2">
      <c r="B3194" s="14">
        <v>2013</v>
      </c>
      <c r="C3194" s="13" t="s">
        <v>2973</v>
      </c>
      <c r="D3194" s="13" t="s">
        <v>3048</v>
      </c>
      <c r="E3194" s="13" t="s">
        <v>3056</v>
      </c>
      <c r="F3194" s="15">
        <v>0</v>
      </c>
    </row>
    <row r="3195" spans="2:6" hidden="1" x14ac:dyDescent="0.2">
      <c r="B3195" s="14">
        <v>2013</v>
      </c>
      <c r="C3195" s="13" t="s">
        <v>2973</v>
      </c>
      <c r="D3195" s="13" t="s">
        <v>3048</v>
      </c>
      <c r="E3195" s="13" t="s">
        <v>3057</v>
      </c>
      <c r="F3195" s="15">
        <v>0</v>
      </c>
    </row>
    <row r="3196" spans="2:6" hidden="1" x14ac:dyDescent="0.2">
      <c r="B3196" s="14">
        <v>2013</v>
      </c>
      <c r="C3196" s="13" t="s">
        <v>2973</v>
      </c>
      <c r="D3196" s="13" t="s">
        <v>3048</v>
      </c>
      <c r="E3196" s="13" t="s">
        <v>3058</v>
      </c>
      <c r="F3196" s="15">
        <v>0</v>
      </c>
    </row>
    <row r="3197" spans="2:6" hidden="1" x14ac:dyDescent="0.2">
      <c r="B3197" s="14">
        <v>2013</v>
      </c>
      <c r="C3197" s="13" t="s">
        <v>2973</v>
      </c>
      <c r="D3197" s="13" t="s">
        <v>3048</v>
      </c>
      <c r="E3197" s="13" t="s">
        <v>3059</v>
      </c>
      <c r="F3197" s="15">
        <v>0</v>
      </c>
    </row>
    <row r="3198" spans="2:6" hidden="1" x14ac:dyDescent="0.2">
      <c r="B3198" s="14">
        <v>2013</v>
      </c>
      <c r="C3198" s="13" t="s">
        <v>2973</v>
      </c>
      <c r="D3198" s="13" t="s">
        <v>3048</v>
      </c>
      <c r="E3198" s="13" t="s">
        <v>3060</v>
      </c>
      <c r="F3198" s="15">
        <v>0</v>
      </c>
    </row>
    <row r="3199" spans="2:6" hidden="1" x14ac:dyDescent="0.2">
      <c r="B3199" s="14">
        <v>2013</v>
      </c>
      <c r="C3199" s="13" t="s">
        <v>2973</v>
      </c>
      <c r="D3199" s="13" t="s">
        <v>3048</v>
      </c>
      <c r="E3199" s="13" t="s">
        <v>3061</v>
      </c>
      <c r="F3199" s="15">
        <v>0</v>
      </c>
    </row>
    <row r="3200" spans="2:6" hidden="1" x14ac:dyDescent="0.2">
      <c r="B3200" s="14">
        <v>2013</v>
      </c>
      <c r="C3200" s="13" t="s">
        <v>2973</v>
      </c>
      <c r="D3200" s="13" t="s">
        <v>3048</v>
      </c>
      <c r="E3200" s="13" t="s">
        <v>2108</v>
      </c>
      <c r="F3200" s="15">
        <v>10</v>
      </c>
    </row>
    <row r="3201" spans="2:6" hidden="1" x14ac:dyDescent="0.2">
      <c r="B3201" s="14">
        <v>2013</v>
      </c>
      <c r="C3201" s="13" t="s">
        <v>2973</v>
      </c>
      <c r="D3201" s="13" t="s">
        <v>3048</v>
      </c>
      <c r="E3201" s="13" t="s">
        <v>3062</v>
      </c>
      <c r="F3201" s="15">
        <v>2</v>
      </c>
    </row>
    <row r="3202" spans="2:6" hidden="1" x14ac:dyDescent="0.2">
      <c r="B3202" s="14">
        <v>2013</v>
      </c>
      <c r="C3202" s="13" t="s">
        <v>2973</v>
      </c>
      <c r="D3202" s="13" t="s">
        <v>3048</v>
      </c>
      <c r="E3202" s="13" t="s">
        <v>3063</v>
      </c>
      <c r="F3202" s="15">
        <v>0</v>
      </c>
    </row>
    <row r="3203" spans="2:6" hidden="1" x14ac:dyDescent="0.2">
      <c r="B3203" s="14">
        <v>2013</v>
      </c>
      <c r="C3203" s="13" t="s">
        <v>2973</v>
      </c>
      <c r="D3203" s="13" t="s">
        <v>3048</v>
      </c>
      <c r="E3203" s="13" t="s">
        <v>3064</v>
      </c>
      <c r="F3203" s="15">
        <v>0</v>
      </c>
    </row>
    <row r="3204" spans="2:6" hidden="1" x14ac:dyDescent="0.2">
      <c r="B3204" s="14">
        <v>2013</v>
      </c>
      <c r="C3204" s="13" t="s">
        <v>2973</v>
      </c>
      <c r="D3204" s="13" t="s">
        <v>3048</v>
      </c>
      <c r="E3204" s="13" t="s">
        <v>3065</v>
      </c>
      <c r="F3204" s="15">
        <v>0</v>
      </c>
    </row>
    <row r="3205" spans="2:6" hidden="1" x14ac:dyDescent="0.2">
      <c r="B3205" s="14">
        <v>2013</v>
      </c>
      <c r="C3205" s="13" t="s">
        <v>2973</v>
      </c>
      <c r="D3205" s="13" t="s">
        <v>3048</v>
      </c>
      <c r="E3205" s="13" t="s">
        <v>3066</v>
      </c>
      <c r="F3205" s="15">
        <v>0</v>
      </c>
    </row>
    <row r="3206" spans="2:6" hidden="1" x14ac:dyDescent="0.2">
      <c r="B3206" s="14">
        <v>2013</v>
      </c>
      <c r="C3206" s="13" t="s">
        <v>2973</v>
      </c>
      <c r="D3206" s="13" t="s">
        <v>3048</v>
      </c>
      <c r="E3206" s="13" t="s">
        <v>3067</v>
      </c>
      <c r="F3206" s="15">
        <v>0</v>
      </c>
    </row>
    <row r="3207" spans="2:6" hidden="1" x14ac:dyDescent="0.2">
      <c r="B3207" s="14">
        <v>2013</v>
      </c>
      <c r="C3207" s="13" t="s">
        <v>2973</v>
      </c>
      <c r="D3207" s="13" t="s">
        <v>3048</v>
      </c>
      <c r="E3207" s="13" t="s">
        <v>3068</v>
      </c>
      <c r="F3207" s="15">
        <v>0</v>
      </c>
    </row>
    <row r="3208" spans="2:6" hidden="1" x14ac:dyDescent="0.2">
      <c r="B3208" s="14">
        <v>2013</v>
      </c>
      <c r="C3208" s="13" t="s">
        <v>2973</v>
      </c>
      <c r="D3208" s="13" t="s">
        <v>3048</v>
      </c>
      <c r="E3208" s="13" t="s">
        <v>3069</v>
      </c>
      <c r="F3208" s="15">
        <v>0</v>
      </c>
    </row>
    <row r="3209" spans="2:6" hidden="1" x14ac:dyDescent="0.2">
      <c r="B3209" s="14">
        <v>2013</v>
      </c>
      <c r="C3209" s="13" t="s">
        <v>2973</v>
      </c>
      <c r="D3209" s="13" t="s">
        <v>3048</v>
      </c>
      <c r="E3209" s="13" t="s">
        <v>3070</v>
      </c>
      <c r="F3209" s="15">
        <v>0</v>
      </c>
    </row>
    <row r="3210" spans="2:6" hidden="1" x14ac:dyDescent="0.2">
      <c r="B3210" s="14">
        <v>2013</v>
      </c>
      <c r="C3210" s="13" t="s">
        <v>2973</v>
      </c>
      <c r="D3210" s="13" t="s">
        <v>3048</v>
      </c>
      <c r="E3210" s="13" t="s">
        <v>3071</v>
      </c>
      <c r="F3210" s="15">
        <v>0</v>
      </c>
    </row>
    <row r="3211" spans="2:6" hidden="1" x14ac:dyDescent="0.2">
      <c r="B3211" s="14">
        <v>2013</v>
      </c>
      <c r="C3211" s="13" t="s">
        <v>2973</v>
      </c>
      <c r="D3211" s="13" t="s">
        <v>3048</v>
      </c>
      <c r="E3211" s="13" t="s">
        <v>3072</v>
      </c>
      <c r="F3211" s="15">
        <v>5</v>
      </c>
    </row>
    <row r="3212" spans="2:6" hidden="1" x14ac:dyDescent="0.2">
      <c r="B3212" s="14">
        <v>2013</v>
      </c>
      <c r="C3212" s="13" t="s">
        <v>2973</v>
      </c>
      <c r="D3212" s="13" t="s">
        <v>3048</v>
      </c>
      <c r="E3212" s="13" t="s">
        <v>3073</v>
      </c>
      <c r="F3212" s="15">
        <v>10</v>
      </c>
    </row>
    <row r="3213" spans="2:6" hidden="1" x14ac:dyDescent="0.2">
      <c r="B3213" s="14">
        <v>2013</v>
      </c>
      <c r="C3213" s="13" t="s">
        <v>2973</v>
      </c>
      <c r="D3213" s="13" t="s">
        <v>3048</v>
      </c>
      <c r="E3213" s="13" t="s">
        <v>3074</v>
      </c>
      <c r="F3213" s="15">
        <v>0</v>
      </c>
    </row>
    <row r="3214" spans="2:6" hidden="1" x14ac:dyDescent="0.2">
      <c r="B3214" s="14">
        <v>2013</v>
      </c>
      <c r="C3214" s="13" t="s">
        <v>2973</v>
      </c>
      <c r="D3214" s="13" t="s">
        <v>3048</v>
      </c>
      <c r="E3214" s="13" t="s">
        <v>3075</v>
      </c>
      <c r="F3214" s="15">
        <v>0</v>
      </c>
    </row>
    <row r="3215" spans="2:6" hidden="1" x14ac:dyDescent="0.2">
      <c r="B3215" s="14">
        <v>2013</v>
      </c>
      <c r="C3215" s="13" t="s">
        <v>2973</v>
      </c>
      <c r="D3215" s="13" t="s">
        <v>3048</v>
      </c>
      <c r="E3215" s="13" t="s">
        <v>3076</v>
      </c>
      <c r="F3215" s="15">
        <v>3</v>
      </c>
    </row>
    <row r="3216" spans="2:6" hidden="1" x14ac:dyDescent="0.2">
      <c r="B3216" s="14">
        <v>2013</v>
      </c>
      <c r="C3216" s="13" t="s">
        <v>2973</v>
      </c>
      <c r="D3216" s="13" t="s">
        <v>3048</v>
      </c>
      <c r="E3216" s="13" t="s">
        <v>3077</v>
      </c>
      <c r="F3216" s="15">
        <v>1</v>
      </c>
    </row>
    <row r="3217" spans="2:6" hidden="1" x14ac:dyDescent="0.2">
      <c r="B3217" s="14">
        <v>2013</v>
      </c>
      <c r="C3217" s="13" t="s">
        <v>2973</v>
      </c>
      <c r="D3217" s="13" t="s">
        <v>3078</v>
      </c>
      <c r="E3217" s="13" t="s">
        <v>3079</v>
      </c>
      <c r="F3217" s="15">
        <v>99</v>
      </c>
    </row>
    <row r="3218" spans="2:6" hidden="1" x14ac:dyDescent="0.2">
      <c r="B3218" s="14">
        <v>2013</v>
      </c>
      <c r="C3218" s="13" t="s">
        <v>2973</v>
      </c>
      <c r="D3218" s="13" t="s">
        <v>3078</v>
      </c>
      <c r="E3218" s="13" t="s">
        <v>3080</v>
      </c>
      <c r="F3218" s="15">
        <v>0</v>
      </c>
    </row>
    <row r="3219" spans="2:6" hidden="1" x14ac:dyDescent="0.2">
      <c r="B3219" s="14">
        <v>2013</v>
      </c>
      <c r="C3219" s="13" t="s">
        <v>2973</v>
      </c>
      <c r="D3219" s="13" t="s">
        <v>3078</v>
      </c>
      <c r="E3219" s="13" t="s">
        <v>3081</v>
      </c>
      <c r="F3219" s="15">
        <v>1</v>
      </c>
    </row>
    <row r="3220" spans="2:6" hidden="1" x14ac:dyDescent="0.2">
      <c r="B3220" s="14">
        <v>2013</v>
      </c>
      <c r="C3220" s="13" t="s">
        <v>2973</v>
      </c>
      <c r="D3220" s="13" t="s">
        <v>3078</v>
      </c>
      <c r="E3220" s="13" t="s">
        <v>3082</v>
      </c>
      <c r="F3220" s="15">
        <v>0</v>
      </c>
    </row>
    <row r="3221" spans="2:6" hidden="1" x14ac:dyDescent="0.2">
      <c r="B3221" s="14">
        <v>2013</v>
      </c>
      <c r="C3221" s="13" t="s">
        <v>2973</v>
      </c>
      <c r="D3221" s="13" t="s">
        <v>3078</v>
      </c>
      <c r="E3221" s="13" t="s">
        <v>3083</v>
      </c>
      <c r="F3221" s="15">
        <v>4</v>
      </c>
    </row>
    <row r="3222" spans="2:6" hidden="1" x14ac:dyDescent="0.2">
      <c r="B3222" s="14">
        <v>2013</v>
      </c>
      <c r="C3222" s="13" t="s">
        <v>2973</v>
      </c>
      <c r="D3222" s="13" t="s">
        <v>3078</v>
      </c>
      <c r="E3222" s="13" t="s">
        <v>3078</v>
      </c>
      <c r="F3222" s="15">
        <v>16</v>
      </c>
    </row>
    <row r="3223" spans="2:6" hidden="1" x14ac:dyDescent="0.2">
      <c r="B3223" s="14">
        <v>2013</v>
      </c>
      <c r="C3223" s="13" t="s">
        <v>2973</v>
      </c>
      <c r="D3223" s="13" t="s">
        <v>3078</v>
      </c>
      <c r="E3223" s="13" t="s">
        <v>2273</v>
      </c>
      <c r="F3223" s="15">
        <v>3</v>
      </c>
    </row>
    <row r="3224" spans="2:6" hidden="1" x14ac:dyDescent="0.2">
      <c r="B3224" s="14">
        <v>2013</v>
      </c>
      <c r="C3224" s="13" t="s">
        <v>2973</v>
      </c>
      <c r="D3224" s="13" t="s">
        <v>3078</v>
      </c>
      <c r="E3224" s="13" t="s">
        <v>3084</v>
      </c>
      <c r="F3224" s="15">
        <v>0</v>
      </c>
    </row>
    <row r="3225" spans="2:6" hidden="1" x14ac:dyDescent="0.2">
      <c r="B3225" s="14">
        <v>2013</v>
      </c>
      <c r="C3225" s="13" t="s">
        <v>2973</v>
      </c>
      <c r="D3225" s="13" t="s">
        <v>3078</v>
      </c>
      <c r="E3225" s="13" t="s">
        <v>3085</v>
      </c>
      <c r="F3225" s="15">
        <v>0</v>
      </c>
    </row>
    <row r="3226" spans="2:6" hidden="1" x14ac:dyDescent="0.2">
      <c r="B3226" s="14">
        <v>2013</v>
      </c>
      <c r="C3226" s="13" t="s">
        <v>2973</v>
      </c>
      <c r="D3226" s="13" t="s">
        <v>3078</v>
      </c>
      <c r="E3226" s="13" t="s">
        <v>3086</v>
      </c>
      <c r="F3226" s="15">
        <v>34</v>
      </c>
    </row>
    <row r="3227" spans="2:6" hidden="1" x14ac:dyDescent="0.2">
      <c r="B3227" s="14">
        <v>2013</v>
      </c>
      <c r="C3227" s="13" t="s">
        <v>2973</v>
      </c>
      <c r="D3227" s="13" t="s">
        <v>3078</v>
      </c>
      <c r="E3227" s="13" t="s">
        <v>3087</v>
      </c>
      <c r="F3227" s="15">
        <v>9</v>
      </c>
    </row>
    <row r="3228" spans="2:6" hidden="1" x14ac:dyDescent="0.2">
      <c r="B3228" s="14">
        <v>2013</v>
      </c>
      <c r="C3228" s="13" t="s">
        <v>2973</v>
      </c>
      <c r="D3228" s="13" t="s">
        <v>3078</v>
      </c>
      <c r="E3228" s="13" t="s">
        <v>3088</v>
      </c>
      <c r="F3228" s="15">
        <v>3</v>
      </c>
    </row>
    <row r="3229" spans="2:6" hidden="1" x14ac:dyDescent="0.2">
      <c r="B3229" s="14">
        <v>2013</v>
      </c>
      <c r="C3229" s="13" t="s">
        <v>2973</v>
      </c>
      <c r="D3229" s="13" t="s">
        <v>3089</v>
      </c>
      <c r="E3229" s="13" t="s">
        <v>3089</v>
      </c>
      <c r="F3229" s="15">
        <v>1</v>
      </c>
    </row>
    <row r="3230" spans="2:6" hidden="1" x14ac:dyDescent="0.2">
      <c r="B3230" s="14">
        <v>2013</v>
      </c>
      <c r="C3230" s="13" t="s">
        <v>2973</v>
      </c>
      <c r="D3230" s="13" t="s">
        <v>3089</v>
      </c>
      <c r="E3230" s="13" t="s">
        <v>3090</v>
      </c>
      <c r="F3230" s="15">
        <v>0</v>
      </c>
    </row>
    <row r="3231" spans="2:6" hidden="1" x14ac:dyDescent="0.2">
      <c r="B3231" s="14">
        <v>2013</v>
      </c>
      <c r="C3231" s="13" t="s">
        <v>2973</v>
      </c>
      <c r="D3231" s="13" t="s">
        <v>3089</v>
      </c>
      <c r="E3231" s="13" t="s">
        <v>3091</v>
      </c>
      <c r="F3231" s="15">
        <v>0</v>
      </c>
    </row>
    <row r="3232" spans="2:6" hidden="1" x14ac:dyDescent="0.2">
      <c r="B3232" s="14">
        <v>2013</v>
      </c>
      <c r="C3232" s="13" t="s">
        <v>2973</v>
      </c>
      <c r="D3232" s="13" t="s">
        <v>3089</v>
      </c>
      <c r="E3232" s="13" t="s">
        <v>3092</v>
      </c>
      <c r="F3232" s="15">
        <v>0</v>
      </c>
    </row>
    <row r="3233" spans="2:6" hidden="1" x14ac:dyDescent="0.2">
      <c r="B3233" s="14">
        <v>2013</v>
      </c>
      <c r="C3233" s="13" t="s">
        <v>2973</v>
      </c>
      <c r="D3233" s="13" t="s">
        <v>3089</v>
      </c>
      <c r="E3233" s="13" t="s">
        <v>3093</v>
      </c>
      <c r="F3233" s="15">
        <v>0</v>
      </c>
    </row>
    <row r="3234" spans="2:6" hidden="1" x14ac:dyDescent="0.2">
      <c r="B3234" s="14">
        <v>2013</v>
      </c>
      <c r="C3234" s="13" t="s">
        <v>2973</v>
      </c>
      <c r="D3234" s="13" t="s">
        <v>3089</v>
      </c>
      <c r="E3234" s="13" t="s">
        <v>3094</v>
      </c>
      <c r="F3234" s="15">
        <v>5</v>
      </c>
    </row>
    <row r="3235" spans="2:6" hidden="1" x14ac:dyDescent="0.2">
      <c r="B3235" s="14">
        <v>2013</v>
      </c>
      <c r="C3235" s="13" t="s">
        <v>2973</v>
      </c>
      <c r="D3235" s="13" t="s">
        <v>2826</v>
      </c>
      <c r="E3235" s="13" t="s">
        <v>2826</v>
      </c>
      <c r="F3235" s="15">
        <v>0</v>
      </c>
    </row>
    <row r="3236" spans="2:6" hidden="1" x14ac:dyDescent="0.2">
      <c r="B3236" s="14">
        <v>2013</v>
      </c>
      <c r="C3236" s="13" t="s">
        <v>2973</v>
      </c>
      <c r="D3236" s="13" t="s">
        <v>2826</v>
      </c>
      <c r="E3236" s="13" t="s">
        <v>3095</v>
      </c>
      <c r="F3236" s="15">
        <v>0</v>
      </c>
    </row>
    <row r="3237" spans="2:6" hidden="1" x14ac:dyDescent="0.2">
      <c r="B3237" s="14">
        <v>2013</v>
      </c>
      <c r="C3237" s="13" t="s">
        <v>2973</v>
      </c>
      <c r="D3237" s="13" t="s">
        <v>2826</v>
      </c>
      <c r="E3237" s="13" t="s">
        <v>3096</v>
      </c>
      <c r="F3237" s="15">
        <v>0</v>
      </c>
    </row>
    <row r="3238" spans="2:6" hidden="1" x14ac:dyDescent="0.2">
      <c r="B3238" s="14">
        <v>2013</v>
      </c>
      <c r="C3238" s="13" t="s">
        <v>2973</v>
      </c>
      <c r="D3238" s="13" t="s">
        <v>2826</v>
      </c>
      <c r="E3238" s="13" t="s">
        <v>3097</v>
      </c>
      <c r="F3238" s="15">
        <v>0</v>
      </c>
    </row>
    <row r="3239" spans="2:6" hidden="1" x14ac:dyDescent="0.2">
      <c r="B3239" s="14">
        <v>2013</v>
      </c>
      <c r="C3239" s="13" t="s">
        <v>2973</v>
      </c>
      <c r="D3239" s="13" t="s">
        <v>2826</v>
      </c>
      <c r="E3239" s="13" t="s">
        <v>3098</v>
      </c>
      <c r="F3239" s="15">
        <v>0</v>
      </c>
    </row>
    <row r="3240" spans="2:6" hidden="1" x14ac:dyDescent="0.2">
      <c r="B3240" s="14">
        <v>2013</v>
      </c>
      <c r="C3240" s="13" t="s">
        <v>2973</v>
      </c>
      <c r="D3240" s="13" t="s">
        <v>2826</v>
      </c>
      <c r="E3240" s="13" t="s">
        <v>3099</v>
      </c>
      <c r="F3240" s="15">
        <v>0</v>
      </c>
    </row>
    <row r="3241" spans="2:6" hidden="1" x14ac:dyDescent="0.2">
      <c r="B3241" s="14">
        <v>2013</v>
      </c>
      <c r="C3241" s="13" t="s">
        <v>2973</v>
      </c>
      <c r="D3241" s="13" t="s">
        <v>2826</v>
      </c>
      <c r="E3241" s="13" t="s">
        <v>3100</v>
      </c>
      <c r="F3241" s="15">
        <v>0</v>
      </c>
    </row>
    <row r="3242" spans="2:6" hidden="1" x14ac:dyDescent="0.2">
      <c r="B3242" s="14">
        <v>2013</v>
      </c>
      <c r="C3242" s="13" t="s">
        <v>2973</v>
      </c>
      <c r="D3242" s="13" t="s">
        <v>2826</v>
      </c>
      <c r="E3242" s="13" t="s">
        <v>3101</v>
      </c>
      <c r="F3242" s="15">
        <v>2</v>
      </c>
    </row>
    <row r="3243" spans="2:6" hidden="1" x14ac:dyDescent="0.2">
      <c r="B3243" s="14">
        <v>2013</v>
      </c>
      <c r="C3243" s="13" t="s">
        <v>2973</v>
      </c>
      <c r="D3243" s="13" t="s">
        <v>2826</v>
      </c>
      <c r="E3243" s="13" t="s">
        <v>3102</v>
      </c>
      <c r="F3243" s="15">
        <v>0</v>
      </c>
    </row>
    <row r="3244" spans="2:6" hidden="1" x14ac:dyDescent="0.2">
      <c r="B3244" s="14">
        <v>2013</v>
      </c>
      <c r="C3244" s="13" t="s">
        <v>2973</v>
      </c>
      <c r="D3244" s="13" t="s">
        <v>2826</v>
      </c>
      <c r="E3244" s="13" t="s">
        <v>1978</v>
      </c>
      <c r="F3244" s="15">
        <v>0</v>
      </c>
    </row>
    <row r="3245" spans="2:6" hidden="1" x14ac:dyDescent="0.2">
      <c r="B3245" s="14">
        <v>2013</v>
      </c>
      <c r="C3245" s="13" t="s">
        <v>2973</v>
      </c>
      <c r="D3245" s="13" t="s">
        <v>2826</v>
      </c>
      <c r="E3245" s="13" t="s">
        <v>3103</v>
      </c>
      <c r="F3245" s="15">
        <v>0</v>
      </c>
    </row>
    <row r="3246" spans="2:6" hidden="1" x14ac:dyDescent="0.2">
      <c r="B3246" s="14">
        <v>2013</v>
      </c>
      <c r="C3246" s="13" t="s">
        <v>2973</v>
      </c>
      <c r="D3246" s="13" t="s">
        <v>2826</v>
      </c>
      <c r="E3246" s="13" t="s">
        <v>3104</v>
      </c>
      <c r="F3246" s="15">
        <v>0</v>
      </c>
    </row>
    <row r="3247" spans="2:6" hidden="1" x14ac:dyDescent="0.2">
      <c r="B3247" s="14">
        <v>2013</v>
      </c>
      <c r="C3247" s="13" t="s">
        <v>2973</v>
      </c>
      <c r="D3247" s="13" t="s">
        <v>2826</v>
      </c>
      <c r="E3247" s="13" t="s">
        <v>3105</v>
      </c>
      <c r="F3247" s="15">
        <v>0</v>
      </c>
    </row>
    <row r="3248" spans="2:6" hidden="1" x14ac:dyDescent="0.2">
      <c r="B3248" s="14">
        <v>2013</v>
      </c>
      <c r="C3248" s="13" t="s">
        <v>2973</v>
      </c>
      <c r="D3248" s="13" t="s">
        <v>2826</v>
      </c>
      <c r="E3248" s="13" t="s">
        <v>3106</v>
      </c>
      <c r="F3248" s="15">
        <v>0</v>
      </c>
    </row>
    <row r="3249" spans="2:6" hidden="1" x14ac:dyDescent="0.2">
      <c r="B3249" s="14">
        <v>2013</v>
      </c>
      <c r="C3249" s="13" t="s">
        <v>2973</v>
      </c>
      <c r="D3249" s="13" t="s">
        <v>2826</v>
      </c>
      <c r="E3249" s="13" t="s">
        <v>3107</v>
      </c>
      <c r="F3249" s="15">
        <v>0</v>
      </c>
    </row>
    <row r="3250" spans="2:6" hidden="1" x14ac:dyDescent="0.2">
      <c r="B3250" s="14">
        <v>2013</v>
      </c>
      <c r="C3250" s="13" t="s">
        <v>2973</v>
      </c>
      <c r="D3250" s="13" t="s">
        <v>2826</v>
      </c>
      <c r="E3250" s="13" t="s">
        <v>3108</v>
      </c>
      <c r="F3250" s="15">
        <v>0</v>
      </c>
    </row>
    <row r="3251" spans="2:6" hidden="1" x14ac:dyDescent="0.2">
      <c r="B3251" s="14">
        <v>2013</v>
      </c>
      <c r="C3251" s="13" t="s">
        <v>2973</v>
      </c>
      <c r="D3251" s="13" t="s">
        <v>2826</v>
      </c>
      <c r="E3251" s="13" t="s">
        <v>3109</v>
      </c>
      <c r="F3251" s="15">
        <v>0</v>
      </c>
    </row>
    <row r="3252" spans="2:6" hidden="1" x14ac:dyDescent="0.2">
      <c r="B3252" s="14">
        <v>2013</v>
      </c>
      <c r="C3252" s="13" t="s">
        <v>2973</v>
      </c>
      <c r="D3252" s="13" t="s">
        <v>2826</v>
      </c>
      <c r="E3252" s="13" t="s">
        <v>3058</v>
      </c>
      <c r="F3252" s="15">
        <v>0</v>
      </c>
    </row>
    <row r="3253" spans="2:6" hidden="1" x14ac:dyDescent="0.2">
      <c r="B3253" s="14">
        <v>2013</v>
      </c>
      <c r="C3253" s="13" t="s">
        <v>2973</v>
      </c>
      <c r="D3253" s="13" t="s">
        <v>2826</v>
      </c>
      <c r="E3253" s="13" t="s">
        <v>3110</v>
      </c>
      <c r="F3253" s="15">
        <v>0</v>
      </c>
    </row>
    <row r="3254" spans="2:6" hidden="1" x14ac:dyDescent="0.2">
      <c r="B3254" s="14">
        <v>2013</v>
      </c>
      <c r="C3254" s="13" t="s">
        <v>2973</v>
      </c>
      <c r="D3254" s="13" t="s">
        <v>2826</v>
      </c>
      <c r="E3254" s="13" t="s">
        <v>3111</v>
      </c>
      <c r="F3254" s="15">
        <v>0</v>
      </c>
    </row>
    <row r="3255" spans="2:6" hidden="1" x14ac:dyDescent="0.2">
      <c r="B3255" s="14">
        <v>2013</v>
      </c>
      <c r="C3255" s="13" t="s">
        <v>2973</v>
      </c>
      <c r="D3255" s="13" t="s">
        <v>2826</v>
      </c>
      <c r="E3255" s="13" t="s">
        <v>2122</v>
      </c>
      <c r="F3255" s="15">
        <v>0</v>
      </c>
    </row>
    <row r="3256" spans="2:6" hidden="1" x14ac:dyDescent="0.2">
      <c r="B3256" s="14">
        <v>2013</v>
      </c>
      <c r="C3256" s="13" t="s">
        <v>2973</v>
      </c>
      <c r="D3256" s="13" t="s">
        <v>2826</v>
      </c>
      <c r="E3256" s="13" t="s">
        <v>3112</v>
      </c>
      <c r="F3256" s="15">
        <v>0</v>
      </c>
    </row>
    <row r="3257" spans="2:6" hidden="1" x14ac:dyDescent="0.2">
      <c r="B3257" s="14">
        <v>2013</v>
      </c>
      <c r="C3257" s="13" t="s">
        <v>2973</v>
      </c>
      <c r="D3257" s="13" t="s">
        <v>2826</v>
      </c>
      <c r="E3257" s="13" t="s">
        <v>3113</v>
      </c>
      <c r="F3257" s="15">
        <v>0</v>
      </c>
    </row>
    <row r="3258" spans="2:6" hidden="1" x14ac:dyDescent="0.2">
      <c r="B3258" s="14">
        <v>2013</v>
      </c>
      <c r="C3258" s="13" t="s">
        <v>2973</v>
      </c>
      <c r="D3258" s="13" t="s">
        <v>2826</v>
      </c>
      <c r="E3258" s="13" t="s">
        <v>3114</v>
      </c>
      <c r="F3258" s="15">
        <v>0</v>
      </c>
    </row>
    <row r="3259" spans="2:6" hidden="1" x14ac:dyDescent="0.2">
      <c r="B3259" s="14">
        <v>2013</v>
      </c>
      <c r="C3259" s="13" t="s">
        <v>2973</v>
      </c>
      <c r="D3259" s="13" t="s">
        <v>2826</v>
      </c>
      <c r="E3259" s="13" t="s">
        <v>3115</v>
      </c>
      <c r="F3259" s="15">
        <v>0</v>
      </c>
    </row>
    <row r="3260" spans="2:6" hidden="1" x14ac:dyDescent="0.2">
      <c r="B3260" s="14">
        <v>2013</v>
      </c>
      <c r="C3260" s="13" t="s">
        <v>2973</v>
      </c>
      <c r="D3260" s="13" t="s">
        <v>2826</v>
      </c>
      <c r="E3260" s="13" t="s">
        <v>3116</v>
      </c>
      <c r="F3260" s="15">
        <v>0</v>
      </c>
    </row>
    <row r="3261" spans="2:6" hidden="1" x14ac:dyDescent="0.2">
      <c r="B3261" s="14">
        <v>2013</v>
      </c>
      <c r="C3261" s="13" t="s">
        <v>2973</v>
      </c>
      <c r="D3261" s="13" t="s">
        <v>2826</v>
      </c>
      <c r="E3261" s="13" t="s">
        <v>3117</v>
      </c>
      <c r="F3261" s="15">
        <v>0</v>
      </c>
    </row>
    <row r="3262" spans="2:6" hidden="1" x14ac:dyDescent="0.2">
      <c r="B3262" s="14">
        <v>2013</v>
      </c>
      <c r="C3262" s="13" t="s">
        <v>2973</v>
      </c>
      <c r="D3262" s="13" t="s">
        <v>2826</v>
      </c>
      <c r="E3262" s="13" t="s">
        <v>3118</v>
      </c>
      <c r="F3262" s="15">
        <v>0</v>
      </c>
    </row>
    <row r="3263" spans="2:6" hidden="1" x14ac:dyDescent="0.2">
      <c r="B3263" s="14">
        <v>2013</v>
      </c>
      <c r="C3263" s="13" t="s">
        <v>2973</v>
      </c>
      <c r="D3263" s="13" t="s">
        <v>2826</v>
      </c>
      <c r="E3263" s="13" t="s">
        <v>3119</v>
      </c>
      <c r="F3263" s="15">
        <v>0</v>
      </c>
    </row>
    <row r="3264" spans="2:6" hidden="1" x14ac:dyDescent="0.2">
      <c r="B3264" s="14">
        <v>2013</v>
      </c>
      <c r="C3264" s="13" t="s">
        <v>2973</v>
      </c>
      <c r="D3264" s="13" t="s">
        <v>2826</v>
      </c>
      <c r="E3264" s="13" t="s">
        <v>3120</v>
      </c>
      <c r="F3264" s="15">
        <v>0</v>
      </c>
    </row>
    <row r="3265" spans="2:6" hidden="1" x14ac:dyDescent="0.2">
      <c r="B3265" s="14">
        <v>2013</v>
      </c>
      <c r="C3265" s="13" t="s">
        <v>2973</v>
      </c>
      <c r="D3265" s="13" t="s">
        <v>2826</v>
      </c>
      <c r="E3265" s="13" t="s">
        <v>3121</v>
      </c>
      <c r="F3265" s="15">
        <v>0</v>
      </c>
    </row>
    <row r="3266" spans="2:6" hidden="1" x14ac:dyDescent="0.2">
      <c r="B3266" s="14">
        <v>2013</v>
      </c>
      <c r="C3266" s="13" t="s">
        <v>2973</v>
      </c>
      <c r="D3266" s="13" t="s">
        <v>2826</v>
      </c>
      <c r="E3266" s="13" t="s">
        <v>3122</v>
      </c>
      <c r="F3266" s="15">
        <v>0</v>
      </c>
    </row>
    <row r="3267" spans="2:6" hidden="1" x14ac:dyDescent="0.2">
      <c r="B3267" s="14">
        <v>2013</v>
      </c>
      <c r="C3267" s="13" t="s">
        <v>2973</v>
      </c>
      <c r="D3267" s="13" t="s">
        <v>2826</v>
      </c>
      <c r="E3267" s="13" t="s">
        <v>3123</v>
      </c>
      <c r="F3267" s="15">
        <v>0</v>
      </c>
    </row>
    <row r="3268" spans="2:6" x14ac:dyDescent="0.2">
      <c r="B3268" s="14">
        <v>2013</v>
      </c>
      <c r="C3268" s="11" t="s">
        <v>1380</v>
      </c>
      <c r="D3268" s="11" t="s">
        <v>1381</v>
      </c>
      <c r="E3268" s="13" t="s">
        <v>0</v>
      </c>
      <c r="F3268" s="15">
        <v>29</v>
      </c>
    </row>
    <row r="3269" spans="2:6" hidden="1" x14ac:dyDescent="0.2">
      <c r="B3269" s="14">
        <v>2013</v>
      </c>
      <c r="C3269" s="11" t="s">
        <v>1380</v>
      </c>
      <c r="D3269" s="11" t="s">
        <v>1381</v>
      </c>
      <c r="E3269" s="13" t="s">
        <v>3125</v>
      </c>
      <c r="F3269" s="15">
        <v>0</v>
      </c>
    </row>
    <row r="3270" spans="2:6" hidden="1" x14ac:dyDescent="0.2">
      <c r="B3270" s="14">
        <v>2013</v>
      </c>
      <c r="C3270" s="11" t="s">
        <v>1380</v>
      </c>
      <c r="D3270" s="11" t="s">
        <v>1381</v>
      </c>
      <c r="E3270" s="13" t="s">
        <v>3126</v>
      </c>
      <c r="F3270" s="15">
        <v>1</v>
      </c>
    </row>
    <row r="3271" spans="2:6" hidden="1" x14ac:dyDescent="0.2">
      <c r="B3271" s="14">
        <v>2013</v>
      </c>
      <c r="C3271" s="11" t="s">
        <v>1380</v>
      </c>
      <c r="D3271" s="11" t="s">
        <v>1381</v>
      </c>
      <c r="E3271" s="13" t="s">
        <v>3127</v>
      </c>
      <c r="F3271" s="15">
        <v>0</v>
      </c>
    </row>
    <row r="3272" spans="2:6" hidden="1" x14ac:dyDescent="0.2">
      <c r="B3272" s="14">
        <v>2013</v>
      </c>
      <c r="C3272" s="11" t="s">
        <v>1380</v>
      </c>
      <c r="D3272" s="11" t="s">
        <v>1381</v>
      </c>
      <c r="E3272" s="13" t="s">
        <v>3128</v>
      </c>
      <c r="F3272" s="15">
        <v>0</v>
      </c>
    </row>
    <row r="3273" spans="2:6" hidden="1" x14ac:dyDescent="0.2">
      <c r="B3273" s="14">
        <v>2013</v>
      </c>
      <c r="C3273" s="11" t="s">
        <v>1380</v>
      </c>
      <c r="D3273" s="11" t="s">
        <v>1381</v>
      </c>
      <c r="E3273" s="13" t="s">
        <v>3129</v>
      </c>
      <c r="F3273" s="15">
        <v>2</v>
      </c>
    </row>
    <row r="3274" spans="2:6" hidden="1" x14ac:dyDescent="0.2">
      <c r="B3274" s="14">
        <v>2013</v>
      </c>
      <c r="C3274" s="11" t="s">
        <v>1380</v>
      </c>
      <c r="D3274" s="11" t="s">
        <v>1381</v>
      </c>
      <c r="E3274" s="13" t="s">
        <v>3130</v>
      </c>
      <c r="F3274" s="15">
        <v>8</v>
      </c>
    </row>
    <row r="3275" spans="2:6" x14ac:dyDescent="0.2">
      <c r="B3275" s="14">
        <v>2013</v>
      </c>
      <c r="C3275" s="11" t="s">
        <v>1380</v>
      </c>
      <c r="D3275" s="11" t="s">
        <v>1381</v>
      </c>
      <c r="E3275" s="13" t="s">
        <v>1</v>
      </c>
      <c r="F3275" s="15">
        <v>14</v>
      </c>
    </row>
    <row r="3276" spans="2:6" hidden="1" x14ac:dyDescent="0.2">
      <c r="B3276" s="14">
        <v>2013</v>
      </c>
      <c r="C3276" s="11" t="s">
        <v>1380</v>
      </c>
      <c r="D3276" s="11" t="s">
        <v>1381</v>
      </c>
      <c r="E3276" s="13" t="s">
        <v>3131</v>
      </c>
      <c r="F3276" s="15">
        <v>4</v>
      </c>
    </row>
    <row r="3277" spans="2:6" hidden="1" x14ac:dyDescent="0.2">
      <c r="B3277" s="14">
        <v>2013</v>
      </c>
      <c r="C3277" s="11" t="s">
        <v>1380</v>
      </c>
      <c r="D3277" s="11" t="s">
        <v>1381</v>
      </c>
      <c r="E3277" s="13" t="s">
        <v>3132</v>
      </c>
      <c r="F3277" s="15">
        <v>0</v>
      </c>
    </row>
    <row r="3278" spans="2:6" x14ac:dyDescent="0.2">
      <c r="B3278" s="14">
        <v>2013</v>
      </c>
      <c r="C3278" s="11" t="s">
        <v>1380</v>
      </c>
      <c r="D3278" s="11" t="s">
        <v>1381</v>
      </c>
      <c r="E3278" s="13" t="s">
        <v>2</v>
      </c>
      <c r="F3278" s="15">
        <v>24</v>
      </c>
    </row>
    <row r="3279" spans="2:6" x14ac:dyDescent="0.2">
      <c r="B3279" s="14">
        <v>2013</v>
      </c>
      <c r="C3279" s="11" t="s">
        <v>1380</v>
      </c>
      <c r="D3279" s="11" t="s">
        <v>1381</v>
      </c>
      <c r="E3279" s="13" t="s">
        <v>3</v>
      </c>
      <c r="F3279" s="15">
        <v>22</v>
      </c>
    </row>
    <row r="3280" spans="2:6" hidden="1" x14ac:dyDescent="0.2">
      <c r="B3280" s="14">
        <v>2013</v>
      </c>
      <c r="C3280" s="11" t="s">
        <v>1380</v>
      </c>
      <c r="D3280" s="11" t="s">
        <v>1381</v>
      </c>
      <c r="E3280" s="13" t="s">
        <v>3133</v>
      </c>
      <c r="F3280" s="15">
        <v>0</v>
      </c>
    </row>
    <row r="3281" spans="2:6" hidden="1" x14ac:dyDescent="0.2">
      <c r="B3281" s="14">
        <v>2013</v>
      </c>
      <c r="C3281" s="11" t="s">
        <v>1380</v>
      </c>
      <c r="D3281" s="13" t="s">
        <v>3134</v>
      </c>
      <c r="E3281" s="13" t="s">
        <v>3135</v>
      </c>
      <c r="F3281" s="15">
        <v>12</v>
      </c>
    </row>
    <row r="3282" spans="2:6" hidden="1" x14ac:dyDescent="0.2">
      <c r="B3282" s="14">
        <v>2013</v>
      </c>
      <c r="C3282" s="11" t="s">
        <v>1380</v>
      </c>
      <c r="D3282" s="13" t="s">
        <v>3134</v>
      </c>
      <c r="E3282" s="13" t="s">
        <v>3136</v>
      </c>
      <c r="F3282" s="15">
        <v>0</v>
      </c>
    </row>
    <row r="3283" spans="2:6" hidden="1" x14ac:dyDescent="0.2">
      <c r="B3283" s="14">
        <v>2013</v>
      </c>
      <c r="C3283" s="11" t="s">
        <v>1380</v>
      </c>
      <c r="D3283" s="13" t="s">
        <v>3134</v>
      </c>
      <c r="E3283" s="13" t="s">
        <v>3137</v>
      </c>
      <c r="F3283" s="15">
        <v>0</v>
      </c>
    </row>
    <row r="3284" spans="2:6" hidden="1" x14ac:dyDescent="0.2">
      <c r="B3284" s="14">
        <v>2013</v>
      </c>
      <c r="C3284" s="11" t="s">
        <v>1380</v>
      </c>
      <c r="D3284" s="13" t="s">
        <v>3134</v>
      </c>
      <c r="E3284" s="13" t="s">
        <v>2946</v>
      </c>
      <c r="F3284" s="15">
        <v>3</v>
      </c>
    </row>
    <row r="3285" spans="2:6" hidden="1" x14ac:dyDescent="0.2">
      <c r="B3285" s="14">
        <v>2013</v>
      </c>
      <c r="C3285" s="11" t="s">
        <v>1380</v>
      </c>
      <c r="D3285" s="13" t="s">
        <v>3134</v>
      </c>
      <c r="E3285" s="13" t="s">
        <v>1962</v>
      </c>
      <c r="F3285" s="15">
        <v>0</v>
      </c>
    </row>
    <row r="3286" spans="2:6" hidden="1" x14ac:dyDescent="0.2">
      <c r="B3286" s="14">
        <v>2013</v>
      </c>
      <c r="C3286" s="11" t="s">
        <v>1380</v>
      </c>
      <c r="D3286" s="13" t="s">
        <v>3134</v>
      </c>
      <c r="E3286" s="13" t="s">
        <v>3138</v>
      </c>
      <c r="F3286" s="15">
        <v>4</v>
      </c>
    </row>
    <row r="3287" spans="2:6" hidden="1" x14ac:dyDescent="0.2">
      <c r="B3287" s="14">
        <v>2013</v>
      </c>
      <c r="C3287" s="11" t="s">
        <v>1380</v>
      </c>
      <c r="D3287" s="13" t="s">
        <v>3124</v>
      </c>
      <c r="E3287" s="13" t="s">
        <v>3139</v>
      </c>
      <c r="F3287" s="15">
        <v>3</v>
      </c>
    </row>
    <row r="3288" spans="2:6" hidden="1" x14ac:dyDescent="0.2">
      <c r="B3288" s="14">
        <v>2013</v>
      </c>
      <c r="C3288" s="11" t="s">
        <v>1380</v>
      </c>
      <c r="D3288" s="13" t="s">
        <v>3124</v>
      </c>
      <c r="E3288" s="13" t="s">
        <v>3140</v>
      </c>
      <c r="F3288" s="15">
        <v>0</v>
      </c>
    </row>
    <row r="3289" spans="2:6" hidden="1" x14ac:dyDescent="0.2">
      <c r="B3289" s="14">
        <v>2013</v>
      </c>
      <c r="C3289" s="11" t="s">
        <v>1380</v>
      </c>
      <c r="D3289" s="13" t="s">
        <v>3124</v>
      </c>
      <c r="E3289" s="13" t="s">
        <v>3141</v>
      </c>
      <c r="F3289" s="15">
        <v>0</v>
      </c>
    </row>
    <row r="3290" spans="2:6" hidden="1" x14ac:dyDescent="0.2">
      <c r="B3290" s="14">
        <v>2013</v>
      </c>
      <c r="C3290" s="11" t="s">
        <v>1380</v>
      </c>
      <c r="D3290" s="13" t="s">
        <v>3124</v>
      </c>
      <c r="E3290" s="13" t="s">
        <v>3142</v>
      </c>
      <c r="F3290" s="15">
        <v>0</v>
      </c>
    </row>
    <row r="3291" spans="2:6" hidden="1" x14ac:dyDescent="0.2">
      <c r="B3291" s="14">
        <v>2013</v>
      </c>
      <c r="C3291" s="11" t="s">
        <v>1380</v>
      </c>
      <c r="D3291" s="13" t="s">
        <v>3124</v>
      </c>
      <c r="E3291" s="13" t="s">
        <v>3143</v>
      </c>
      <c r="F3291" s="15">
        <v>0</v>
      </c>
    </row>
    <row r="3292" spans="2:6" hidden="1" x14ac:dyDescent="0.2">
      <c r="B3292" s="14">
        <v>2013</v>
      </c>
      <c r="C3292" s="11" t="s">
        <v>1380</v>
      </c>
      <c r="D3292" s="13" t="s">
        <v>3144</v>
      </c>
      <c r="E3292" s="13" t="s">
        <v>3145</v>
      </c>
      <c r="F3292" s="15">
        <v>7</v>
      </c>
    </row>
    <row r="3293" spans="2:6" hidden="1" x14ac:dyDescent="0.2">
      <c r="B3293" s="14">
        <v>2013</v>
      </c>
      <c r="C3293" s="11" t="s">
        <v>1380</v>
      </c>
      <c r="D3293" s="13" t="s">
        <v>3144</v>
      </c>
      <c r="E3293" s="13" t="s">
        <v>3146</v>
      </c>
      <c r="F3293" s="15">
        <v>0</v>
      </c>
    </row>
    <row r="3294" spans="2:6" hidden="1" x14ac:dyDescent="0.2">
      <c r="B3294" s="14">
        <v>2013</v>
      </c>
      <c r="C3294" s="11" t="s">
        <v>1380</v>
      </c>
      <c r="D3294" s="13" t="s">
        <v>3144</v>
      </c>
      <c r="E3294" s="13" t="s">
        <v>3147</v>
      </c>
      <c r="F3294" s="15">
        <v>3</v>
      </c>
    </row>
    <row r="3295" spans="2:6" hidden="1" x14ac:dyDescent="0.2">
      <c r="B3295" s="14">
        <v>2013</v>
      </c>
      <c r="C3295" s="11" t="s">
        <v>1380</v>
      </c>
      <c r="D3295" s="13" t="s">
        <v>3144</v>
      </c>
      <c r="E3295" s="13" t="s">
        <v>2435</v>
      </c>
      <c r="F3295" s="15">
        <v>0</v>
      </c>
    </row>
    <row r="3296" spans="2:6" hidden="1" x14ac:dyDescent="0.2">
      <c r="B3296" s="14">
        <v>2013</v>
      </c>
      <c r="C3296" s="11" t="s">
        <v>1380</v>
      </c>
      <c r="D3296" s="13" t="s">
        <v>3148</v>
      </c>
      <c r="E3296" s="13" t="s">
        <v>3148</v>
      </c>
      <c r="F3296" s="15">
        <v>5</v>
      </c>
    </row>
    <row r="3297" spans="2:6" hidden="1" x14ac:dyDescent="0.2">
      <c r="B3297" s="14">
        <v>2013</v>
      </c>
      <c r="C3297" s="11" t="s">
        <v>1380</v>
      </c>
      <c r="D3297" s="13" t="s">
        <v>3148</v>
      </c>
      <c r="E3297" s="13" t="s">
        <v>3149</v>
      </c>
      <c r="F3297" s="15">
        <v>0</v>
      </c>
    </row>
    <row r="3298" spans="2:6" hidden="1" x14ac:dyDescent="0.2">
      <c r="B3298" s="14">
        <v>2013</v>
      </c>
      <c r="C3298" s="11" t="s">
        <v>1380</v>
      </c>
      <c r="D3298" s="13" t="s">
        <v>3148</v>
      </c>
      <c r="E3298" s="13" t="s">
        <v>3150</v>
      </c>
      <c r="F3298" s="15">
        <v>2</v>
      </c>
    </row>
    <row r="3299" spans="2:6" hidden="1" x14ac:dyDescent="0.2">
      <c r="B3299" s="14">
        <v>2013</v>
      </c>
      <c r="C3299" s="11" t="s">
        <v>1380</v>
      </c>
      <c r="D3299" s="13" t="s">
        <v>3148</v>
      </c>
      <c r="E3299" s="13" t="s">
        <v>3151</v>
      </c>
      <c r="F3299" s="15">
        <v>0</v>
      </c>
    </row>
    <row r="3300" spans="2:6" hidden="1" x14ac:dyDescent="0.2">
      <c r="B3300" s="14">
        <v>2013</v>
      </c>
      <c r="C3300" s="11" t="s">
        <v>1380</v>
      </c>
      <c r="D3300" s="13" t="s">
        <v>3148</v>
      </c>
      <c r="E3300" s="13" t="s">
        <v>3152</v>
      </c>
      <c r="F3300" s="15">
        <v>0</v>
      </c>
    </row>
    <row r="3301" spans="2:6" hidden="1" x14ac:dyDescent="0.2">
      <c r="B3301" s="14">
        <v>2013</v>
      </c>
      <c r="C3301" s="11" t="s">
        <v>1380</v>
      </c>
      <c r="D3301" s="13" t="s">
        <v>3148</v>
      </c>
      <c r="E3301" s="13" t="s">
        <v>3153</v>
      </c>
      <c r="F3301" s="15">
        <v>0</v>
      </c>
    </row>
    <row r="3302" spans="2:6" hidden="1" x14ac:dyDescent="0.2">
      <c r="B3302" s="14">
        <v>2013</v>
      </c>
      <c r="C3302" s="11" t="s">
        <v>1380</v>
      </c>
      <c r="D3302" s="13" t="s">
        <v>3148</v>
      </c>
      <c r="E3302" s="13" t="s">
        <v>3154</v>
      </c>
      <c r="F3302" s="15">
        <v>0</v>
      </c>
    </row>
    <row r="3303" spans="2:6" hidden="1" x14ac:dyDescent="0.2">
      <c r="B3303" s="14">
        <v>2013</v>
      </c>
      <c r="C3303" s="11" t="s">
        <v>1380</v>
      </c>
      <c r="D3303" s="13" t="s">
        <v>3148</v>
      </c>
      <c r="E3303" s="13" t="s">
        <v>3155</v>
      </c>
      <c r="F3303" s="15">
        <v>0</v>
      </c>
    </row>
    <row r="3304" spans="2:6" hidden="1" x14ac:dyDescent="0.2">
      <c r="B3304" s="14">
        <v>2013</v>
      </c>
      <c r="C3304" s="11" t="s">
        <v>1380</v>
      </c>
      <c r="D3304" s="13" t="s">
        <v>3148</v>
      </c>
      <c r="E3304" s="13" t="s">
        <v>3156</v>
      </c>
      <c r="F3304" s="15">
        <v>0</v>
      </c>
    </row>
    <row r="3305" spans="2:6" hidden="1" x14ac:dyDescent="0.2">
      <c r="B3305" s="14">
        <v>2013</v>
      </c>
      <c r="C3305" s="11" t="s">
        <v>1380</v>
      </c>
      <c r="D3305" s="13" t="s">
        <v>3148</v>
      </c>
      <c r="E3305" s="13" t="s">
        <v>3157</v>
      </c>
      <c r="F3305" s="15">
        <v>1</v>
      </c>
    </row>
    <row r="3306" spans="2:6" hidden="1" x14ac:dyDescent="0.2">
      <c r="B3306" s="14">
        <v>2013</v>
      </c>
      <c r="C3306" s="11" t="s">
        <v>1380</v>
      </c>
      <c r="D3306" s="13" t="s">
        <v>3148</v>
      </c>
      <c r="E3306" s="13" t="s">
        <v>3158</v>
      </c>
      <c r="F3306" s="15">
        <v>0</v>
      </c>
    </row>
    <row r="3307" spans="2:6" hidden="1" x14ac:dyDescent="0.2">
      <c r="B3307" s="14">
        <v>2013</v>
      </c>
      <c r="C3307" s="11" t="s">
        <v>1380</v>
      </c>
      <c r="D3307" s="13" t="s">
        <v>3159</v>
      </c>
      <c r="E3307" s="13" t="s">
        <v>3160</v>
      </c>
      <c r="F3307" s="15">
        <v>2</v>
      </c>
    </row>
    <row r="3308" spans="2:6" hidden="1" x14ac:dyDescent="0.2">
      <c r="B3308" s="14">
        <v>2013</v>
      </c>
      <c r="C3308" s="11" t="s">
        <v>1380</v>
      </c>
      <c r="D3308" s="13" t="s">
        <v>3159</v>
      </c>
      <c r="E3308" s="13" t="s">
        <v>3161</v>
      </c>
      <c r="F3308" s="15">
        <v>0</v>
      </c>
    </row>
    <row r="3309" spans="2:6" hidden="1" x14ac:dyDescent="0.2">
      <c r="B3309" s="14">
        <v>2013</v>
      </c>
      <c r="C3309" s="11" t="s">
        <v>1380</v>
      </c>
      <c r="D3309" s="13" t="s">
        <v>3159</v>
      </c>
      <c r="E3309" s="13" t="s">
        <v>3162</v>
      </c>
      <c r="F3309" s="15">
        <v>0</v>
      </c>
    </row>
    <row r="3310" spans="2:6" hidden="1" x14ac:dyDescent="0.2">
      <c r="B3310" s="14">
        <v>2013</v>
      </c>
      <c r="C3310" s="11" t="s">
        <v>1380</v>
      </c>
      <c r="D3310" s="13" t="s">
        <v>3159</v>
      </c>
      <c r="E3310" s="13" t="s">
        <v>2834</v>
      </c>
      <c r="F3310" s="15">
        <v>0</v>
      </c>
    </row>
    <row r="3311" spans="2:6" hidden="1" x14ac:dyDescent="0.2">
      <c r="B3311" s="14">
        <v>2013</v>
      </c>
      <c r="C3311" s="11" t="s">
        <v>1380</v>
      </c>
      <c r="D3311" s="13" t="s">
        <v>3159</v>
      </c>
      <c r="E3311" s="13" t="s">
        <v>3163</v>
      </c>
      <c r="F3311" s="15">
        <v>0</v>
      </c>
    </row>
    <row r="3312" spans="2:6" hidden="1" x14ac:dyDescent="0.2">
      <c r="B3312" s="14">
        <v>2013</v>
      </c>
      <c r="C3312" s="11" t="s">
        <v>1380</v>
      </c>
      <c r="D3312" s="13" t="s">
        <v>3159</v>
      </c>
      <c r="E3312" s="13" t="s">
        <v>3164</v>
      </c>
      <c r="F3312" s="15">
        <v>0</v>
      </c>
    </row>
    <row r="3313" spans="2:6" hidden="1" x14ac:dyDescent="0.2">
      <c r="B3313" s="14">
        <v>2013</v>
      </c>
      <c r="C3313" s="11" t="s">
        <v>1380</v>
      </c>
      <c r="D3313" s="13" t="s">
        <v>3165</v>
      </c>
      <c r="E3313" s="13" t="s">
        <v>3007</v>
      </c>
      <c r="F3313" s="15">
        <v>3</v>
      </c>
    </row>
    <row r="3314" spans="2:6" hidden="1" x14ac:dyDescent="0.2">
      <c r="B3314" s="14">
        <v>2013</v>
      </c>
      <c r="C3314" s="11" t="s">
        <v>1380</v>
      </c>
      <c r="D3314" s="13" t="s">
        <v>3165</v>
      </c>
      <c r="E3314" s="13" t="s">
        <v>3166</v>
      </c>
      <c r="F3314" s="15">
        <v>0</v>
      </c>
    </row>
    <row r="3315" spans="2:6" hidden="1" x14ac:dyDescent="0.2">
      <c r="B3315" s="14">
        <v>2013</v>
      </c>
      <c r="C3315" s="11" t="s">
        <v>1380</v>
      </c>
      <c r="D3315" s="13" t="s">
        <v>3165</v>
      </c>
      <c r="E3315" s="13" t="s">
        <v>3167</v>
      </c>
      <c r="F3315" s="15">
        <v>4</v>
      </c>
    </row>
    <row r="3316" spans="2:6" hidden="1" x14ac:dyDescent="0.2">
      <c r="B3316" s="14">
        <v>2013</v>
      </c>
      <c r="C3316" s="11" t="s">
        <v>1380</v>
      </c>
      <c r="D3316" s="13" t="s">
        <v>3165</v>
      </c>
      <c r="E3316" s="13" t="s">
        <v>3168</v>
      </c>
      <c r="F3316" s="15">
        <v>0</v>
      </c>
    </row>
    <row r="3317" spans="2:6" hidden="1" x14ac:dyDescent="0.2">
      <c r="B3317" s="14">
        <v>2013</v>
      </c>
      <c r="C3317" s="11" t="s">
        <v>1380</v>
      </c>
      <c r="D3317" s="13" t="s">
        <v>3165</v>
      </c>
      <c r="E3317" s="13" t="s">
        <v>3169</v>
      </c>
      <c r="F3317" s="15">
        <v>0</v>
      </c>
    </row>
    <row r="3318" spans="2:6" hidden="1" x14ac:dyDescent="0.2">
      <c r="B3318" s="14">
        <v>2013</v>
      </c>
      <c r="C3318" s="11" t="s">
        <v>1380</v>
      </c>
      <c r="D3318" s="13" t="s">
        <v>3165</v>
      </c>
      <c r="E3318" s="13" t="s">
        <v>3170</v>
      </c>
      <c r="F3318" s="15">
        <v>0</v>
      </c>
    </row>
    <row r="3319" spans="2:6" hidden="1" x14ac:dyDescent="0.2">
      <c r="B3319" s="14">
        <v>2013</v>
      </c>
      <c r="C3319" s="13" t="s">
        <v>3171</v>
      </c>
      <c r="D3319" s="13" t="s">
        <v>3172</v>
      </c>
      <c r="E3319" s="13" t="s">
        <v>3172</v>
      </c>
      <c r="F3319" s="15">
        <v>98</v>
      </c>
    </row>
    <row r="3320" spans="2:6" hidden="1" x14ac:dyDescent="0.2">
      <c r="B3320" s="14">
        <v>2013</v>
      </c>
      <c r="C3320" s="13" t="s">
        <v>3171</v>
      </c>
      <c r="D3320" s="13" t="s">
        <v>3172</v>
      </c>
      <c r="E3320" s="13" t="s">
        <v>3173</v>
      </c>
      <c r="F3320" s="15">
        <v>5</v>
      </c>
    </row>
    <row r="3321" spans="2:6" hidden="1" x14ac:dyDescent="0.2">
      <c r="B3321" s="14">
        <v>2013</v>
      </c>
      <c r="C3321" s="13" t="s">
        <v>3171</v>
      </c>
      <c r="D3321" s="13" t="s">
        <v>3172</v>
      </c>
      <c r="E3321" s="13" t="s">
        <v>3174</v>
      </c>
      <c r="F3321" s="15">
        <v>5</v>
      </c>
    </row>
    <row r="3322" spans="2:6" hidden="1" x14ac:dyDescent="0.2">
      <c r="B3322" s="14">
        <v>2013</v>
      </c>
      <c r="C3322" s="13" t="s">
        <v>3171</v>
      </c>
      <c r="D3322" s="13" t="s">
        <v>3172</v>
      </c>
      <c r="E3322" s="13" t="s">
        <v>3175</v>
      </c>
      <c r="F3322" s="15">
        <v>62</v>
      </c>
    </row>
    <row r="3323" spans="2:6" hidden="1" x14ac:dyDescent="0.2">
      <c r="B3323" s="14">
        <v>2013</v>
      </c>
      <c r="C3323" s="13" t="s">
        <v>3171</v>
      </c>
      <c r="D3323" s="13" t="s">
        <v>3176</v>
      </c>
      <c r="E3323" s="13" t="s">
        <v>3176</v>
      </c>
      <c r="F3323" s="15">
        <v>0</v>
      </c>
    </row>
    <row r="3324" spans="2:6" hidden="1" x14ac:dyDescent="0.2">
      <c r="B3324" s="14">
        <v>2013</v>
      </c>
      <c r="C3324" s="13" t="s">
        <v>3171</v>
      </c>
      <c r="D3324" s="13" t="s">
        <v>3176</v>
      </c>
      <c r="E3324" s="13" t="s">
        <v>3177</v>
      </c>
      <c r="F3324" s="15">
        <v>0</v>
      </c>
    </row>
    <row r="3325" spans="2:6" hidden="1" x14ac:dyDescent="0.2">
      <c r="B3325" s="14">
        <v>2013</v>
      </c>
      <c r="C3325" s="13" t="s">
        <v>3171</v>
      </c>
      <c r="D3325" s="13" t="s">
        <v>3176</v>
      </c>
      <c r="E3325" s="13" t="s">
        <v>3171</v>
      </c>
      <c r="F3325" s="15">
        <v>27</v>
      </c>
    </row>
    <row r="3326" spans="2:6" hidden="1" x14ac:dyDescent="0.2">
      <c r="B3326" s="14">
        <v>2013</v>
      </c>
      <c r="C3326" s="13" t="s">
        <v>3171</v>
      </c>
      <c r="D3326" s="13" t="s">
        <v>3176</v>
      </c>
      <c r="E3326" s="13" t="s">
        <v>3178</v>
      </c>
      <c r="F3326" s="15">
        <v>1</v>
      </c>
    </row>
    <row r="3327" spans="2:6" hidden="1" x14ac:dyDescent="0.2">
      <c r="B3327" s="14">
        <v>2013</v>
      </c>
      <c r="C3327" s="13" t="s">
        <v>3171</v>
      </c>
      <c r="D3327" s="13" t="s">
        <v>3179</v>
      </c>
      <c r="E3327" s="13" t="s">
        <v>3180</v>
      </c>
      <c r="F3327" s="15">
        <v>2</v>
      </c>
    </row>
    <row r="3328" spans="2:6" hidden="1" x14ac:dyDescent="0.2">
      <c r="B3328" s="14">
        <v>2013</v>
      </c>
      <c r="C3328" s="13" t="s">
        <v>3171</v>
      </c>
      <c r="D3328" s="13" t="s">
        <v>3179</v>
      </c>
      <c r="E3328" s="13" t="s">
        <v>3181</v>
      </c>
      <c r="F3328" s="15">
        <v>3</v>
      </c>
    </row>
    <row r="3329" spans="2:6" hidden="1" x14ac:dyDescent="0.2">
      <c r="B3329" s="14">
        <v>2013</v>
      </c>
      <c r="C3329" s="13" t="s">
        <v>3171</v>
      </c>
      <c r="D3329" s="13" t="s">
        <v>3179</v>
      </c>
      <c r="E3329" s="13" t="s">
        <v>3179</v>
      </c>
      <c r="F3329" s="15">
        <v>1</v>
      </c>
    </row>
    <row r="3330" spans="2:6" hidden="1" x14ac:dyDescent="0.2">
      <c r="B3330" s="14">
        <v>2013</v>
      </c>
      <c r="C3330" s="13" t="s">
        <v>3182</v>
      </c>
      <c r="D3330" s="13" t="s">
        <v>3183</v>
      </c>
      <c r="E3330" s="13" t="s">
        <v>3182</v>
      </c>
      <c r="F3330" s="15">
        <v>110</v>
      </c>
    </row>
    <row r="3331" spans="2:6" hidden="1" x14ac:dyDescent="0.2">
      <c r="B3331" s="14">
        <v>2013</v>
      </c>
      <c r="C3331" s="13" t="s">
        <v>3182</v>
      </c>
      <c r="D3331" s="13" t="s">
        <v>3183</v>
      </c>
      <c r="E3331" s="13" t="s">
        <v>3184</v>
      </c>
      <c r="F3331" s="15">
        <v>0</v>
      </c>
    </row>
    <row r="3332" spans="2:6" hidden="1" x14ac:dyDescent="0.2">
      <c r="B3332" s="14">
        <v>2013</v>
      </c>
      <c r="C3332" s="13" t="s">
        <v>3182</v>
      </c>
      <c r="D3332" s="13" t="s">
        <v>3183</v>
      </c>
      <c r="E3332" s="13" t="s">
        <v>3185</v>
      </c>
      <c r="F3332" s="15">
        <v>0</v>
      </c>
    </row>
    <row r="3333" spans="2:6" hidden="1" x14ac:dyDescent="0.2">
      <c r="B3333" s="14">
        <v>2013</v>
      </c>
      <c r="C3333" s="13" t="s">
        <v>3182</v>
      </c>
      <c r="D3333" s="13" t="s">
        <v>3183</v>
      </c>
      <c r="E3333" s="13" t="s">
        <v>3186</v>
      </c>
      <c r="F3333" s="15">
        <v>5</v>
      </c>
    </row>
    <row r="3334" spans="2:6" hidden="1" x14ac:dyDescent="0.2">
      <c r="B3334" s="14">
        <v>2013</v>
      </c>
      <c r="C3334" s="13" t="s">
        <v>3182</v>
      </c>
      <c r="D3334" s="13" t="s">
        <v>3183</v>
      </c>
      <c r="E3334" s="13" t="s">
        <v>1840</v>
      </c>
      <c r="F3334" s="15">
        <v>0</v>
      </c>
    </row>
    <row r="3335" spans="2:6" hidden="1" x14ac:dyDescent="0.2">
      <c r="B3335" s="14">
        <v>2013</v>
      </c>
      <c r="C3335" s="13" t="s">
        <v>3182</v>
      </c>
      <c r="D3335" s="13" t="s">
        <v>3183</v>
      </c>
      <c r="E3335" s="13" t="s">
        <v>3187</v>
      </c>
      <c r="F3335" s="15">
        <v>0</v>
      </c>
    </row>
    <row r="3336" spans="2:6" hidden="1" x14ac:dyDescent="0.2">
      <c r="B3336" s="14">
        <v>2013</v>
      </c>
      <c r="C3336" s="13" t="s">
        <v>3182</v>
      </c>
      <c r="D3336" s="13" t="s">
        <v>3188</v>
      </c>
      <c r="E3336" s="13" t="s">
        <v>3189</v>
      </c>
      <c r="F3336" s="15">
        <v>0</v>
      </c>
    </row>
    <row r="3337" spans="2:6" hidden="1" x14ac:dyDescent="0.2">
      <c r="B3337" s="14">
        <v>2013</v>
      </c>
      <c r="C3337" s="13" t="s">
        <v>3182</v>
      </c>
      <c r="D3337" s="13" t="s">
        <v>3188</v>
      </c>
      <c r="E3337" s="13" t="s">
        <v>3190</v>
      </c>
      <c r="F3337" s="15">
        <v>0</v>
      </c>
    </row>
    <row r="3338" spans="2:6" hidden="1" x14ac:dyDescent="0.2">
      <c r="B3338" s="14">
        <v>2013</v>
      </c>
      <c r="C3338" s="13" t="s">
        <v>3182</v>
      </c>
      <c r="D3338" s="13" t="s">
        <v>3188</v>
      </c>
      <c r="E3338" s="13" t="s">
        <v>3191</v>
      </c>
      <c r="F3338" s="15">
        <v>0</v>
      </c>
    </row>
    <row r="3339" spans="2:6" hidden="1" x14ac:dyDescent="0.2">
      <c r="B3339" s="14">
        <v>2013</v>
      </c>
      <c r="C3339" s="13" t="s">
        <v>3182</v>
      </c>
      <c r="D3339" s="13" t="s">
        <v>3188</v>
      </c>
      <c r="E3339" s="13" t="s">
        <v>3192</v>
      </c>
      <c r="F3339" s="15">
        <v>2</v>
      </c>
    </row>
    <row r="3340" spans="2:6" hidden="1" x14ac:dyDescent="0.2">
      <c r="B3340" s="14">
        <v>2013</v>
      </c>
      <c r="C3340" s="13" t="s">
        <v>3182</v>
      </c>
      <c r="D3340" s="13" t="s">
        <v>3188</v>
      </c>
      <c r="E3340" s="13" t="s">
        <v>3193</v>
      </c>
      <c r="F3340" s="15">
        <v>0</v>
      </c>
    </row>
    <row r="3341" spans="2:6" hidden="1" x14ac:dyDescent="0.2">
      <c r="B3341" s="14">
        <v>2013</v>
      </c>
      <c r="C3341" s="13" t="s">
        <v>3182</v>
      </c>
      <c r="D3341" s="13" t="s">
        <v>3188</v>
      </c>
      <c r="E3341" s="13" t="s">
        <v>3194</v>
      </c>
      <c r="F3341" s="15">
        <v>0</v>
      </c>
    </row>
    <row r="3342" spans="2:6" hidden="1" x14ac:dyDescent="0.2">
      <c r="B3342" s="14">
        <v>2013</v>
      </c>
      <c r="C3342" s="13" t="s">
        <v>3182</v>
      </c>
      <c r="D3342" s="13" t="s">
        <v>3188</v>
      </c>
      <c r="E3342" s="13" t="s">
        <v>3195</v>
      </c>
      <c r="F3342" s="15">
        <v>0</v>
      </c>
    </row>
    <row r="3343" spans="2:6" hidden="1" x14ac:dyDescent="0.2">
      <c r="B3343" s="14">
        <v>2013</v>
      </c>
      <c r="C3343" s="13" t="s">
        <v>3182</v>
      </c>
      <c r="D3343" s="13" t="s">
        <v>3188</v>
      </c>
      <c r="E3343" s="13" t="s">
        <v>3196</v>
      </c>
      <c r="F3343" s="15">
        <v>0</v>
      </c>
    </row>
    <row r="3344" spans="2:6" hidden="1" x14ac:dyDescent="0.2">
      <c r="B3344" s="14">
        <v>2013</v>
      </c>
      <c r="C3344" s="13" t="s">
        <v>3182</v>
      </c>
      <c r="D3344" s="13" t="s">
        <v>3188</v>
      </c>
      <c r="E3344" s="13" t="s">
        <v>3197</v>
      </c>
      <c r="F3344" s="15">
        <v>0</v>
      </c>
    </row>
    <row r="3345" spans="2:6" hidden="1" x14ac:dyDescent="0.2">
      <c r="B3345" s="14">
        <v>2013</v>
      </c>
      <c r="C3345" s="13" t="s">
        <v>3182</v>
      </c>
      <c r="D3345" s="13" t="s">
        <v>3188</v>
      </c>
      <c r="E3345" s="13" t="s">
        <v>3198</v>
      </c>
      <c r="F3345" s="15">
        <v>0</v>
      </c>
    </row>
    <row r="3346" spans="2:6" hidden="1" x14ac:dyDescent="0.2">
      <c r="B3346" s="14">
        <v>2013</v>
      </c>
      <c r="C3346" s="13" t="s">
        <v>3182</v>
      </c>
      <c r="D3346" s="13" t="s">
        <v>3188</v>
      </c>
      <c r="E3346" s="13" t="s">
        <v>3199</v>
      </c>
      <c r="F3346" s="15">
        <v>0</v>
      </c>
    </row>
    <row r="3347" spans="2:6" hidden="1" x14ac:dyDescent="0.2">
      <c r="B3347" s="14">
        <v>2013</v>
      </c>
      <c r="C3347" s="13" t="s">
        <v>3182</v>
      </c>
      <c r="D3347" s="13" t="s">
        <v>3200</v>
      </c>
      <c r="E3347" s="13" t="s">
        <v>3200</v>
      </c>
      <c r="F3347" s="15">
        <v>42</v>
      </c>
    </row>
    <row r="3348" spans="2:6" hidden="1" x14ac:dyDescent="0.2">
      <c r="B3348" s="14">
        <v>2013</v>
      </c>
      <c r="C3348" s="13" t="s">
        <v>3182</v>
      </c>
      <c r="D3348" s="13" t="s">
        <v>3200</v>
      </c>
      <c r="E3348" s="13" t="s">
        <v>3201</v>
      </c>
      <c r="F3348" s="15">
        <v>0</v>
      </c>
    </row>
    <row r="3349" spans="2:6" hidden="1" x14ac:dyDescent="0.2">
      <c r="B3349" s="14">
        <v>2013</v>
      </c>
      <c r="C3349" s="13" t="s">
        <v>3182</v>
      </c>
      <c r="D3349" s="13" t="s">
        <v>3200</v>
      </c>
      <c r="E3349" s="13" t="s">
        <v>3202</v>
      </c>
      <c r="F3349" s="15">
        <v>0</v>
      </c>
    </row>
    <row r="3350" spans="2:6" hidden="1" x14ac:dyDescent="0.2">
      <c r="B3350" s="14">
        <v>2013</v>
      </c>
      <c r="C3350" s="13" t="s">
        <v>3203</v>
      </c>
      <c r="D3350" s="13" t="s">
        <v>3203</v>
      </c>
      <c r="E3350" s="13" t="s">
        <v>3204</v>
      </c>
      <c r="F3350" s="15">
        <v>24</v>
      </c>
    </row>
    <row r="3351" spans="2:6" hidden="1" x14ac:dyDescent="0.2">
      <c r="B3351" s="14">
        <v>2013</v>
      </c>
      <c r="C3351" s="13" t="s">
        <v>3203</v>
      </c>
      <c r="D3351" s="13" t="s">
        <v>3203</v>
      </c>
      <c r="E3351" s="13" t="s">
        <v>3205</v>
      </c>
      <c r="F3351" s="15">
        <v>3</v>
      </c>
    </row>
    <row r="3352" spans="2:6" hidden="1" x14ac:dyDescent="0.2">
      <c r="B3352" s="14">
        <v>2013</v>
      </c>
      <c r="C3352" s="13" t="s">
        <v>3203</v>
      </c>
      <c r="D3352" s="13" t="s">
        <v>3203</v>
      </c>
      <c r="E3352" s="13" t="s">
        <v>3206</v>
      </c>
      <c r="F3352" s="15">
        <v>2</v>
      </c>
    </row>
    <row r="3353" spans="2:6" hidden="1" x14ac:dyDescent="0.2">
      <c r="B3353" s="14">
        <v>2013</v>
      </c>
      <c r="C3353" s="13" t="s">
        <v>3203</v>
      </c>
      <c r="D3353" s="13" t="s">
        <v>3203</v>
      </c>
      <c r="E3353" s="13" t="s">
        <v>3207</v>
      </c>
      <c r="F3353" s="15">
        <v>0</v>
      </c>
    </row>
    <row r="3354" spans="2:6" hidden="1" x14ac:dyDescent="0.2">
      <c r="B3354" s="14">
        <v>2013</v>
      </c>
      <c r="C3354" s="13" t="s">
        <v>3203</v>
      </c>
      <c r="D3354" s="13" t="s">
        <v>3203</v>
      </c>
      <c r="E3354" s="13" t="s">
        <v>3208</v>
      </c>
      <c r="F3354" s="15">
        <v>0</v>
      </c>
    </row>
    <row r="3355" spans="2:6" hidden="1" x14ac:dyDescent="0.2">
      <c r="B3355" s="14">
        <v>2013</v>
      </c>
      <c r="C3355" s="13" t="s">
        <v>3203</v>
      </c>
      <c r="D3355" s="13" t="s">
        <v>3203</v>
      </c>
      <c r="E3355" s="13" t="s">
        <v>3209</v>
      </c>
      <c r="F3355" s="15">
        <v>0</v>
      </c>
    </row>
    <row r="3356" spans="2:6" hidden="1" x14ac:dyDescent="0.2">
      <c r="B3356" s="14">
        <v>2013</v>
      </c>
      <c r="C3356" s="13" t="s">
        <v>3203</v>
      </c>
      <c r="D3356" s="13" t="s">
        <v>3203</v>
      </c>
      <c r="E3356" s="13" t="s">
        <v>2531</v>
      </c>
      <c r="F3356" s="15">
        <v>2</v>
      </c>
    </row>
    <row r="3357" spans="2:6" hidden="1" x14ac:dyDescent="0.2">
      <c r="B3357" s="14">
        <v>2013</v>
      </c>
      <c r="C3357" s="13" t="s">
        <v>3203</v>
      </c>
      <c r="D3357" s="13" t="s">
        <v>3203</v>
      </c>
      <c r="E3357" s="13" t="s">
        <v>3210</v>
      </c>
      <c r="F3357" s="15">
        <v>0</v>
      </c>
    </row>
    <row r="3358" spans="2:6" hidden="1" x14ac:dyDescent="0.2">
      <c r="B3358" s="14">
        <v>2013</v>
      </c>
      <c r="C3358" s="13" t="s">
        <v>3203</v>
      </c>
      <c r="D3358" s="13" t="s">
        <v>3203</v>
      </c>
      <c r="E3358" s="13" t="s">
        <v>3211</v>
      </c>
      <c r="F3358" s="15">
        <v>4</v>
      </c>
    </row>
    <row r="3359" spans="2:6" hidden="1" x14ac:dyDescent="0.2">
      <c r="B3359" s="14">
        <v>2013</v>
      </c>
      <c r="C3359" s="13" t="s">
        <v>3203</v>
      </c>
      <c r="D3359" s="13" t="s">
        <v>3203</v>
      </c>
      <c r="E3359" s="13" t="s">
        <v>3212</v>
      </c>
      <c r="F3359" s="15">
        <v>2</v>
      </c>
    </row>
    <row r="3360" spans="2:6" hidden="1" x14ac:dyDescent="0.2">
      <c r="B3360" s="14">
        <v>2013</v>
      </c>
      <c r="C3360" s="13" t="s">
        <v>3203</v>
      </c>
      <c r="D3360" s="13" t="s">
        <v>3203</v>
      </c>
      <c r="E3360" s="13" t="s">
        <v>3213</v>
      </c>
      <c r="F3360" s="15">
        <v>3</v>
      </c>
    </row>
    <row r="3361" spans="2:6" hidden="1" x14ac:dyDescent="0.2">
      <c r="B3361" s="14">
        <v>2013</v>
      </c>
      <c r="C3361" s="13" t="s">
        <v>3203</v>
      </c>
      <c r="D3361" s="13" t="s">
        <v>3203</v>
      </c>
      <c r="E3361" s="13" t="s">
        <v>3214</v>
      </c>
      <c r="F3361" s="15">
        <v>0</v>
      </c>
    </row>
    <row r="3362" spans="2:6" hidden="1" x14ac:dyDescent="0.2">
      <c r="B3362" s="14">
        <v>2013</v>
      </c>
      <c r="C3362" s="13" t="s">
        <v>3203</v>
      </c>
      <c r="D3362" s="13" t="s">
        <v>3203</v>
      </c>
      <c r="E3362" s="13" t="s">
        <v>2860</v>
      </c>
      <c r="F3362" s="15">
        <v>2</v>
      </c>
    </row>
    <row r="3363" spans="2:6" hidden="1" x14ac:dyDescent="0.2">
      <c r="B3363" s="14">
        <v>2013</v>
      </c>
      <c r="C3363" s="13" t="s">
        <v>3203</v>
      </c>
      <c r="D3363" s="13" t="s">
        <v>3215</v>
      </c>
      <c r="E3363" s="13" t="s">
        <v>3216</v>
      </c>
      <c r="F3363" s="15">
        <v>0</v>
      </c>
    </row>
    <row r="3364" spans="2:6" hidden="1" x14ac:dyDescent="0.2">
      <c r="B3364" s="14">
        <v>2013</v>
      </c>
      <c r="C3364" s="13" t="s">
        <v>3203</v>
      </c>
      <c r="D3364" s="13" t="s">
        <v>3215</v>
      </c>
      <c r="E3364" s="13" t="s">
        <v>3217</v>
      </c>
      <c r="F3364" s="15">
        <v>0</v>
      </c>
    </row>
    <row r="3365" spans="2:6" hidden="1" x14ac:dyDescent="0.2">
      <c r="B3365" s="14">
        <v>2013</v>
      </c>
      <c r="C3365" s="13" t="s">
        <v>3203</v>
      </c>
      <c r="D3365" s="13" t="s">
        <v>3215</v>
      </c>
      <c r="E3365" s="13" t="s">
        <v>3218</v>
      </c>
      <c r="F3365" s="15">
        <v>0</v>
      </c>
    </row>
    <row r="3366" spans="2:6" hidden="1" x14ac:dyDescent="0.2">
      <c r="B3366" s="14">
        <v>2013</v>
      </c>
      <c r="C3366" s="13" t="s">
        <v>3203</v>
      </c>
      <c r="D3366" s="13" t="s">
        <v>3215</v>
      </c>
      <c r="E3366" s="13" t="s">
        <v>3219</v>
      </c>
      <c r="F3366" s="15">
        <v>0</v>
      </c>
    </row>
    <row r="3367" spans="2:6" hidden="1" x14ac:dyDescent="0.2">
      <c r="B3367" s="14">
        <v>2013</v>
      </c>
      <c r="C3367" s="13" t="s">
        <v>3203</v>
      </c>
      <c r="D3367" s="13" t="s">
        <v>3215</v>
      </c>
      <c r="E3367" s="13" t="s">
        <v>3220</v>
      </c>
      <c r="F3367" s="15">
        <v>0</v>
      </c>
    </row>
    <row r="3368" spans="2:6" hidden="1" x14ac:dyDescent="0.2">
      <c r="B3368" s="14">
        <v>2013</v>
      </c>
      <c r="C3368" s="13" t="s">
        <v>3203</v>
      </c>
      <c r="D3368" s="13" t="s">
        <v>3215</v>
      </c>
      <c r="E3368" s="13" t="s">
        <v>3221</v>
      </c>
      <c r="F3368" s="15">
        <v>2</v>
      </c>
    </row>
    <row r="3369" spans="2:6" hidden="1" x14ac:dyDescent="0.2">
      <c r="B3369" s="14">
        <v>2013</v>
      </c>
      <c r="C3369" s="13" t="s">
        <v>3203</v>
      </c>
      <c r="D3369" s="13" t="s">
        <v>3215</v>
      </c>
      <c r="E3369" s="13" t="s">
        <v>3222</v>
      </c>
      <c r="F3369" s="15">
        <v>0</v>
      </c>
    </row>
    <row r="3370" spans="2:6" hidden="1" x14ac:dyDescent="0.2">
      <c r="B3370" s="14">
        <v>2013</v>
      </c>
      <c r="C3370" s="13" t="s">
        <v>3203</v>
      </c>
      <c r="D3370" s="13" t="s">
        <v>3215</v>
      </c>
      <c r="E3370" s="13" t="s">
        <v>2110</v>
      </c>
      <c r="F3370" s="15">
        <v>0</v>
      </c>
    </row>
    <row r="3371" spans="2:6" hidden="1" x14ac:dyDescent="0.2">
      <c r="B3371" s="14">
        <v>2013</v>
      </c>
      <c r="C3371" s="13" t="s">
        <v>3203</v>
      </c>
      <c r="D3371" s="13" t="s">
        <v>3223</v>
      </c>
      <c r="E3371" s="13" t="s">
        <v>3223</v>
      </c>
      <c r="F3371" s="15">
        <v>10</v>
      </c>
    </row>
    <row r="3372" spans="2:6" hidden="1" x14ac:dyDescent="0.2">
      <c r="B3372" s="14">
        <v>2013</v>
      </c>
      <c r="C3372" s="13" t="s">
        <v>3203</v>
      </c>
      <c r="D3372" s="13" t="s">
        <v>3223</v>
      </c>
      <c r="E3372" s="13" t="s">
        <v>3224</v>
      </c>
      <c r="F3372" s="15">
        <v>0</v>
      </c>
    </row>
    <row r="3373" spans="2:6" hidden="1" x14ac:dyDescent="0.2">
      <c r="B3373" s="14">
        <v>2013</v>
      </c>
      <c r="C3373" s="13" t="s">
        <v>3203</v>
      </c>
      <c r="D3373" s="13" t="s">
        <v>3223</v>
      </c>
      <c r="E3373" s="13" t="s">
        <v>3225</v>
      </c>
      <c r="F3373" s="15">
        <v>2</v>
      </c>
    </row>
    <row r="3374" spans="2:6" hidden="1" x14ac:dyDescent="0.2">
      <c r="B3374" s="14">
        <v>2013</v>
      </c>
      <c r="C3374" s="13" t="s">
        <v>3203</v>
      </c>
      <c r="D3374" s="13" t="s">
        <v>3223</v>
      </c>
      <c r="E3374" s="13" t="s">
        <v>3226</v>
      </c>
      <c r="F3374" s="15">
        <v>7</v>
      </c>
    </row>
    <row r="3375" spans="2:6" hidden="1" x14ac:dyDescent="0.2">
      <c r="B3375" s="14">
        <v>2013</v>
      </c>
      <c r="C3375" s="13" t="s">
        <v>3203</v>
      </c>
      <c r="D3375" s="13" t="s">
        <v>3223</v>
      </c>
      <c r="E3375" s="13" t="s">
        <v>3227</v>
      </c>
      <c r="F3375" s="15">
        <v>4</v>
      </c>
    </row>
    <row r="3376" spans="2:6" hidden="1" x14ac:dyDescent="0.2">
      <c r="B3376" s="14">
        <v>2013</v>
      </c>
      <c r="C3376" s="13" t="s">
        <v>3203</v>
      </c>
      <c r="D3376" s="13" t="s">
        <v>3223</v>
      </c>
      <c r="E3376" s="13" t="s">
        <v>3228</v>
      </c>
      <c r="F3376" s="15">
        <v>7</v>
      </c>
    </row>
    <row r="3377" spans="2:6" hidden="1" x14ac:dyDescent="0.2">
      <c r="B3377" s="14">
        <v>2013</v>
      </c>
      <c r="C3377" s="13" t="s">
        <v>3203</v>
      </c>
      <c r="D3377" s="13" t="s">
        <v>3223</v>
      </c>
      <c r="E3377" s="13" t="s">
        <v>3229</v>
      </c>
      <c r="F3377" s="15">
        <v>11</v>
      </c>
    </row>
    <row r="3378" spans="2:6" hidden="1" x14ac:dyDescent="0.2">
      <c r="B3378" s="14">
        <v>2013</v>
      </c>
      <c r="C3378" s="13" t="s">
        <v>3203</v>
      </c>
      <c r="D3378" s="13" t="s">
        <v>3223</v>
      </c>
      <c r="E3378" s="13" t="s">
        <v>3230</v>
      </c>
      <c r="F3378" s="15">
        <v>20</v>
      </c>
    </row>
    <row r="3379" spans="2:6" hidden="1" x14ac:dyDescent="0.2">
      <c r="B3379" s="14">
        <v>2013</v>
      </c>
      <c r="C3379" s="13" t="s">
        <v>3231</v>
      </c>
      <c r="D3379" s="13" t="s">
        <v>3231</v>
      </c>
      <c r="E3379" s="13" t="s">
        <v>3231</v>
      </c>
      <c r="F3379" s="15">
        <v>545</v>
      </c>
    </row>
    <row r="3380" spans="2:6" hidden="1" x14ac:dyDescent="0.2">
      <c r="B3380" s="14">
        <v>2013</v>
      </c>
      <c r="C3380" s="13" t="s">
        <v>3231</v>
      </c>
      <c r="D3380" s="13" t="s">
        <v>3231</v>
      </c>
      <c r="E3380" s="13" t="s">
        <v>2163</v>
      </c>
      <c r="F3380" s="15">
        <v>58</v>
      </c>
    </row>
    <row r="3381" spans="2:6" hidden="1" x14ac:dyDescent="0.2">
      <c r="B3381" s="14">
        <v>2013</v>
      </c>
      <c r="C3381" s="13" t="s">
        <v>3231</v>
      </c>
      <c r="D3381" s="13" t="s">
        <v>3231</v>
      </c>
      <c r="E3381" s="13" t="s">
        <v>3232</v>
      </c>
      <c r="F3381" s="15">
        <v>15</v>
      </c>
    </row>
    <row r="3382" spans="2:6" hidden="1" x14ac:dyDescent="0.2">
      <c r="B3382" s="14">
        <v>2013</v>
      </c>
      <c r="C3382" s="13" t="s">
        <v>3231</v>
      </c>
      <c r="D3382" s="13" t="s">
        <v>3231</v>
      </c>
      <c r="E3382" s="13" t="s">
        <v>3233</v>
      </c>
      <c r="F3382" s="15">
        <v>5</v>
      </c>
    </row>
    <row r="3383" spans="2:6" hidden="1" x14ac:dyDescent="0.2">
      <c r="B3383" s="14">
        <v>2013</v>
      </c>
      <c r="C3383" s="13" t="s">
        <v>3231</v>
      </c>
      <c r="D3383" s="13" t="s">
        <v>3231</v>
      </c>
      <c r="E3383" s="13" t="s">
        <v>3234</v>
      </c>
      <c r="F3383" s="15">
        <v>2</v>
      </c>
    </row>
    <row r="3384" spans="2:6" hidden="1" x14ac:dyDescent="0.2">
      <c r="B3384" s="14">
        <v>2013</v>
      </c>
      <c r="C3384" s="13" t="s">
        <v>3231</v>
      </c>
      <c r="D3384" s="13" t="s">
        <v>3231</v>
      </c>
      <c r="E3384" s="13" t="s">
        <v>3235</v>
      </c>
      <c r="F3384" s="15">
        <v>3</v>
      </c>
    </row>
    <row r="3385" spans="2:6" hidden="1" x14ac:dyDescent="0.2">
      <c r="B3385" s="14">
        <v>2013</v>
      </c>
      <c r="C3385" s="13" t="s">
        <v>3231</v>
      </c>
      <c r="D3385" s="13" t="s">
        <v>3231</v>
      </c>
      <c r="E3385" s="13" t="s">
        <v>2211</v>
      </c>
      <c r="F3385" s="15">
        <v>5</v>
      </c>
    </row>
    <row r="3386" spans="2:6" hidden="1" x14ac:dyDescent="0.2">
      <c r="B3386" s="14">
        <v>2013</v>
      </c>
      <c r="C3386" s="13" t="s">
        <v>3231</v>
      </c>
      <c r="D3386" s="13" t="s">
        <v>3231</v>
      </c>
      <c r="E3386" s="13" t="s">
        <v>3236</v>
      </c>
      <c r="F3386" s="15">
        <v>8</v>
      </c>
    </row>
    <row r="3387" spans="2:6" hidden="1" x14ac:dyDescent="0.2">
      <c r="B3387" s="14">
        <v>2013</v>
      </c>
      <c r="C3387" s="13" t="s">
        <v>3231</v>
      </c>
      <c r="D3387" s="13" t="s">
        <v>3231</v>
      </c>
      <c r="E3387" s="13" t="s">
        <v>3237</v>
      </c>
      <c r="F3387" s="15">
        <v>32</v>
      </c>
    </row>
    <row r="3388" spans="2:6" hidden="1" x14ac:dyDescent="0.2">
      <c r="B3388" s="14">
        <v>2013</v>
      </c>
      <c r="C3388" s="13" t="s">
        <v>3231</v>
      </c>
      <c r="D3388" s="13" t="s">
        <v>3238</v>
      </c>
      <c r="E3388" s="13" t="s">
        <v>3238</v>
      </c>
      <c r="F3388" s="15">
        <v>10</v>
      </c>
    </row>
    <row r="3389" spans="2:6" hidden="1" x14ac:dyDescent="0.2">
      <c r="B3389" s="14">
        <v>2013</v>
      </c>
      <c r="C3389" s="13" t="s">
        <v>3231</v>
      </c>
      <c r="D3389" s="13" t="s">
        <v>3238</v>
      </c>
      <c r="E3389" s="13" t="s">
        <v>3239</v>
      </c>
      <c r="F3389" s="15">
        <v>0</v>
      </c>
    </row>
    <row r="3390" spans="2:6" hidden="1" x14ac:dyDescent="0.2">
      <c r="B3390" s="14">
        <v>2013</v>
      </c>
      <c r="C3390" s="13" t="s">
        <v>3231</v>
      </c>
      <c r="D3390" s="13" t="s">
        <v>3238</v>
      </c>
      <c r="E3390" s="13" t="s">
        <v>3240</v>
      </c>
      <c r="F3390" s="15">
        <v>0</v>
      </c>
    </row>
    <row r="3391" spans="2:6" hidden="1" x14ac:dyDescent="0.2">
      <c r="B3391" s="14">
        <v>2013</v>
      </c>
      <c r="C3391" s="13" t="s">
        <v>3231</v>
      </c>
      <c r="D3391" s="13" t="s">
        <v>3238</v>
      </c>
      <c r="E3391" s="13" t="s">
        <v>2946</v>
      </c>
      <c r="F3391" s="15">
        <v>0</v>
      </c>
    </row>
    <row r="3392" spans="2:6" hidden="1" x14ac:dyDescent="0.2">
      <c r="B3392" s="14">
        <v>2013</v>
      </c>
      <c r="C3392" s="13" t="s">
        <v>3231</v>
      </c>
      <c r="D3392" s="13" t="s">
        <v>3238</v>
      </c>
      <c r="E3392" s="13" t="s">
        <v>3241</v>
      </c>
      <c r="F3392" s="15">
        <v>3</v>
      </c>
    </row>
    <row r="3393" spans="2:6" hidden="1" x14ac:dyDescent="0.2">
      <c r="B3393" s="14">
        <v>2013</v>
      </c>
      <c r="C3393" s="13" t="s">
        <v>3231</v>
      </c>
      <c r="D3393" s="13" t="s">
        <v>3238</v>
      </c>
      <c r="E3393" s="13" t="s">
        <v>3242</v>
      </c>
      <c r="F3393" s="15">
        <v>2</v>
      </c>
    </row>
    <row r="3394" spans="2:6" hidden="1" x14ac:dyDescent="0.2">
      <c r="B3394" s="14">
        <v>2013</v>
      </c>
      <c r="C3394" s="13" t="s">
        <v>3231</v>
      </c>
      <c r="D3394" s="13" t="s">
        <v>3238</v>
      </c>
      <c r="E3394" s="13" t="s">
        <v>3243</v>
      </c>
      <c r="F3394" s="15">
        <v>5</v>
      </c>
    </row>
    <row r="3395" spans="2:6" hidden="1" x14ac:dyDescent="0.2">
      <c r="B3395" s="14">
        <v>2013</v>
      </c>
      <c r="C3395" s="13" t="s">
        <v>3231</v>
      </c>
      <c r="D3395" s="13" t="s">
        <v>3238</v>
      </c>
      <c r="E3395" s="13" t="s">
        <v>3244</v>
      </c>
      <c r="F3395" s="15">
        <v>2</v>
      </c>
    </row>
    <row r="3396" spans="2:6" hidden="1" x14ac:dyDescent="0.2">
      <c r="B3396" s="14">
        <v>2013</v>
      </c>
      <c r="C3396" s="13" t="s">
        <v>3231</v>
      </c>
      <c r="D3396" s="13" t="s">
        <v>3238</v>
      </c>
      <c r="E3396" s="13" t="s">
        <v>3245</v>
      </c>
      <c r="F3396" s="15">
        <v>0</v>
      </c>
    </row>
    <row r="3397" spans="2:6" hidden="1" x14ac:dyDescent="0.2">
      <c r="B3397" s="14">
        <v>2013</v>
      </c>
      <c r="C3397" s="13" t="s">
        <v>3231</v>
      </c>
      <c r="D3397" s="13" t="s">
        <v>3238</v>
      </c>
      <c r="E3397" s="13" t="s">
        <v>3246</v>
      </c>
      <c r="F3397" s="15">
        <v>6</v>
      </c>
    </row>
    <row r="3398" spans="2:6" hidden="1" x14ac:dyDescent="0.2">
      <c r="B3398" s="14">
        <v>2013</v>
      </c>
      <c r="C3398" s="13" t="s">
        <v>3231</v>
      </c>
      <c r="D3398" s="13" t="s">
        <v>3225</v>
      </c>
      <c r="E3398" s="13" t="s">
        <v>3225</v>
      </c>
      <c r="F3398" s="15">
        <v>4</v>
      </c>
    </row>
    <row r="3399" spans="2:6" hidden="1" x14ac:dyDescent="0.2">
      <c r="B3399" s="14">
        <v>2013</v>
      </c>
      <c r="C3399" s="13" t="s">
        <v>3231</v>
      </c>
      <c r="D3399" s="13" t="s">
        <v>3225</v>
      </c>
      <c r="E3399" s="13" t="s">
        <v>3247</v>
      </c>
      <c r="F3399" s="15">
        <v>2</v>
      </c>
    </row>
    <row r="3400" spans="2:6" hidden="1" x14ac:dyDescent="0.2">
      <c r="B3400" s="14">
        <v>2013</v>
      </c>
      <c r="C3400" s="13" t="s">
        <v>3231</v>
      </c>
      <c r="D3400" s="13" t="s">
        <v>3225</v>
      </c>
      <c r="E3400" s="13" t="s">
        <v>3248</v>
      </c>
      <c r="F3400" s="15">
        <v>0</v>
      </c>
    </row>
    <row r="3401" spans="2:6" hidden="1" x14ac:dyDescent="0.2">
      <c r="B3401" s="14">
        <v>2013</v>
      </c>
      <c r="C3401" s="13" t="s">
        <v>3231</v>
      </c>
      <c r="D3401" s="13" t="s">
        <v>3225</v>
      </c>
      <c r="E3401" s="13" t="s">
        <v>3249</v>
      </c>
      <c r="F3401" s="15">
        <v>0</v>
      </c>
    </row>
    <row r="3402" spans="2:6" hidden="1" x14ac:dyDescent="0.2">
      <c r="B3402" s="14">
        <v>2013</v>
      </c>
      <c r="C3402" s="13" t="s">
        <v>3231</v>
      </c>
      <c r="D3402" s="13" t="s">
        <v>3225</v>
      </c>
      <c r="E3402" s="13" t="s">
        <v>3250</v>
      </c>
      <c r="F3402" s="15">
        <v>0</v>
      </c>
    </row>
    <row r="3403" spans="2:6" hidden="1" x14ac:dyDescent="0.2">
      <c r="B3403" s="14">
        <v>2013</v>
      </c>
      <c r="C3403" s="13" t="s">
        <v>3231</v>
      </c>
      <c r="D3403" s="13" t="s">
        <v>3225</v>
      </c>
      <c r="E3403" s="13" t="s">
        <v>3251</v>
      </c>
      <c r="F3403" s="15">
        <v>0</v>
      </c>
    </row>
    <row r="3404" spans="2:6" hidden="1" x14ac:dyDescent="0.2">
      <c r="B3404" s="14">
        <v>2013</v>
      </c>
      <c r="C3404" s="13" t="s">
        <v>3231</v>
      </c>
      <c r="D3404" s="13" t="s">
        <v>3225</v>
      </c>
      <c r="E3404" s="13" t="s">
        <v>3252</v>
      </c>
      <c r="F3404" s="15">
        <v>2</v>
      </c>
    </row>
    <row r="3405" spans="2:6" hidden="1" x14ac:dyDescent="0.2">
      <c r="B3405" s="14">
        <v>2013</v>
      </c>
      <c r="C3405" s="13" t="s">
        <v>3231</v>
      </c>
      <c r="D3405" s="13" t="s">
        <v>3225</v>
      </c>
      <c r="E3405" s="13" t="s">
        <v>3253</v>
      </c>
      <c r="F3405" s="15">
        <v>0</v>
      </c>
    </row>
    <row r="3406" spans="2:6" hidden="1" x14ac:dyDescent="0.2">
      <c r="B3406" s="14">
        <v>2013</v>
      </c>
      <c r="C3406" s="13" t="s">
        <v>3231</v>
      </c>
      <c r="D3406" s="13" t="s">
        <v>3254</v>
      </c>
      <c r="E3406" s="13" t="s">
        <v>3255</v>
      </c>
      <c r="F3406" s="15">
        <v>25</v>
      </c>
    </row>
    <row r="3407" spans="2:6" hidden="1" x14ac:dyDescent="0.2">
      <c r="B3407" s="14">
        <v>2013</v>
      </c>
      <c r="C3407" s="13" t="s">
        <v>3231</v>
      </c>
      <c r="D3407" s="13" t="s">
        <v>3254</v>
      </c>
      <c r="E3407" s="13" t="s">
        <v>3256</v>
      </c>
      <c r="F3407" s="15">
        <v>0</v>
      </c>
    </row>
    <row r="3408" spans="2:6" hidden="1" x14ac:dyDescent="0.2">
      <c r="B3408" s="14">
        <v>2013</v>
      </c>
      <c r="C3408" s="13" t="s">
        <v>3231</v>
      </c>
      <c r="D3408" s="13" t="s">
        <v>3254</v>
      </c>
      <c r="E3408" s="13" t="s">
        <v>3257</v>
      </c>
      <c r="F3408" s="15">
        <v>2</v>
      </c>
    </row>
    <row r="3409" spans="2:6" hidden="1" x14ac:dyDescent="0.2">
      <c r="B3409" s="14">
        <v>2013</v>
      </c>
      <c r="C3409" s="13" t="s">
        <v>3231</v>
      </c>
      <c r="D3409" s="13" t="s">
        <v>3254</v>
      </c>
      <c r="E3409" s="13" t="s">
        <v>3258</v>
      </c>
      <c r="F3409" s="15">
        <v>1</v>
      </c>
    </row>
    <row r="3410" spans="2:6" hidden="1" x14ac:dyDescent="0.2">
      <c r="B3410" s="14">
        <v>2013</v>
      </c>
      <c r="C3410" s="13" t="s">
        <v>3231</v>
      </c>
      <c r="D3410" s="13" t="s">
        <v>3254</v>
      </c>
      <c r="E3410" s="13" t="s">
        <v>3254</v>
      </c>
      <c r="F3410" s="15">
        <v>6</v>
      </c>
    </row>
    <row r="3411" spans="2:6" hidden="1" x14ac:dyDescent="0.2">
      <c r="B3411" s="14">
        <v>2013</v>
      </c>
      <c r="C3411" s="13" t="s">
        <v>3231</v>
      </c>
      <c r="D3411" s="13" t="s">
        <v>3254</v>
      </c>
      <c r="E3411" s="13" t="s">
        <v>3259</v>
      </c>
      <c r="F3411" s="15">
        <v>0</v>
      </c>
    </row>
    <row r="3412" spans="2:6" hidden="1" x14ac:dyDescent="0.2">
      <c r="B3412" s="14">
        <v>2013</v>
      </c>
      <c r="C3412" s="13" t="s">
        <v>3231</v>
      </c>
      <c r="D3412" s="13" t="s">
        <v>3254</v>
      </c>
      <c r="E3412" s="13" t="s">
        <v>3260</v>
      </c>
      <c r="F3412" s="15">
        <v>0</v>
      </c>
    </row>
    <row r="3413" spans="2:6" hidden="1" x14ac:dyDescent="0.2">
      <c r="B3413" s="14">
        <v>2013</v>
      </c>
      <c r="C3413" s="13" t="s">
        <v>3231</v>
      </c>
      <c r="D3413" s="13" t="s">
        <v>3254</v>
      </c>
      <c r="E3413" s="13" t="s">
        <v>3261</v>
      </c>
      <c r="F3413" s="15">
        <v>2</v>
      </c>
    </row>
    <row r="3414" spans="2:6" hidden="1" x14ac:dyDescent="0.2">
      <c r="B3414" s="14">
        <v>2013</v>
      </c>
      <c r="C3414" s="13" t="s">
        <v>3231</v>
      </c>
      <c r="D3414" s="13" t="s">
        <v>3254</v>
      </c>
      <c r="E3414" s="13" t="s">
        <v>3262</v>
      </c>
      <c r="F3414" s="15">
        <v>4</v>
      </c>
    </row>
    <row r="3415" spans="2:6" hidden="1" x14ac:dyDescent="0.2">
      <c r="B3415" s="14">
        <v>2013</v>
      </c>
      <c r="C3415" s="13" t="s">
        <v>3231</v>
      </c>
      <c r="D3415" s="13" t="s">
        <v>3254</v>
      </c>
      <c r="E3415" s="13" t="s">
        <v>3263</v>
      </c>
      <c r="F3415" s="15">
        <v>0</v>
      </c>
    </row>
    <row r="3416" spans="2:6" hidden="1" x14ac:dyDescent="0.2">
      <c r="B3416" s="14">
        <v>2013</v>
      </c>
      <c r="C3416" s="13" t="s">
        <v>3231</v>
      </c>
      <c r="D3416" s="13" t="s">
        <v>3264</v>
      </c>
      <c r="E3416" s="13" t="s">
        <v>3264</v>
      </c>
      <c r="F3416" s="15">
        <v>10</v>
      </c>
    </row>
    <row r="3417" spans="2:6" hidden="1" x14ac:dyDescent="0.2">
      <c r="B3417" s="14">
        <v>2013</v>
      </c>
      <c r="C3417" s="13" t="s">
        <v>3231</v>
      </c>
      <c r="D3417" s="13" t="s">
        <v>3264</v>
      </c>
      <c r="E3417" s="13" t="s">
        <v>3265</v>
      </c>
      <c r="F3417" s="15">
        <v>1</v>
      </c>
    </row>
    <row r="3418" spans="2:6" hidden="1" x14ac:dyDescent="0.2">
      <c r="B3418" s="14">
        <v>2013</v>
      </c>
      <c r="C3418" s="13" t="s">
        <v>3231</v>
      </c>
      <c r="D3418" s="13" t="s">
        <v>3264</v>
      </c>
      <c r="E3418" s="13" t="s">
        <v>3266</v>
      </c>
      <c r="F3418" s="15">
        <v>0</v>
      </c>
    </row>
    <row r="3419" spans="2:6" hidden="1" x14ac:dyDescent="0.2">
      <c r="B3419" s="14">
        <v>2013</v>
      </c>
      <c r="C3419" s="13" t="s">
        <v>3231</v>
      </c>
      <c r="D3419" s="13" t="s">
        <v>3264</v>
      </c>
      <c r="E3419" s="13" t="s">
        <v>3267</v>
      </c>
      <c r="F3419" s="15">
        <v>1</v>
      </c>
    </row>
    <row r="3420" spans="2:6" hidden="1" x14ac:dyDescent="0.2">
      <c r="B3420" s="14">
        <v>2013</v>
      </c>
      <c r="C3420" s="13" t="s">
        <v>3231</v>
      </c>
      <c r="D3420" s="13" t="s">
        <v>3264</v>
      </c>
      <c r="E3420" s="13" t="s">
        <v>3268</v>
      </c>
      <c r="F3420" s="15">
        <v>0</v>
      </c>
    </row>
    <row r="3421" spans="2:6" hidden="1" x14ac:dyDescent="0.2">
      <c r="B3421" s="14">
        <v>2013</v>
      </c>
      <c r="C3421" s="13" t="s">
        <v>3231</v>
      </c>
      <c r="D3421" s="13" t="s">
        <v>3264</v>
      </c>
      <c r="E3421" s="13" t="s">
        <v>3269</v>
      </c>
      <c r="F3421" s="15">
        <v>2</v>
      </c>
    </row>
    <row r="3422" spans="2:6" hidden="1" x14ac:dyDescent="0.2">
      <c r="B3422" s="14">
        <v>2013</v>
      </c>
      <c r="C3422" s="13" t="s">
        <v>3231</v>
      </c>
      <c r="D3422" s="13" t="s">
        <v>3264</v>
      </c>
      <c r="E3422" s="13" t="s">
        <v>3270</v>
      </c>
      <c r="F3422" s="15">
        <v>10</v>
      </c>
    </row>
    <row r="3423" spans="2:6" hidden="1" x14ac:dyDescent="0.2">
      <c r="B3423" s="14">
        <v>2013</v>
      </c>
      <c r="C3423" s="13" t="s">
        <v>3231</v>
      </c>
      <c r="D3423" s="13" t="s">
        <v>3271</v>
      </c>
      <c r="E3423" s="13" t="s">
        <v>3271</v>
      </c>
      <c r="F3423" s="15">
        <v>114</v>
      </c>
    </row>
    <row r="3424" spans="2:6" hidden="1" x14ac:dyDescent="0.2">
      <c r="B3424" s="14">
        <v>2013</v>
      </c>
      <c r="C3424" s="13" t="s">
        <v>3231</v>
      </c>
      <c r="D3424" s="13" t="s">
        <v>3271</v>
      </c>
      <c r="E3424" s="13" t="s">
        <v>2399</v>
      </c>
      <c r="F3424" s="15">
        <v>3</v>
      </c>
    </row>
    <row r="3425" spans="2:6" hidden="1" x14ac:dyDescent="0.2">
      <c r="B3425" s="14">
        <v>2013</v>
      </c>
      <c r="C3425" s="13" t="s">
        <v>3231</v>
      </c>
      <c r="D3425" s="13" t="s">
        <v>3271</v>
      </c>
      <c r="E3425" s="13" t="s">
        <v>3272</v>
      </c>
      <c r="F3425" s="15">
        <v>4</v>
      </c>
    </row>
    <row r="3426" spans="2:6" hidden="1" x14ac:dyDescent="0.2">
      <c r="B3426" s="14">
        <v>2013</v>
      </c>
      <c r="C3426" s="13" t="s">
        <v>3231</v>
      </c>
      <c r="D3426" s="13" t="s">
        <v>3271</v>
      </c>
      <c r="E3426" s="13" t="s">
        <v>3273</v>
      </c>
      <c r="F3426" s="15">
        <v>0</v>
      </c>
    </row>
    <row r="3427" spans="2:6" hidden="1" x14ac:dyDescent="0.2">
      <c r="B3427" s="14">
        <v>2013</v>
      </c>
      <c r="C3427" s="13" t="s">
        <v>3231</v>
      </c>
      <c r="D3427" s="13" t="s">
        <v>3271</v>
      </c>
      <c r="E3427" s="13" t="s">
        <v>3274</v>
      </c>
      <c r="F3427" s="15">
        <v>10</v>
      </c>
    </row>
    <row r="3428" spans="2:6" hidden="1" x14ac:dyDescent="0.2">
      <c r="B3428" s="14">
        <v>2013</v>
      </c>
      <c r="C3428" s="13" t="s">
        <v>3231</v>
      </c>
      <c r="D3428" s="13" t="s">
        <v>3271</v>
      </c>
      <c r="E3428" s="13" t="s">
        <v>3275</v>
      </c>
      <c r="F3428" s="15">
        <v>3</v>
      </c>
    </row>
    <row r="3429" spans="2:6" hidden="1" x14ac:dyDescent="0.2">
      <c r="B3429" s="14">
        <v>2013</v>
      </c>
      <c r="C3429" s="13" t="s">
        <v>3231</v>
      </c>
      <c r="D3429" s="13" t="s">
        <v>3271</v>
      </c>
      <c r="E3429" s="13" t="s">
        <v>3276</v>
      </c>
      <c r="F3429" s="15">
        <v>10</v>
      </c>
    </row>
    <row r="3430" spans="2:6" hidden="1" x14ac:dyDescent="0.2">
      <c r="B3430" s="14">
        <v>2013</v>
      </c>
      <c r="C3430" s="13" t="s">
        <v>3231</v>
      </c>
      <c r="D3430" s="13" t="s">
        <v>3271</v>
      </c>
      <c r="E3430" s="13" t="s">
        <v>3259</v>
      </c>
      <c r="F3430" s="15">
        <v>2</v>
      </c>
    </row>
    <row r="3431" spans="2:6" hidden="1" x14ac:dyDescent="0.2">
      <c r="B3431" s="14">
        <v>2013</v>
      </c>
      <c r="C3431" s="13" t="s">
        <v>3231</v>
      </c>
      <c r="D3431" s="13" t="s">
        <v>3277</v>
      </c>
      <c r="E3431" s="13" t="s">
        <v>3278</v>
      </c>
      <c r="F3431" s="15">
        <v>36</v>
      </c>
    </row>
    <row r="3432" spans="2:6" hidden="1" x14ac:dyDescent="0.2">
      <c r="B3432" s="14">
        <v>2013</v>
      </c>
      <c r="C3432" s="13" t="s">
        <v>3231</v>
      </c>
      <c r="D3432" s="13" t="s">
        <v>3277</v>
      </c>
      <c r="E3432" s="13" t="s">
        <v>3279</v>
      </c>
      <c r="F3432" s="15">
        <v>15</v>
      </c>
    </row>
    <row r="3433" spans="2:6" hidden="1" x14ac:dyDescent="0.2">
      <c r="B3433" s="14">
        <v>2013</v>
      </c>
      <c r="C3433" s="13" t="s">
        <v>3231</v>
      </c>
      <c r="D3433" s="13" t="s">
        <v>3277</v>
      </c>
      <c r="E3433" s="13" t="s">
        <v>3280</v>
      </c>
      <c r="F3433" s="15">
        <v>1</v>
      </c>
    </row>
    <row r="3434" spans="2:6" hidden="1" x14ac:dyDescent="0.2">
      <c r="B3434" s="14">
        <v>2013</v>
      </c>
      <c r="C3434" s="13" t="s">
        <v>3231</v>
      </c>
      <c r="D3434" s="13" t="s">
        <v>3277</v>
      </c>
      <c r="E3434" s="13" t="s">
        <v>3281</v>
      </c>
      <c r="F3434" s="15">
        <v>0</v>
      </c>
    </row>
    <row r="3435" spans="2:6" hidden="1" x14ac:dyDescent="0.2">
      <c r="B3435" s="14">
        <v>2013</v>
      </c>
      <c r="C3435" s="13" t="s">
        <v>3231</v>
      </c>
      <c r="D3435" s="13" t="s">
        <v>3277</v>
      </c>
      <c r="E3435" s="13" t="s">
        <v>3282</v>
      </c>
      <c r="F3435" s="15">
        <v>3</v>
      </c>
    </row>
    <row r="3436" spans="2:6" hidden="1" x14ac:dyDescent="0.2">
      <c r="B3436" s="14">
        <v>2013</v>
      </c>
      <c r="C3436" s="13" t="s">
        <v>3231</v>
      </c>
      <c r="D3436" s="13" t="s">
        <v>3277</v>
      </c>
      <c r="E3436" s="13" t="s">
        <v>3283</v>
      </c>
      <c r="F3436" s="15">
        <v>11</v>
      </c>
    </row>
    <row r="3437" spans="2:6" hidden="1" x14ac:dyDescent="0.2">
      <c r="B3437" s="14">
        <v>2013</v>
      </c>
      <c r="C3437" s="13" t="s">
        <v>3231</v>
      </c>
      <c r="D3437" s="13" t="s">
        <v>3284</v>
      </c>
      <c r="E3437" s="13" t="s">
        <v>3284</v>
      </c>
      <c r="F3437" s="15">
        <v>14</v>
      </c>
    </row>
    <row r="3438" spans="2:6" hidden="1" x14ac:dyDescent="0.2">
      <c r="B3438" s="14">
        <v>2013</v>
      </c>
      <c r="C3438" s="13" t="s">
        <v>3231</v>
      </c>
      <c r="D3438" s="13" t="s">
        <v>3284</v>
      </c>
      <c r="E3438" s="13" t="s">
        <v>3285</v>
      </c>
      <c r="F3438" s="15">
        <v>4</v>
      </c>
    </row>
    <row r="3439" spans="2:6" hidden="1" x14ac:dyDescent="0.2">
      <c r="B3439" s="14">
        <v>2013</v>
      </c>
      <c r="C3439" s="13" t="s">
        <v>3231</v>
      </c>
      <c r="D3439" s="13" t="s">
        <v>3284</v>
      </c>
      <c r="E3439" s="13" t="s">
        <v>3286</v>
      </c>
      <c r="F3439" s="15">
        <v>1</v>
      </c>
    </row>
    <row r="3440" spans="2:6" hidden="1" x14ac:dyDescent="0.2">
      <c r="B3440" s="14">
        <v>2013</v>
      </c>
      <c r="C3440" s="13" t="s">
        <v>3231</v>
      </c>
      <c r="D3440" s="13" t="s">
        <v>3284</v>
      </c>
      <c r="E3440" s="13" t="s">
        <v>3287</v>
      </c>
      <c r="F3440" s="15">
        <v>2</v>
      </c>
    </row>
    <row r="3441" spans="2:6" hidden="1" x14ac:dyDescent="0.2">
      <c r="B3441" s="14">
        <v>2013</v>
      </c>
      <c r="C3441" s="13" t="s">
        <v>3231</v>
      </c>
      <c r="D3441" s="13" t="s">
        <v>3284</v>
      </c>
      <c r="E3441" s="13" t="s">
        <v>3288</v>
      </c>
      <c r="F3441" s="15">
        <v>2</v>
      </c>
    </row>
    <row r="3442" spans="2:6" hidden="1" x14ac:dyDescent="0.2">
      <c r="B3442" s="14">
        <v>2013</v>
      </c>
      <c r="C3442" s="13" t="s">
        <v>3231</v>
      </c>
      <c r="D3442" s="13" t="s">
        <v>3284</v>
      </c>
      <c r="E3442" s="13" t="s">
        <v>3289</v>
      </c>
      <c r="F3442" s="15">
        <v>0</v>
      </c>
    </row>
    <row r="3443" spans="2:6" hidden="1" x14ac:dyDescent="0.2">
      <c r="B3443" s="14">
        <v>2013</v>
      </c>
      <c r="C3443" s="13" t="s">
        <v>3290</v>
      </c>
      <c r="D3443" s="13" t="s">
        <v>3290</v>
      </c>
      <c r="E3443" s="13" t="s">
        <v>3290</v>
      </c>
      <c r="F3443" s="15">
        <v>112</v>
      </c>
    </row>
    <row r="3444" spans="2:6" hidden="1" x14ac:dyDescent="0.2">
      <c r="B3444" s="14">
        <v>2013</v>
      </c>
      <c r="C3444" s="13" t="s">
        <v>3290</v>
      </c>
      <c r="D3444" s="13" t="s">
        <v>3290</v>
      </c>
      <c r="E3444" s="13" t="s">
        <v>3291</v>
      </c>
      <c r="F3444" s="15">
        <v>4</v>
      </c>
    </row>
    <row r="3445" spans="2:6" hidden="1" x14ac:dyDescent="0.2">
      <c r="B3445" s="14">
        <v>2013</v>
      </c>
      <c r="C3445" s="13" t="s">
        <v>3290</v>
      </c>
      <c r="D3445" s="13" t="s">
        <v>3290</v>
      </c>
      <c r="E3445" s="13" t="s">
        <v>3292</v>
      </c>
      <c r="F3445" s="15">
        <v>0</v>
      </c>
    </row>
    <row r="3446" spans="2:6" hidden="1" x14ac:dyDescent="0.2">
      <c r="B3446" s="14">
        <v>2013</v>
      </c>
      <c r="C3446" s="13" t="s">
        <v>3290</v>
      </c>
      <c r="D3446" s="13" t="s">
        <v>3290</v>
      </c>
      <c r="E3446" s="13" t="s">
        <v>3293</v>
      </c>
      <c r="F3446" s="15">
        <v>0</v>
      </c>
    </row>
    <row r="3447" spans="2:6" hidden="1" x14ac:dyDescent="0.2">
      <c r="B3447" s="14">
        <v>2013</v>
      </c>
      <c r="C3447" s="13" t="s">
        <v>3290</v>
      </c>
      <c r="D3447" s="13" t="s">
        <v>3290</v>
      </c>
      <c r="E3447" s="13" t="s">
        <v>3294</v>
      </c>
      <c r="F3447" s="15">
        <v>0</v>
      </c>
    </row>
    <row r="3448" spans="2:6" hidden="1" x14ac:dyDescent="0.2">
      <c r="B3448" s="14">
        <v>2013</v>
      </c>
      <c r="C3448" s="13" t="s">
        <v>3290</v>
      </c>
      <c r="D3448" s="13" t="s">
        <v>3290</v>
      </c>
      <c r="E3448" s="13" t="s">
        <v>3295</v>
      </c>
      <c r="F3448" s="15">
        <v>9</v>
      </c>
    </row>
    <row r="3449" spans="2:6" hidden="1" x14ac:dyDescent="0.2">
      <c r="B3449" s="14">
        <v>2013</v>
      </c>
      <c r="C3449" s="13" t="s">
        <v>3290</v>
      </c>
      <c r="D3449" s="13" t="s">
        <v>3290</v>
      </c>
      <c r="E3449" s="13" t="s">
        <v>3296</v>
      </c>
      <c r="F3449" s="15">
        <v>0</v>
      </c>
    </row>
    <row r="3450" spans="2:6" hidden="1" x14ac:dyDescent="0.2">
      <c r="B3450" s="14">
        <v>2013</v>
      </c>
      <c r="C3450" s="13" t="s">
        <v>3290</v>
      </c>
      <c r="D3450" s="13" t="s">
        <v>3290</v>
      </c>
      <c r="E3450" s="13" t="s">
        <v>1958</v>
      </c>
      <c r="F3450" s="15">
        <v>0</v>
      </c>
    </row>
    <row r="3451" spans="2:6" hidden="1" x14ac:dyDescent="0.2">
      <c r="B3451" s="14">
        <v>2013</v>
      </c>
      <c r="C3451" s="13" t="s">
        <v>3290</v>
      </c>
      <c r="D3451" s="13" t="s">
        <v>3290</v>
      </c>
      <c r="E3451" s="13" t="s">
        <v>3297</v>
      </c>
      <c r="F3451" s="15">
        <v>2</v>
      </c>
    </row>
    <row r="3452" spans="2:6" hidden="1" x14ac:dyDescent="0.2">
      <c r="B3452" s="14">
        <v>2013</v>
      </c>
      <c r="C3452" s="13" t="s">
        <v>3290</v>
      </c>
      <c r="D3452" s="13" t="s">
        <v>3290</v>
      </c>
      <c r="E3452" s="13" t="s">
        <v>3298</v>
      </c>
      <c r="F3452" s="15">
        <v>1</v>
      </c>
    </row>
    <row r="3453" spans="2:6" hidden="1" x14ac:dyDescent="0.2">
      <c r="B3453" s="14">
        <v>2013</v>
      </c>
      <c r="C3453" s="13" t="s">
        <v>3290</v>
      </c>
      <c r="D3453" s="13" t="s">
        <v>3290</v>
      </c>
      <c r="E3453" s="13" t="s">
        <v>3299</v>
      </c>
      <c r="F3453" s="15">
        <v>3</v>
      </c>
    </row>
    <row r="3454" spans="2:6" hidden="1" x14ac:dyDescent="0.2">
      <c r="B3454" s="14">
        <v>2013</v>
      </c>
      <c r="C3454" s="13" t="s">
        <v>3290</v>
      </c>
      <c r="D3454" s="13" t="s">
        <v>3290</v>
      </c>
      <c r="E3454" s="13" t="s">
        <v>3300</v>
      </c>
      <c r="F3454" s="15">
        <v>0</v>
      </c>
    </row>
    <row r="3455" spans="2:6" hidden="1" x14ac:dyDescent="0.2">
      <c r="B3455" s="14">
        <v>2013</v>
      </c>
      <c r="C3455" s="13" t="s">
        <v>3290</v>
      </c>
      <c r="D3455" s="13" t="s">
        <v>3290</v>
      </c>
      <c r="E3455" s="13" t="s">
        <v>2108</v>
      </c>
      <c r="F3455" s="15">
        <v>0</v>
      </c>
    </row>
    <row r="3456" spans="2:6" hidden="1" x14ac:dyDescent="0.2">
      <c r="B3456" s="14">
        <v>2013</v>
      </c>
      <c r="C3456" s="13" t="s">
        <v>3290</v>
      </c>
      <c r="D3456" s="13" t="s">
        <v>3290</v>
      </c>
      <c r="E3456" s="13" t="s">
        <v>3301</v>
      </c>
      <c r="F3456" s="15">
        <v>0</v>
      </c>
    </row>
    <row r="3457" spans="2:6" hidden="1" x14ac:dyDescent="0.2">
      <c r="B3457" s="14">
        <v>2013</v>
      </c>
      <c r="C3457" s="13" t="s">
        <v>3290</v>
      </c>
      <c r="D3457" s="13" t="s">
        <v>3290</v>
      </c>
      <c r="E3457" s="13" t="s">
        <v>3302</v>
      </c>
      <c r="F3457" s="15">
        <v>0</v>
      </c>
    </row>
    <row r="3458" spans="2:6" hidden="1" x14ac:dyDescent="0.2">
      <c r="B3458" s="14">
        <v>2013</v>
      </c>
      <c r="C3458" s="13" t="s">
        <v>3290</v>
      </c>
      <c r="D3458" s="13" t="s">
        <v>3098</v>
      </c>
      <c r="E3458" s="13" t="s">
        <v>3098</v>
      </c>
      <c r="F3458" s="15">
        <v>9</v>
      </c>
    </row>
    <row r="3459" spans="2:6" hidden="1" x14ac:dyDescent="0.2">
      <c r="B3459" s="14">
        <v>2013</v>
      </c>
      <c r="C3459" s="13" t="s">
        <v>3290</v>
      </c>
      <c r="D3459" s="13" t="s">
        <v>3098</v>
      </c>
      <c r="E3459" s="13" t="s">
        <v>3303</v>
      </c>
      <c r="F3459" s="15">
        <v>0</v>
      </c>
    </row>
    <row r="3460" spans="2:6" hidden="1" x14ac:dyDescent="0.2">
      <c r="B3460" s="14">
        <v>2013</v>
      </c>
      <c r="C3460" s="13" t="s">
        <v>3290</v>
      </c>
      <c r="D3460" s="13" t="s">
        <v>3098</v>
      </c>
      <c r="E3460" s="13" t="s">
        <v>3304</v>
      </c>
      <c r="F3460" s="15">
        <v>0</v>
      </c>
    </row>
    <row r="3461" spans="2:6" hidden="1" x14ac:dyDescent="0.2">
      <c r="B3461" s="14">
        <v>2013</v>
      </c>
      <c r="C3461" s="13" t="s">
        <v>3290</v>
      </c>
      <c r="D3461" s="13" t="s">
        <v>3098</v>
      </c>
      <c r="E3461" s="13" t="s">
        <v>3305</v>
      </c>
      <c r="F3461" s="15">
        <v>0</v>
      </c>
    </row>
    <row r="3462" spans="2:6" hidden="1" x14ac:dyDescent="0.2">
      <c r="B3462" s="14">
        <v>2013</v>
      </c>
      <c r="C3462" s="13" t="s">
        <v>3290</v>
      </c>
      <c r="D3462" s="13" t="s">
        <v>3098</v>
      </c>
      <c r="E3462" s="13" t="s">
        <v>3306</v>
      </c>
      <c r="F3462" s="15">
        <v>0</v>
      </c>
    </row>
    <row r="3463" spans="2:6" hidden="1" x14ac:dyDescent="0.2">
      <c r="B3463" s="14">
        <v>2013</v>
      </c>
      <c r="C3463" s="13" t="s">
        <v>3290</v>
      </c>
      <c r="D3463" s="13" t="s">
        <v>3098</v>
      </c>
      <c r="E3463" s="13" t="s">
        <v>3307</v>
      </c>
      <c r="F3463" s="15">
        <v>0</v>
      </c>
    </row>
    <row r="3464" spans="2:6" hidden="1" x14ac:dyDescent="0.2">
      <c r="B3464" s="14">
        <v>2013</v>
      </c>
      <c r="C3464" s="13" t="s">
        <v>3290</v>
      </c>
      <c r="D3464" s="13" t="s">
        <v>3098</v>
      </c>
      <c r="E3464" s="13" t="s">
        <v>3308</v>
      </c>
      <c r="F3464" s="15">
        <v>0</v>
      </c>
    </row>
    <row r="3465" spans="2:6" hidden="1" x14ac:dyDescent="0.2">
      <c r="B3465" s="14">
        <v>2013</v>
      </c>
      <c r="C3465" s="13" t="s">
        <v>3290</v>
      </c>
      <c r="D3465" s="13" t="s">
        <v>3098</v>
      </c>
      <c r="E3465" s="13" t="s">
        <v>3309</v>
      </c>
      <c r="F3465" s="15">
        <v>0</v>
      </c>
    </row>
    <row r="3466" spans="2:6" hidden="1" x14ac:dyDescent="0.2">
      <c r="B3466" s="14">
        <v>2013</v>
      </c>
      <c r="C3466" s="13" t="s">
        <v>3290</v>
      </c>
      <c r="D3466" s="13" t="s">
        <v>3098</v>
      </c>
      <c r="E3466" s="13" t="s">
        <v>3310</v>
      </c>
      <c r="F3466" s="15">
        <v>0</v>
      </c>
    </row>
    <row r="3467" spans="2:6" hidden="1" x14ac:dyDescent="0.2">
      <c r="B3467" s="14">
        <v>2013</v>
      </c>
      <c r="C3467" s="13" t="s">
        <v>3290</v>
      </c>
      <c r="D3467" s="13" t="s">
        <v>3098</v>
      </c>
      <c r="E3467" s="13" t="s">
        <v>3311</v>
      </c>
      <c r="F3467" s="15">
        <v>0</v>
      </c>
    </row>
    <row r="3468" spans="2:6" hidden="1" x14ac:dyDescent="0.2">
      <c r="B3468" s="14">
        <v>2013</v>
      </c>
      <c r="C3468" s="13" t="s">
        <v>3290</v>
      </c>
      <c r="D3468" s="13" t="s">
        <v>3098</v>
      </c>
      <c r="E3468" s="13" t="s">
        <v>3312</v>
      </c>
      <c r="F3468" s="15">
        <v>2</v>
      </c>
    </row>
    <row r="3469" spans="2:6" hidden="1" x14ac:dyDescent="0.2">
      <c r="B3469" s="14">
        <v>2013</v>
      </c>
      <c r="C3469" s="13" t="s">
        <v>3290</v>
      </c>
      <c r="D3469" s="13" t="s">
        <v>3098</v>
      </c>
      <c r="E3469" s="13" t="s">
        <v>2902</v>
      </c>
      <c r="F3469" s="15">
        <v>0</v>
      </c>
    </row>
    <row r="3470" spans="2:6" hidden="1" x14ac:dyDescent="0.2">
      <c r="B3470" s="14">
        <v>2013</v>
      </c>
      <c r="C3470" s="13" t="s">
        <v>3290</v>
      </c>
      <c r="D3470" s="13" t="s">
        <v>3098</v>
      </c>
      <c r="E3470" s="13" t="s">
        <v>3313</v>
      </c>
      <c r="F3470" s="15">
        <v>0</v>
      </c>
    </row>
    <row r="3471" spans="2:6" hidden="1" x14ac:dyDescent="0.2">
      <c r="B3471" s="14">
        <v>2013</v>
      </c>
      <c r="C3471" s="13" t="s">
        <v>3290</v>
      </c>
      <c r="D3471" s="13" t="s">
        <v>3098</v>
      </c>
      <c r="E3471" s="13" t="s">
        <v>3314</v>
      </c>
      <c r="F3471" s="15">
        <v>0</v>
      </c>
    </row>
    <row r="3472" spans="2:6" hidden="1" x14ac:dyDescent="0.2">
      <c r="B3472" s="14">
        <v>2013</v>
      </c>
      <c r="C3472" s="13" t="s">
        <v>3290</v>
      </c>
      <c r="D3472" s="13" t="s">
        <v>3098</v>
      </c>
      <c r="E3472" s="13" t="s">
        <v>3315</v>
      </c>
      <c r="F3472" s="15">
        <v>0</v>
      </c>
    </row>
    <row r="3473" spans="2:6" hidden="1" x14ac:dyDescent="0.2">
      <c r="B3473" s="14">
        <v>2013</v>
      </c>
      <c r="C3473" s="13" t="s">
        <v>3290</v>
      </c>
      <c r="D3473" s="13" t="s">
        <v>3316</v>
      </c>
      <c r="E3473" s="13" t="s">
        <v>3317</v>
      </c>
      <c r="F3473" s="15">
        <v>10</v>
      </c>
    </row>
    <row r="3474" spans="2:6" hidden="1" x14ac:dyDescent="0.2">
      <c r="B3474" s="14">
        <v>2013</v>
      </c>
      <c r="C3474" s="13" t="s">
        <v>3290</v>
      </c>
      <c r="D3474" s="13" t="s">
        <v>3316</v>
      </c>
      <c r="E3474" s="13" t="s">
        <v>3318</v>
      </c>
      <c r="F3474" s="15">
        <v>2</v>
      </c>
    </row>
    <row r="3475" spans="2:6" hidden="1" x14ac:dyDescent="0.2">
      <c r="B3475" s="14">
        <v>2013</v>
      </c>
      <c r="C3475" s="13" t="s">
        <v>3290</v>
      </c>
      <c r="D3475" s="13" t="s">
        <v>3316</v>
      </c>
      <c r="E3475" s="13" t="s">
        <v>3319</v>
      </c>
      <c r="F3475" s="15">
        <v>0</v>
      </c>
    </row>
    <row r="3476" spans="2:6" hidden="1" x14ac:dyDescent="0.2">
      <c r="B3476" s="14">
        <v>2013</v>
      </c>
      <c r="C3476" s="13" t="s">
        <v>3290</v>
      </c>
      <c r="D3476" s="13" t="s">
        <v>3316</v>
      </c>
      <c r="E3476" s="13" t="s">
        <v>3320</v>
      </c>
      <c r="F3476" s="15">
        <v>3</v>
      </c>
    </row>
    <row r="3477" spans="2:6" hidden="1" x14ac:dyDescent="0.2">
      <c r="B3477" s="14">
        <v>2013</v>
      </c>
      <c r="C3477" s="13" t="s">
        <v>3290</v>
      </c>
      <c r="D3477" s="13" t="s">
        <v>3316</v>
      </c>
      <c r="E3477" s="13" t="s">
        <v>3321</v>
      </c>
      <c r="F3477" s="15">
        <v>2</v>
      </c>
    </row>
    <row r="3478" spans="2:6" hidden="1" x14ac:dyDescent="0.2">
      <c r="B3478" s="14">
        <v>2013</v>
      </c>
      <c r="C3478" s="13" t="s">
        <v>3290</v>
      </c>
      <c r="D3478" s="13" t="s">
        <v>3316</v>
      </c>
      <c r="E3478" s="13" t="s">
        <v>3322</v>
      </c>
      <c r="F3478" s="15">
        <v>0</v>
      </c>
    </row>
    <row r="3479" spans="2:6" hidden="1" x14ac:dyDescent="0.2">
      <c r="B3479" s="14">
        <v>2013</v>
      </c>
      <c r="C3479" s="13" t="s">
        <v>3290</v>
      </c>
      <c r="D3479" s="13" t="s">
        <v>3316</v>
      </c>
      <c r="E3479" s="13" t="s">
        <v>3323</v>
      </c>
      <c r="F3479" s="15">
        <v>1</v>
      </c>
    </row>
    <row r="3480" spans="2:6" hidden="1" x14ac:dyDescent="0.2">
      <c r="B3480" s="14">
        <v>2013</v>
      </c>
      <c r="C3480" s="13" t="s">
        <v>3290</v>
      </c>
      <c r="D3480" s="13" t="s">
        <v>3316</v>
      </c>
      <c r="E3480" s="13" t="s">
        <v>3324</v>
      </c>
      <c r="F3480" s="15">
        <v>4</v>
      </c>
    </row>
    <row r="3481" spans="2:6" hidden="1" x14ac:dyDescent="0.2">
      <c r="B3481" s="14">
        <v>2013</v>
      </c>
      <c r="C3481" s="13" t="s">
        <v>3290</v>
      </c>
      <c r="D3481" s="13" t="s">
        <v>3316</v>
      </c>
      <c r="E3481" s="13" t="s">
        <v>3325</v>
      </c>
      <c r="F3481" s="15">
        <v>5</v>
      </c>
    </row>
    <row r="3482" spans="2:6" hidden="1" x14ac:dyDescent="0.2">
      <c r="B3482" s="14">
        <v>2013</v>
      </c>
      <c r="C3482" s="13" t="s">
        <v>3290</v>
      </c>
      <c r="D3482" s="13" t="s">
        <v>3316</v>
      </c>
      <c r="E3482" s="13" t="s">
        <v>3326</v>
      </c>
      <c r="F3482" s="15">
        <v>1</v>
      </c>
    </row>
    <row r="3483" spans="2:6" hidden="1" x14ac:dyDescent="0.2">
      <c r="B3483" s="14">
        <v>2013</v>
      </c>
      <c r="C3483" s="13" t="s">
        <v>3290</v>
      </c>
      <c r="D3483" s="13" t="s">
        <v>3295</v>
      </c>
      <c r="E3483" s="13" t="s">
        <v>3327</v>
      </c>
      <c r="F3483" s="15">
        <v>2</v>
      </c>
    </row>
    <row r="3484" spans="2:6" hidden="1" x14ac:dyDescent="0.2">
      <c r="B3484" s="14">
        <v>2013</v>
      </c>
      <c r="C3484" s="13" t="s">
        <v>3290</v>
      </c>
      <c r="D3484" s="13" t="s">
        <v>3295</v>
      </c>
      <c r="E3484" s="13" t="s">
        <v>3328</v>
      </c>
      <c r="F3484" s="15">
        <v>2</v>
      </c>
    </row>
    <row r="3485" spans="2:6" hidden="1" x14ac:dyDescent="0.2">
      <c r="B3485" s="14">
        <v>2013</v>
      </c>
      <c r="C3485" s="13" t="s">
        <v>3290</v>
      </c>
      <c r="D3485" s="13" t="s">
        <v>3295</v>
      </c>
      <c r="E3485" s="13" t="s">
        <v>3329</v>
      </c>
      <c r="F3485" s="15">
        <v>5</v>
      </c>
    </row>
    <row r="3486" spans="2:6" hidden="1" x14ac:dyDescent="0.2">
      <c r="B3486" s="14">
        <v>2013</v>
      </c>
      <c r="C3486" s="13" t="s">
        <v>3290</v>
      </c>
      <c r="D3486" s="13" t="s">
        <v>3295</v>
      </c>
      <c r="E3486" s="13" t="s">
        <v>3330</v>
      </c>
      <c r="F3486" s="15">
        <v>0</v>
      </c>
    </row>
    <row r="3487" spans="2:6" hidden="1" x14ac:dyDescent="0.2">
      <c r="B3487" s="14">
        <v>2013</v>
      </c>
      <c r="C3487" s="13" t="s">
        <v>3290</v>
      </c>
      <c r="D3487" s="13" t="s">
        <v>3295</v>
      </c>
      <c r="E3487" s="13" t="s">
        <v>3331</v>
      </c>
      <c r="F3487" s="15">
        <v>0</v>
      </c>
    </row>
    <row r="3488" spans="2:6" hidden="1" x14ac:dyDescent="0.2">
      <c r="B3488" s="14">
        <v>2013</v>
      </c>
      <c r="C3488" s="13" t="s">
        <v>3290</v>
      </c>
      <c r="D3488" s="13" t="s">
        <v>3295</v>
      </c>
      <c r="E3488" s="13" t="s">
        <v>3332</v>
      </c>
      <c r="F3488" s="15">
        <v>2</v>
      </c>
    </row>
    <row r="3489" spans="2:6" hidden="1" x14ac:dyDescent="0.2">
      <c r="B3489" s="14">
        <v>2013</v>
      </c>
      <c r="C3489" s="13" t="s">
        <v>3290</v>
      </c>
      <c r="D3489" s="13" t="s">
        <v>3295</v>
      </c>
      <c r="E3489" s="13" t="s">
        <v>3333</v>
      </c>
      <c r="F3489" s="15">
        <v>0</v>
      </c>
    </row>
    <row r="3490" spans="2:6" hidden="1" x14ac:dyDescent="0.2">
      <c r="B3490" s="14">
        <v>2013</v>
      </c>
      <c r="C3490" s="13" t="s">
        <v>3290</v>
      </c>
      <c r="D3490" s="13" t="s">
        <v>3334</v>
      </c>
      <c r="E3490" s="13" t="s">
        <v>3335</v>
      </c>
      <c r="F3490" s="15">
        <v>43</v>
      </c>
    </row>
    <row r="3491" spans="2:6" hidden="1" x14ac:dyDescent="0.2">
      <c r="B3491" s="14">
        <v>2013</v>
      </c>
      <c r="C3491" s="13" t="s">
        <v>3290</v>
      </c>
      <c r="D3491" s="13" t="s">
        <v>3334</v>
      </c>
      <c r="E3491" s="13" t="s">
        <v>3336</v>
      </c>
      <c r="F3491" s="15">
        <v>0</v>
      </c>
    </row>
    <row r="3492" spans="2:6" hidden="1" x14ac:dyDescent="0.2">
      <c r="B3492" s="14">
        <v>2013</v>
      </c>
      <c r="C3492" s="13" t="s">
        <v>3290</v>
      </c>
      <c r="D3492" s="13" t="s">
        <v>3334</v>
      </c>
      <c r="E3492" s="13" t="s">
        <v>3337</v>
      </c>
      <c r="F3492" s="15">
        <v>0</v>
      </c>
    </row>
    <row r="3493" spans="2:6" hidden="1" x14ac:dyDescent="0.2">
      <c r="B3493" s="14">
        <v>2013</v>
      </c>
      <c r="C3493" s="13" t="s">
        <v>3290</v>
      </c>
      <c r="D3493" s="13" t="s">
        <v>3334</v>
      </c>
      <c r="E3493" s="13" t="s">
        <v>1858</v>
      </c>
      <c r="F3493" s="15">
        <v>0</v>
      </c>
    </row>
    <row r="3494" spans="2:6" hidden="1" x14ac:dyDescent="0.2">
      <c r="B3494" s="14">
        <v>2013</v>
      </c>
      <c r="C3494" s="13" t="s">
        <v>3290</v>
      </c>
      <c r="D3494" s="13" t="s">
        <v>3334</v>
      </c>
      <c r="E3494" s="13" t="s">
        <v>3338</v>
      </c>
      <c r="F3494" s="15">
        <v>0</v>
      </c>
    </row>
    <row r="3495" spans="2:6" hidden="1" x14ac:dyDescent="0.2">
      <c r="B3495" s="14">
        <v>2013</v>
      </c>
      <c r="C3495" s="13" t="s">
        <v>3290</v>
      </c>
      <c r="D3495" s="13" t="s">
        <v>3339</v>
      </c>
      <c r="E3495" s="13" t="s">
        <v>3339</v>
      </c>
      <c r="F3495" s="15">
        <v>2</v>
      </c>
    </row>
    <row r="3496" spans="2:6" hidden="1" x14ac:dyDescent="0.2">
      <c r="B3496" s="14">
        <v>2013</v>
      </c>
      <c r="C3496" s="13" t="s">
        <v>3290</v>
      </c>
      <c r="D3496" s="13" t="s">
        <v>3339</v>
      </c>
      <c r="E3496" s="13" t="s">
        <v>3340</v>
      </c>
      <c r="F3496" s="15">
        <v>2</v>
      </c>
    </row>
    <row r="3497" spans="2:6" hidden="1" x14ac:dyDescent="0.2">
      <c r="B3497" s="14">
        <v>2013</v>
      </c>
      <c r="C3497" s="13" t="s">
        <v>3290</v>
      </c>
      <c r="D3497" s="13" t="s">
        <v>3339</v>
      </c>
      <c r="E3497" s="13" t="s">
        <v>3341</v>
      </c>
      <c r="F3497" s="15">
        <v>0</v>
      </c>
    </row>
    <row r="3498" spans="2:6" hidden="1" x14ac:dyDescent="0.2">
      <c r="B3498" s="14">
        <v>2013</v>
      </c>
      <c r="C3498" s="13" t="s">
        <v>3290</v>
      </c>
      <c r="D3498" s="13" t="s">
        <v>3339</v>
      </c>
      <c r="E3498" s="13" t="s">
        <v>3342</v>
      </c>
      <c r="F3498" s="15">
        <v>0</v>
      </c>
    </row>
    <row r="3499" spans="2:6" hidden="1" x14ac:dyDescent="0.2">
      <c r="B3499" s="14">
        <v>2013</v>
      </c>
      <c r="C3499" s="13" t="s">
        <v>3290</v>
      </c>
      <c r="D3499" s="13" t="s">
        <v>3339</v>
      </c>
      <c r="E3499" s="13" t="s">
        <v>3343</v>
      </c>
      <c r="F3499" s="15">
        <v>0</v>
      </c>
    </row>
    <row r="3500" spans="2:6" hidden="1" x14ac:dyDescent="0.2">
      <c r="B3500" s="14">
        <v>2013</v>
      </c>
      <c r="C3500" s="13" t="s">
        <v>3290</v>
      </c>
      <c r="D3500" s="13" t="s">
        <v>3339</v>
      </c>
      <c r="E3500" s="13" t="s">
        <v>3344</v>
      </c>
      <c r="F3500" s="15">
        <v>0</v>
      </c>
    </row>
    <row r="3501" spans="2:6" hidden="1" x14ac:dyDescent="0.2">
      <c r="B3501" s="14">
        <v>2013</v>
      </c>
      <c r="C3501" s="13" t="s">
        <v>3290</v>
      </c>
      <c r="D3501" s="13" t="s">
        <v>3339</v>
      </c>
      <c r="E3501" s="13" t="s">
        <v>3345</v>
      </c>
      <c r="F3501" s="15">
        <v>0</v>
      </c>
    </row>
    <row r="3502" spans="2:6" hidden="1" x14ac:dyDescent="0.2">
      <c r="B3502" s="14">
        <v>2013</v>
      </c>
      <c r="C3502" s="13" t="s">
        <v>3290</v>
      </c>
      <c r="D3502" s="13" t="s">
        <v>3339</v>
      </c>
      <c r="E3502" s="13" t="s">
        <v>3346</v>
      </c>
      <c r="F3502" s="15">
        <v>0</v>
      </c>
    </row>
    <row r="3503" spans="2:6" hidden="1" x14ac:dyDescent="0.2">
      <c r="B3503" s="14">
        <v>2013</v>
      </c>
      <c r="C3503" s="13" t="s">
        <v>3290</v>
      </c>
      <c r="D3503" s="13" t="s">
        <v>2294</v>
      </c>
      <c r="E3503" s="13" t="s">
        <v>2294</v>
      </c>
      <c r="F3503" s="15">
        <v>5</v>
      </c>
    </row>
    <row r="3504" spans="2:6" hidden="1" x14ac:dyDescent="0.2">
      <c r="B3504" s="14">
        <v>2013</v>
      </c>
      <c r="C3504" s="13" t="s">
        <v>3290</v>
      </c>
      <c r="D3504" s="13" t="s">
        <v>2294</v>
      </c>
      <c r="E3504" s="13" t="s">
        <v>3347</v>
      </c>
      <c r="F3504" s="15">
        <v>2</v>
      </c>
    </row>
    <row r="3505" spans="2:6" hidden="1" x14ac:dyDescent="0.2">
      <c r="B3505" s="14">
        <v>2013</v>
      </c>
      <c r="C3505" s="13" t="s">
        <v>3290</v>
      </c>
      <c r="D3505" s="13" t="s">
        <v>2294</v>
      </c>
      <c r="E3505" s="13" t="s">
        <v>3348</v>
      </c>
      <c r="F3505" s="15">
        <v>0</v>
      </c>
    </row>
    <row r="3506" spans="2:6" hidden="1" x14ac:dyDescent="0.2">
      <c r="B3506" s="14">
        <v>2013</v>
      </c>
      <c r="C3506" s="13" t="s">
        <v>3290</v>
      </c>
      <c r="D3506" s="13" t="s">
        <v>2294</v>
      </c>
      <c r="E3506" s="13" t="s">
        <v>3349</v>
      </c>
      <c r="F3506" s="15">
        <v>0</v>
      </c>
    </row>
    <row r="3507" spans="2:6" hidden="1" x14ac:dyDescent="0.2">
      <c r="B3507" s="14">
        <v>2013</v>
      </c>
      <c r="C3507" s="13" t="s">
        <v>3290</v>
      </c>
      <c r="D3507" s="13" t="s">
        <v>2294</v>
      </c>
      <c r="E3507" s="13" t="s">
        <v>3350</v>
      </c>
      <c r="F3507" s="15">
        <v>0</v>
      </c>
    </row>
    <row r="3508" spans="2:6" hidden="1" x14ac:dyDescent="0.2">
      <c r="B3508" s="14">
        <v>2013</v>
      </c>
      <c r="C3508" s="13" t="s">
        <v>3290</v>
      </c>
      <c r="D3508" s="13" t="s">
        <v>2294</v>
      </c>
      <c r="E3508" s="13" t="s">
        <v>2566</v>
      </c>
      <c r="F3508" s="15">
        <v>0</v>
      </c>
    </row>
    <row r="3509" spans="2:6" hidden="1" x14ac:dyDescent="0.2">
      <c r="B3509" s="14">
        <v>2013</v>
      </c>
      <c r="C3509" s="13" t="s">
        <v>3290</v>
      </c>
      <c r="D3509" s="13" t="s">
        <v>2294</v>
      </c>
      <c r="E3509" s="13" t="s">
        <v>3351</v>
      </c>
      <c r="F3509" s="15">
        <v>0</v>
      </c>
    </row>
    <row r="3510" spans="2:6" hidden="1" x14ac:dyDescent="0.2">
      <c r="B3510" s="14">
        <v>2013</v>
      </c>
      <c r="C3510" s="13" t="s">
        <v>3290</v>
      </c>
      <c r="D3510" s="13" t="s">
        <v>2294</v>
      </c>
      <c r="E3510" s="13" t="s">
        <v>2405</v>
      </c>
      <c r="F3510" s="15">
        <v>1</v>
      </c>
    </row>
    <row r="3511" spans="2:6" hidden="1" x14ac:dyDescent="0.2">
      <c r="B3511" s="14">
        <v>2013</v>
      </c>
      <c r="C3511" s="13" t="s">
        <v>3290</v>
      </c>
      <c r="D3511" s="13" t="s">
        <v>2294</v>
      </c>
      <c r="E3511" s="13" t="s">
        <v>2280</v>
      </c>
      <c r="F3511" s="15">
        <v>0</v>
      </c>
    </row>
    <row r="3512" spans="2:6" hidden="1" x14ac:dyDescent="0.2">
      <c r="B3512" s="14">
        <v>2013</v>
      </c>
      <c r="C3512" s="13" t="s">
        <v>3290</v>
      </c>
      <c r="D3512" s="13" t="s">
        <v>2294</v>
      </c>
      <c r="E3512" s="13" t="s">
        <v>3352</v>
      </c>
      <c r="F3512" s="15">
        <v>0</v>
      </c>
    </row>
    <row r="3513" spans="2:6" hidden="1" x14ac:dyDescent="0.2">
      <c r="B3513" s="14">
        <v>2013</v>
      </c>
      <c r="C3513" s="13" t="s">
        <v>3290</v>
      </c>
      <c r="D3513" s="13" t="s">
        <v>3353</v>
      </c>
      <c r="E3513" s="13" t="s">
        <v>3097</v>
      </c>
      <c r="F3513" s="15">
        <v>25</v>
      </c>
    </row>
    <row r="3514" spans="2:6" hidden="1" x14ac:dyDescent="0.2">
      <c r="B3514" s="14">
        <v>2013</v>
      </c>
      <c r="C3514" s="13" t="s">
        <v>3290</v>
      </c>
      <c r="D3514" s="13" t="s">
        <v>3353</v>
      </c>
      <c r="E3514" s="13" t="s">
        <v>3354</v>
      </c>
      <c r="F3514" s="15">
        <v>4</v>
      </c>
    </row>
    <row r="3515" spans="2:6" hidden="1" x14ac:dyDescent="0.2">
      <c r="B3515" s="14">
        <v>2013</v>
      </c>
      <c r="C3515" s="13" t="s">
        <v>3290</v>
      </c>
      <c r="D3515" s="13" t="s">
        <v>3353</v>
      </c>
      <c r="E3515" s="13" t="s">
        <v>3355</v>
      </c>
      <c r="F3515" s="15">
        <v>0</v>
      </c>
    </row>
    <row r="3516" spans="2:6" hidden="1" x14ac:dyDescent="0.2">
      <c r="B3516" s="14">
        <v>2013</v>
      </c>
      <c r="C3516" s="13" t="s">
        <v>3290</v>
      </c>
      <c r="D3516" s="13" t="s">
        <v>3353</v>
      </c>
      <c r="E3516" s="13" t="s">
        <v>3356</v>
      </c>
      <c r="F3516" s="15">
        <v>0</v>
      </c>
    </row>
    <row r="3517" spans="2:6" hidden="1" x14ac:dyDescent="0.2">
      <c r="B3517" s="14">
        <v>2013</v>
      </c>
      <c r="C3517" s="13" t="s">
        <v>3290</v>
      </c>
      <c r="D3517" s="13" t="s">
        <v>3353</v>
      </c>
      <c r="E3517" s="13" t="s">
        <v>3357</v>
      </c>
      <c r="F3517" s="15">
        <v>0</v>
      </c>
    </row>
    <row r="3518" spans="2:6" hidden="1" x14ac:dyDescent="0.2">
      <c r="B3518" s="14">
        <v>2013</v>
      </c>
      <c r="C3518" s="13" t="s">
        <v>3290</v>
      </c>
      <c r="D3518" s="13" t="s">
        <v>3353</v>
      </c>
      <c r="E3518" s="13" t="s">
        <v>3358</v>
      </c>
      <c r="F3518" s="15">
        <v>1</v>
      </c>
    </row>
    <row r="3519" spans="2:6" hidden="1" x14ac:dyDescent="0.2">
      <c r="B3519" s="14">
        <v>2013</v>
      </c>
      <c r="C3519" s="13" t="s">
        <v>3290</v>
      </c>
      <c r="D3519" s="13" t="s">
        <v>3353</v>
      </c>
      <c r="E3519" s="13" t="s">
        <v>3359</v>
      </c>
      <c r="F3519" s="15">
        <v>0</v>
      </c>
    </row>
    <row r="3520" spans="2:6" hidden="1" x14ac:dyDescent="0.2">
      <c r="B3520" s="14">
        <v>2013</v>
      </c>
      <c r="C3520" s="13" t="s">
        <v>3290</v>
      </c>
      <c r="D3520" s="13" t="s">
        <v>3353</v>
      </c>
      <c r="E3520" s="13" t="s">
        <v>1858</v>
      </c>
      <c r="F3520" s="15">
        <v>0</v>
      </c>
    </row>
    <row r="3521" spans="2:6" hidden="1" x14ac:dyDescent="0.2">
      <c r="B3521" s="14">
        <v>2013</v>
      </c>
      <c r="C3521" s="13" t="s">
        <v>3290</v>
      </c>
      <c r="D3521" s="13" t="s">
        <v>3353</v>
      </c>
      <c r="E3521" s="13" t="s">
        <v>3360</v>
      </c>
      <c r="F3521" s="15">
        <v>0</v>
      </c>
    </row>
    <row r="3522" spans="2:6" hidden="1" x14ac:dyDescent="0.2">
      <c r="B3522" s="14">
        <v>2013</v>
      </c>
      <c r="C3522" s="13" t="s">
        <v>3290</v>
      </c>
      <c r="D3522" s="13" t="s">
        <v>3361</v>
      </c>
      <c r="E3522" s="13" t="s">
        <v>3361</v>
      </c>
      <c r="F3522" s="15">
        <v>0</v>
      </c>
    </row>
    <row r="3523" spans="2:6" hidden="1" x14ac:dyDescent="0.2">
      <c r="B3523" s="14">
        <v>2013</v>
      </c>
      <c r="C3523" s="13" t="s">
        <v>3290</v>
      </c>
      <c r="D3523" s="13" t="s">
        <v>3361</v>
      </c>
      <c r="E3523" s="13" t="s">
        <v>3362</v>
      </c>
      <c r="F3523" s="15">
        <v>0</v>
      </c>
    </row>
    <row r="3524" spans="2:6" hidden="1" x14ac:dyDescent="0.2">
      <c r="B3524" s="14">
        <v>2013</v>
      </c>
      <c r="C3524" s="13" t="s">
        <v>3290</v>
      </c>
      <c r="D3524" s="13" t="s">
        <v>3361</v>
      </c>
      <c r="E3524" s="13" t="s">
        <v>3363</v>
      </c>
      <c r="F3524" s="15">
        <v>0</v>
      </c>
    </row>
    <row r="3525" spans="2:6" hidden="1" x14ac:dyDescent="0.2">
      <c r="B3525" s="14">
        <v>2013</v>
      </c>
      <c r="C3525" s="13" t="s">
        <v>3290</v>
      </c>
      <c r="D3525" s="13" t="s">
        <v>3361</v>
      </c>
      <c r="E3525" s="13" t="s">
        <v>3364</v>
      </c>
      <c r="F3525" s="15">
        <v>0</v>
      </c>
    </row>
    <row r="3526" spans="2:6" hidden="1" x14ac:dyDescent="0.2">
      <c r="B3526" s="14">
        <v>2013</v>
      </c>
      <c r="C3526" s="13" t="s">
        <v>3290</v>
      </c>
      <c r="D3526" s="13" t="s">
        <v>3365</v>
      </c>
      <c r="E3526" s="13" t="s">
        <v>3366</v>
      </c>
      <c r="F3526" s="15">
        <v>2</v>
      </c>
    </row>
    <row r="3527" spans="2:6" hidden="1" x14ac:dyDescent="0.2">
      <c r="B3527" s="14">
        <v>2013</v>
      </c>
      <c r="C3527" s="13" t="s">
        <v>3290</v>
      </c>
      <c r="D3527" s="13" t="s">
        <v>3365</v>
      </c>
      <c r="E3527" s="13" t="s">
        <v>3367</v>
      </c>
      <c r="F3527" s="15">
        <v>8</v>
      </c>
    </row>
    <row r="3528" spans="2:6" hidden="1" x14ac:dyDescent="0.2">
      <c r="B3528" s="14">
        <v>2013</v>
      </c>
      <c r="C3528" s="13" t="s">
        <v>3290</v>
      </c>
      <c r="D3528" s="13" t="s">
        <v>3365</v>
      </c>
      <c r="E3528" s="13" t="s">
        <v>3368</v>
      </c>
      <c r="F3528" s="15">
        <v>0</v>
      </c>
    </row>
    <row r="3529" spans="2:6" hidden="1" x14ac:dyDescent="0.2">
      <c r="B3529" s="14">
        <v>2013</v>
      </c>
      <c r="C3529" s="13" t="s">
        <v>3290</v>
      </c>
      <c r="D3529" s="13" t="s">
        <v>3365</v>
      </c>
      <c r="E3529" s="13" t="s">
        <v>3369</v>
      </c>
      <c r="F3529" s="15">
        <v>2</v>
      </c>
    </row>
    <row r="3530" spans="2:6" hidden="1" x14ac:dyDescent="0.2">
      <c r="B3530" s="14">
        <v>2013</v>
      </c>
      <c r="C3530" s="13" t="s">
        <v>3290</v>
      </c>
      <c r="D3530" s="13" t="s">
        <v>3365</v>
      </c>
      <c r="E3530" s="13" t="s">
        <v>3370</v>
      </c>
      <c r="F3530" s="15">
        <v>0</v>
      </c>
    </row>
    <row r="3531" spans="2:6" hidden="1" x14ac:dyDescent="0.2">
      <c r="B3531" s="14">
        <v>2013</v>
      </c>
      <c r="C3531" s="13" t="s">
        <v>3290</v>
      </c>
      <c r="D3531" s="13" t="s">
        <v>3371</v>
      </c>
      <c r="E3531" s="13" t="s">
        <v>3372</v>
      </c>
      <c r="F3531" s="15">
        <v>62</v>
      </c>
    </row>
    <row r="3532" spans="2:6" hidden="1" x14ac:dyDescent="0.2">
      <c r="B3532" s="14">
        <v>2013</v>
      </c>
      <c r="C3532" s="13" t="s">
        <v>3290</v>
      </c>
      <c r="D3532" s="13" t="s">
        <v>3371</v>
      </c>
      <c r="E3532" s="13" t="s">
        <v>1985</v>
      </c>
      <c r="F3532" s="15">
        <v>0</v>
      </c>
    </row>
    <row r="3533" spans="2:6" hidden="1" x14ac:dyDescent="0.2">
      <c r="B3533" s="14">
        <v>2013</v>
      </c>
      <c r="C3533" s="13" t="s">
        <v>3290</v>
      </c>
      <c r="D3533" s="13" t="s">
        <v>3371</v>
      </c>
      <c r="E3533" s="13" t="s">
        <v>3373</v>
      </c>
      <c r="F3533" s="15">
        <v>1</v>
      </c>
    </row>
    <row r="3534" spans="2:6" hidden="1" x14ac:dyDescent="0.2">
      <c r="B3534" s="14">
        <v>2013</v>
      </c>
      <c r="C3534" s="13" t="s">
        <v>3290</v>
      </c>
      <c r="D3534" s="13" t="s">
        <v>3371</v>
      </c>
      <c r="E3534" s="13" t="s">
        <v>3374</v>
      </c>
      <c r="F3534" s="15">
        <v>0</v>
      </c>
    </row>
    <row r="3535" spans="2:6" hidden="1" x14ac:dyDescent="0.2">
      <c r="B3535" s="14">
        <v>2013</v>
      </c>
      <c r="C3535" s="13" t="s">
        <v>3290</v>
      </c>
      <c r="D3535" s="13" t="s">
        <v>3375</v>
      </c>
      <c r="E3535" s="13" t="s">
        <v>3375</v>
      </c>
      <c r="F3535" s="15">
        <v>4</v>
      </c>
    </row>
    <row r="3536" spans="2:6" hidden="1" x14ac:dyDescent="0.2">
      <c r="B3536" s="14">
        <v>2013</v>
      </c>
      <c r="C3536" s="13" t="s">
        <v>3290</v>
      </c>
      <c r="D3536" s="13" t="s">
        <v>3375</v>
      </c>
      <c r="E3536" s="13" t="s">
        <v>3376</v>
      </c>
      <c r="F3536" s="15">
        <v>0</v>
      </c>
    </row>
    <row r="3537" spans="2:6" hidden="1" x14ac:dyDescent="0.2">
      <c r="B3537" s="14">
        <v>2013</v>
      </c>
      <c r="C3537" s="13" t="s">
        <v>3290</v>
      </c>
      <c r="D3537" s="13" t="s">
        <v>3375</v>
      </c>
      <c r="E3537" s="13" t="s">
        <v>3377</v>
      </c>
      <c r="F3537" s="15">
        <v>0</v>
      </c>
    </row>
    <row r="3538" spans="2:6" hidden="1" x14ac:dyDescent="0.2">
      <c r="B3538" s="14">
        <v>2013</v>
      </c>
      <c r="C3538" s="13" t="s">
        <v>3290</v>
      </c>
      <c r="D3538" s="13" t="s">
        <v>3375</v>
      </c>
      <c r="E3538" s="13" t="s">
        <v>3378</v>
      </c>
      <c r="F3538" s="15">
        <v>0</v>
      </c>
    </row>
    <row r="3539" spans="2:6" hidden="1" x14ac:dyDescent="0.2">
      <c r="B3539" s="14">
        <v>2013</v>
      </c>
      <c r="C3539" s="13" t="s">
        <v>3290</v>
      </c>
      <c r="D3539" s="13" t="s">
        <v>3375</v>
      </c>
      <c r="E3539" s="13" t="s">
        <v>3379</v>
      </c>
      <c r="F3539" s="15">
        <v>0</v>
      </c>
    </row>
    <row r="3540" spans="2:6" hidden="1" x14ac:dyDescent="0.2">
      <c r="B3540" s="14">
        <v>2013</v>
      </c>
      <c r="C3540" s="13" t="s">
        <v>3290</v>
      </c>
      <c r="D3540" s="13" t="s">
        <v>3375</v>
      </c>
      <c r="E3540" s="13" t="s">
        <v>3380</v>
      </c>
      <c r="F3540" s="15">
        <v>0</v>
      </c>
    </row>
    <row r="3541" spans="2:6" hidden="1" x14ac:dyDescent="0.2">
      <c r="B3541" s="14">
        <v>2013</v>
      </c>
      <c r="C3541" s="13" t="s">
        <v>3290</v>
      </c>
      <c r="D3541" s="13" t="s">
        <v>3375</v>
      </c>
      <c r="E3541" s="13" t="s">
        <v>3381</v>
      </c>
      <c r="F3541" s="15">
        <v>0</v>
      </c>
    </row>
    <row r="3542" spans="2:6" hidden="1" x14ac:dyDescent="0.2">
      <c r="B3542" s="14">
        <v>2013</v>
      </c>
      <c r="C3542" s="13" t="s">
        <v>3290</v>
      </c>
      <c r="D3542" s="13" t="s">
        <v>3375</v>
      </c>
      <c r="E3542" s="13" t="s">
        <v>3382</v>
      </c>
      <c r="F3542" s="15">
        <v>0</v>
      </c>
    </row>
    <row r="3543" spans="2:6" hidden="1" x14ac:dyDescent="0.2">
      <c r="B3543" s="14">
        <v>2013</v>
      </c>
      <c r="C3543" s="13" t="s">
        <v>3290</v>
      </c>
      <c r="D3543" s="13" t="s">
        <v>3375</v>
      </c>
      <c r="E3543" s="13" t="s">
        <v>3383</v>
      </c>
      <c r="F3543" s="15">
        <v>0</v>
      </c>
    </row>
    <row r="3544" spans="2:6" hidden="1" x14ac:dyDescent="0.2">
      <c r="B3544" s="14">
        <v>2013</v>
      </c>
      <c r="C3544" s="13" t="s">
        <v>3290</v>
      </c>
      <c r="D3544" s="13" t="s">
        <v>3375</v>
      </c>
      <c r="E3544" s="13" t="s">
        <v>3384</v>
      </c>
      <c r="F3544" s="15">
        <v>0</v>
      </c>
    </row>
    <row r="3545" spans="2:6" hidden="1" x14ac:dyDescent="0.2">
      <c r="B3545" s="14">
        <v>2013</v>
      </c>
      <c r="C3545" s="13" t="s">
        <v>3290</v>
      </c>
      <c r="D3545" s="13" t="s">
        <v>3385</v>
      </c>
      <c r="E3545" s="13" t="s">
        <v>3385</v>
      </c>
      <c r="F3545" s="15">
        <v>3</v>
      </c>
    </row>
    <row r="3546" spans="2:6" hidden="1" x14ac:dyDescent="0.2">
      <c r="B3546" s="14">
        <v>2013</v>
      </c>
      <c r="C3546" s="13" t="s">
        <v>3290</v>
      </c>
      <c r="D3546" s="13" t="s">
        <v>3385</v>
      </c>
      <c r="E3546" s="13" t="s">
        <v>3386</v>
      </c>
      <c r="F3546" s="15">
        <v>0</v>
      </c>
    </row>
    <row r="3547" spans="2:6" hidden="1" x14ac:dyDescent="0.2">
      <c r="B3547" s="14">
        <v>2013</v>
      </c>
      <c r="C3547" s="13" t="s">
        <v>3290</v>
      </c>
      <c r="D3547" s="13" t="s">
        <v>3385</v>
      </c>
      <c r="E3547" s="13" t="s">
        <v>3387</v>
      </c>
      <c r="F3547" s="15">
        <v>0</v>
      </c>
    </row>
    <row r="3548" spans="2:6" hidden="1" x14ac:dyDescent="0.2">
      <c r="B3548" s="14">
        <v>2013</v>
      </c>
      <c r="C3548" s="13" t="s">
        <v>3290</v>
      </c>
      <c r="D3548" s="13" t="s">
        <v>3385</v>
      </c>
      <c r="E3548" s="13" t="s">
        <v>3388</v>
      </c>
      <c r="F3548" s="15">
        <v>0</v>
      </c>
    </row>
    <row r="3549" spans="2:6" hidden="1" x14ac:dyDescent="0.2">
      <c r="B3549" s="14">
        <v>2013</v>
      </c>
      <c r="C3549" s="13" t="s">
        <v>3290</v>
      </c>
      <c r="D3549" s="13" t="s">
        <v>3385</v>
      </c>
      <c r="E3549" s="13" t="s">
        <v>3389</v>
      </c>
      <c r="F3549" s="15">
        <v>0</v>
      </c>
    </row>
    <row r="3550" spans="2:6" hidden="1" x14ac:dyDescent="0.2">
      <c r="B3550" s="14">
        <v>2013</v>
      </c>
      <c r="C3550" s="13" t="s">
        <v>3290</v>
      </c>
      <c r="D3550" s="13" t="s">
        <v>3385</v>
      </c>
      <c r="E3550" s="13" t="s">
        <v>3390</v>
      </c>
      <c r="F3550" s="15">
        <v>0</v>
      </c>
    </row>
    <row r="3551" spans="2:6" hidden="1" x14ac:dyDescent="0.2">
      <c r="B3551" s="14">
        <v>2013</v>
      </c>
      <c r="C3551" s="13" t="s">
        <v>3290</v>
      </c>
      <c r="D3551" s="13" t="s">
        <v>3385</v>
      </c>
      <c r="E3551" s="13" t="s">
        <v>3391</v>
      </c>
      <c r="F3551" s="15">
        <v>0</v>
      </c>
    </row>
    <row r="3552" spans="2:6" hidden="1" x14ac:dyDescent="0.2">
      <c r="B3552" s="14">
        <v>2013</v>
      </c>
      <c r="C3552" s="13" t="s">
        <v>3392</v>
      </c>
      <c r="D3552" s="13" t="s">
        <v>3393</v>
      </c>
      <c r="E3552" s="13" t="s">
        <v>3393</v>
      </c>
      <c r="F3552" s="15">
        <v>57</v>
      </c>
    </row>
    <row r="3553" spans="2:6" hidden="1" x14ac:dyDescent="0.2">
      <c r="B3553" s="14">
        <v>2013</v>
      </c>
      <c r="C3553" s="13" t="s">
        <v>3392</v>
      </c>
      <c r="D3553" s="13" t="s">
        <v>3393</v>
      </c>
      <c r="E3553" s="13" t="s">
        <v>3394</v>
      </c>
      <c r="F3553" s="15">
        <v>1</v>
      </c>
    </row>
    <row r="3554" spans="2:6" hidden="1" x14ac:dyDescent="0.2">
      <c r="B3554" s="14">
        <v>2013</v>
      </c>
      <c r="C3554" s="13" t="s">
        <v>3392</v>
      </c>
      <c r="D3554" s="13" t="s">
        <v>3393</v>
      </c>
      <c r="E3554" s="13" t="s">
        <v>3395</v>
      </c>
      <c r="F3554" s="15">
        <v>0</v>
      </c>
    </row>
    <row r="3555" spans="2:6" hidden="1" x14ac:dyDescent="0.2">
      <c r="B3555" s="14">
        <v>2013</v>
      </c>
      <c r="C3555" s="13" t="s">
        <v>3392</v>
      </c>
      <c r="D3555" s="13" t="s">
        <v>3393</v>
      </c>
      <c r="E3555" s="13" t="s">
        <v>3396</v>
      </c>
      <c r="F3555" s="15">
        <v>0</v>
      </c>
    </row>
    <row r="3556" spans="2:6" hidden="1" x14ac:dyDescent="0.2">
      <c r="B3556" s="14">
        <v>2013</v>
      </c>
      <c r="C3556" s="13" t="s">
        <v>3392</v>
      </c>
      <c r="D3556" s="13" t="s">
        <v>3393</v>
      </c>
      <c r="E3556" s="13" t="s">
        <v>3397</v>
      </c>
      <c r="F3556" s="15">
        <v>3</v>
      </c>
    </row>
    <row r="3557" spans="2:6" hidden="1" x14ac:dyDescent="0.2">
      <c r="B3557" s="14">
        <v>2013</v>
      </c>
      <c r="C3557" s="13" t="s">
        <v>3392</v>
      </c>
      <c r="D3557" s="13" t="s">
        <v>3393</v>
      </c>
      <c r="E3557" s="13" t="s">
        <v>3398</v>
      </c>
      <c r="F3557" s="15">
        <v>1</v>
      </c>
    </row>
    <row r="3558" spans="2:6" hidden="1" x14ac:dyDescent="0.2">
      <c r="B3558" s="14">
        <v>2013</v>
      </c>
      <c r="C3558" s="13" t="s">
        <v>3392</v>
      </c>
      <c r="D3558" s="13" t="s">
        <v>2399</v>
      </c>
      <c r="E3558" s="13" t="s">
        <v>2399</v>
      </c>
      <c r="F3558" s="15">
        <v>4</v>
      </c>
    </row>
    <row r="3559" spans="2:6" hidden="1" x14ac:dyDescent="0.2">
      <c r="B3559" s="14">
        <v>2013</v>
      </c>
      <c r="C3559" s="13" t="s">
        <v>3392</v>
      </c>
      <c r="D3559" s="13" t="s">
        <v>2399</v>
      </c>
      <c r="E3559" s="13" t="s">
        <v>3399</v>
      </c>
      <c r="F3559" s="15">
        <v>8</v>
      </c>
    </row>
    <row r="3560" spans="2:6" hidden="1" x14ac:dyDescent="0.2">
      <c r="B3560" s="14">
        <v>2013</v>
      </c>
      <c r="C3560" s="13" t="s">
        <v>3392</v>
      </c>
      <c r="D3560" s="13" t="s">
        <v>2399</v>
      </c>
      <c r="E3560" s="13" t="s">
        <v>3400</v>
      </c>
      <c r="F3560" s="15">
        <v>3</v>
      </c>
    </row>
    <row r="3561" spans="2:6" hidden="1" x14ac:dyDescent="0.2">
      <c r="B3561" s="14">
        <v>2013</v>
      </c>
      <c r="C3561" s="13" t="s">
        <v>3392</v>
      </c>
      <c r="D3561" s="13" t="s">
        <v>2399</v>
      </c>
      <c r="E3561" s="13" t="s">
        <v>3401</v>
      </c>
      <c r="F3561" s="15">
        <v>1</v>
      </c>
    </row>
    <row r="3562" spans="2:6" hidden="1" x14ac:dyDescent="0.2">
      <c r="B3562" s="14">
        <v>2013</v>
      </c>
      <c r="C3562" s="13" t="s">
        <v>3392</v>
      </c>
      <c r="D3562" s="13" t="s">
        <v>2399</v>
      </c>
      <c r="E3562" s="13" t="s">
        <v>2435</v>
      </c>
      <c r="F3562" s="15">
        <v>1</v>
      </c>
    </row>
    <row r="3563" spans="2:6" hidden="1" x14ac:dyDescent="0.2">
      <c r="B3563" s="14">
        <v>2013</v>
      </c>
      <c r="C3563" s="13" t="s">
        <v>3392</v>
      </c>
      <c r="D3563" s="13" t="s">
        <v>2399</v>
      </c>
      <c r="E3563" s="13" t="s">
        <v>2656</v>
      </c>
      <c r="F3563" s="15">
        <v>2</v>
      </c>
    </row>
    <row r="3564" spans="2:6" hidden="1" x14ac:dyDescent="0.2">
      <c r="B3564" s="14">
        <v>2013</v>
      </c>
      <c r="C3564" s="13" t="s">
        <v>3392</v>
      </c>
      <c r="D3564" s="13" t="s">
        <v>3402</v>
      </c>
      <c r="E3564" s="13" t="s">
        <v>3403</v>
      </c>
      <c r="F3564" s="15">
        <v>4</v>
      </c>
    </row>
    <row r="3565" spans="2:6" hidden="1" x14ac:dyDescent="0.2">
      <c r="B3565" s="14">
        <v>2013</v>
      </c>
      <c r="C3565" s="13" t="s">
        <v>3392</v>
      </c>
      <c r="D3565" s="13" t="s">
        <v>3402</v>
      </c>
      <c r="E3565" s="13" t="s">
        <v>3404</v>
      </c>
      <c r="F3565" s="15">
        <v>0</v>
      </c>
    </row>
    <row r="3566" spans="2:6" hidden="1" x14ac:dyDescent="0.2">
      <c r="B3566" s="14">
        <v>2013</v>
      </c>
      <c r="C3566" s="13" t="s">
        <v>3392</v>
      </c>
      <c r="D3566" s="13" t="s">
        <v>3402</v>
      </c>
      <c r="E3566" s="13" t="s">
        <v>3392</v>
      </c>
      <c r="F3566" s="15">
        <v>0</v>
      </c>
    </row>
    <row r="3567" spans="2:6" hidden="1" x14ac:dyDescent="0.2">
      <c r="B3567" s="14">
        <v>2013</v>
      </c>
      <c r="C3567" s="13" t="s">
        <v>3392</v>
      </c>
      <c r="D3567" s="13" t="s">
        <v>3402</v>
      </c>
      <c r="E3567" s="13" t="s">
        <v>1858</v>
      </c>
      <c r="F3567" s="15">
        <v>0</v>
      </c>
    </row>
    <row r="3568" spans="2:6" hidden="1" x14ac:dyDescent="0.2">
      <c r="B3568" s="14">
        <v>2013</v>
      </c>
      <c r="C3568" s="13" t="s">
        <v>3392</v>
      </c>
      <c r="D3568" s="13" t="s">
        <v>3402</v>
      </c>
      <c r="E3568" s="13" t="s">
        <v>3405</v>
      </c>
      <c r="F3568" s="15">
        <v>5</v>
      </c>
    </row>
    <row r="3569" spans="2:6" hidden="1" x14ac:dyDescent="0.2">
      <c r="B3569" s="14">
        <v>2013</v>
      </c>
      <c r="C3569" s="13" t="s">
        <v>3392</v>
      </c>
      <c r="D3569" s="13" t="s">
        <v>3401</v>
      </c>
      <c r="E3569" s="13" t="s">
        <v>3406</v>
      </c>
      <c r="F3569" s="15">
        <v>7</v>
      </c>
    </row>
    <row r="3570" spans="2:6" hidden="1" x14ac:dyDescent="0.2">
      <c r="B3570" s="14">
        <v>2013</v>
      </c>
      <c r="C3570" s="13" t="s">
        <v>3392</v>
      </c>
      <c r="D3570" s="13" t="s">
        <v>3401</v>
      </c>
      <c r="E3570" s="13" t="s">
        <v>3407</v>
      </c>
      <c r="F3570" s="15">
        <v>2</v>
      </c>
    </row>
    <row r="3571" spans="2:6" hidden="1" x14ac:dyDescent="0.2">
      <c r="B3571" s="14">
        <v>2013</v>
      </c>
      <c r="C3571" s="13" t="s">
        <v>3392</v>
      </c>
      <c r="D3571" s="13" t="s">
        <v>3401</v>
      </c>
      <c r="E3571" s="13" t="s">
        <v>3408</v>
      </c>
      <c r="F3571" s="15">
        <v>8</v>
      </c>
    </row>
    <row r="3572" spans="2:6" hidden="1" x14ac:dyDescent="0.2">
      <c r="B3572" s="14">
        <v>2013</v>
      </c>
      <c r="C3572" s="13" t="s">
        <v>3392</v>
      </c>
      <c r="D3572" s="13" t="s">
        <v>3401</v>
      </c>
      <c r="E3572" s="13" t="s">
        <v>3409</v>
      </c>
      <c r="F3572" s="15">
        <v>2</v>
      </c>
    </row>
    <row r="3573" spans="2:6" hidden="1" x14ac:dyDescent="0.2">
      <c r="B3573" s="14">
        <v>2013</v>
      </c>
      <c r="C3573" s="13" t="s">
        <v>3392</v>
      </c>
      <c r="D3573" s="13" t="s">
        <v>3401</v>
      </c>
      <c r="E3573" s="13" t="s">
        <v>3410</v>
      </c>
      <c r="F3573" s="15">
        <v>1</v>
      </c>
    </row>
    <row r="3574" spans="2:6" hidden="1" x14ac:dyDescent="0.2">
      <c r="B3574" s="14">
        <v>2013</v>
      </c>
      <c r="C3574" s="13" t="s">
        <v>3392</v>
      </c>
      <c r="D3574" s="13" t="s">
        <v>3401</v>
      </c>
      <c r="E3574" s="13" t="s">
        <v>3411</v>
      </c>
      <c r="F3574" s="15">
        <v>0</v>
      </c>
    </row>
    <row r="3575" spans="2:6" hidden="1" x14ac:dyDescent="0.2">
      <c r="B3575" s="14">
        <v>2013</v>
      </c>
      <c r="C3575" s="13" t="s">
        <v>3392</v>
      </c>
      <c r="D3575" s="13" t="s">
        <v>3412</v>
      </c>
      <c r="E3575" s="13" t="s">
        <v>3412</v>
      </c>
      <c r="F3575" s="15">
        <v>7</v>
      </c>
    </row>
    <row r="3576" spans="2:6" hidden="1" x14ac:dyDescent="0.2">
      <c r="B3576" s="14">
        <v>2013</v>
      </c>
      <c r="C3576" s="13" t="s">
        <v>3392</v>
      </c>
      <c r="D3576" s="13" t="s">
        <v>3412</v>
      </c>
      <c r="E3576" s="13" t="s">
        <v>3413</v>
      </c>
      <c r="F3576" s="15">
        <v>7</v>
      </c>
    </row>
    <row r="3577" spans="2:6" hidden="1" x14ac:dyDescent="0.2">
      <c r="B3577" s="14">
        <v>2013</v>
      </c>
      <c r="C3577" s="13" t="s">
        <v>3392</v>
      </c>
      <c r="D3577" s="13" t="s">
        <v>3412</v>
      </c>
      <c r="E3577" s="13" t="s">
        <v>3414</v>
      </c>
      <c r="F3577" s="15">
        <v>1</v>
      </c>
    </row>
    <row r="3578" spans="2:6" hidden="1" x14ac:dyDescent="0.2">
      <c r="B3578" s="14">
        <v>2013</v>
      </c>
      <c r="C3578" s="13" t="s">
        <v>3392</v>
      </c>
      <c r="D3578" s="13" t="s">
        <v>3412</v>
      </c>
      <c r="E3578" s="13" t="s">
        <v>3415</v>
      </c>
      <c r="F3578" s="15">
        <v>1</v>
      </c>
    </row>
    <row r="3579" spans="2:6" hidden="1" x14ac:dyDescent="0.2">
      <c r="B3579" s="14">
        <v>2013</v>
      </c>
      <c r="C3579" s="13" t="s">
        <v>3392</v>
      </c>
      <c r="D3579" s="13" t="s">
        <v>3412</v>
      </c>
      <c r="E3579" s="13" t="s">
        <v>3416</v>
      </c>
      <c r="F3579" s="15">
        <v>3</v>
      </c>
    </row>
    <row r="3580" spans="2:6" hidden="1" x14ac:dyDescent="0.2">
      <c r="B3580" s="14">
        <v>2013</v>
      </c>
      <c r="C3580" s="13" t="s">
        <v>3392</v>
      </c>
      <c r="D3580" s="13" t="s">
        <v>3412</v>
      </c>
      <c r="E3580" s="13" t="s">
        <v>3417</v>
      </c>
      <c r="F3580" s="15">
        <v>0</v>
      </c>
    </row>
    <row r="3581" spans="2:6" hidden="1" x14ac:dyDescent="0.2">
      <c r="B3581" s="14">
        <v>2013</v>
      </c>
      <c r="C3581" s="13" t="s">
        <v>3392</v>
      </c>
      <c r="D3581" s="13" t="s">
        <v>3412</v>
      </c>
      <c r="E3581" s="13" t="s">
        <v>3418</v>
      </c>
      <c r="F3581" s="15">
        <v>3</v>
      </c>
    </row>
    <row r="3582" spans="2:6" hidden="1" x14ac:dyDescent="0.2">
      <c r="B3582" s="14">
        <v>2013</v>
      </c>
      <c r="C3582" s="13" t="s">
        <v>3392</v>
      </c>
      <c r="D3582" s="13" t="s">
        <v>3412</v>
      </c>
      <c r="E3582" s="13" t="s">
        <v>3419</v>
      </c>
      <c r="F3582" s="15">
        <v>0</v>
      </c>
    </row>
    <row r="3583" spans="2:6" hidden="1" x14ac:dyDescent="0.2">
      <c r="B3583" s="14">
        <v>2013</v>
      </c>
      <c r="C3583" s="13" t="s">
        <v>3392</v>
      </c>
      <c r="D3583" s="13" t="s">
        <v>3412</v>
      </c>
      <c r="E3583" s="13" t="s">
        <v>3420</v>
      </c>
      <c r="F3583" s="15">
        <v>3</v>
      </c>
    </row>
    <row r="3584" spans="2:6" hidden="1" x14ac:dyDescent="0.2">
      <c r="B3584" s="14">
        <v>2013</v>
      </c>
      <c r="C3584" s="13" t="s">
        <v>3392</v>
      </c>
      <c r="D3584" s="13" t="s">
        <v>3412</v>
      </c>
      <c r="E3584" s="13" t="s">
        <v>3421</v>
      </c>
      <c r="F3584" s="15">
        <v>1</v>
      </c>
    </row>
    <row r="3585" spans="2:6" hidden="1" x14ac:dyDescent="0.2">
      <c r="B3585" s="14">
        <v>2013</v>
      </c>
      <c r="C3585" s="13" t="s">
        <v>3392</v>
      </c>
      <c r="D3585" s="13" t="s">
        <v>3412</v>
      </c>
      <c r="E3585" s="13" t="s">
        <v>3422</v>
      </c>
      <c r="F3585" s="15">
        <v>0</v>
      </c>
    </row>
    <row r="3586" spans="2:6" hidden="1" x14ac:dyDescent="0.2">
      <c r="B3586" s="14">
        <v>2013</v>
      </c>
      <c r="C3586" s="13" t="s">
        <v>3392</v>
      </c>
      <c r="D3586" s="13" t="s">
        <v>2145</v>
      </c>
      <c r="E3586" s="13" t="s">
        <v>3423</v>
      </c>
      <c r="F3586" s="15">
        <v>44</v>
      </c>
    </row>
    <row r="3587" spans="2:6" hidden="1" x14ac:dyDescent="0.2">
      <c r="B3587" s="14">
        <v>2013</v>
      </c>
      <c r="C3587" s="13" t="s">
        <v>3392</v>
      </c>
      <c r="D3587" s="13" t="s">
        <v>2145</v>
      </c>
      <c r="E3587" s="13" t="s">
        <v>3424</v>
      </c>
      <c r="F3587" s="15">
        <v>13</v>
      </c>
    </row>
    <row r="3588" spans="2:6" hidden="1" x14ac:dyDescent="0.2">
      <c r="B3588" s="14">
        <v>2013</v>
      </c>
      <c r="C3588" s="13" t="s">
        <v>3392</v>
      </c>
      <c r="D3588" s="13" t="s">
        <v>2145</v>
      </c>
      <c r="E3588" s="13" t="s">
        <v>3425</v>
      </c>
      <c r="F3588" s="15">
        <v>6</v>
      </c>
    </row>
    <row r="3589" spans="2:6" hidden="1" x14ac:dyDescent="0.2">
      <c r="B3589" s="14">
        <v>2013</v>
      </c>
      <c r="C3589" s="13" t="s">
        <v>3392</v>
      </c>
      <c r="D3589" s="13" t="s">
        <v>2145</v>
      </c>
      <c r="E3589" s="13" t="s">
        <v>3426</v>
      </c>
      <c r="F3589" s="15">
        <v>2</v>
      </c>
    </row>
    <row r="3590" spans="2:6" hidden="1" x14ac:dyDescent="0.2">
      <c r="B3590" s="14">
        <v>2013</v>
      </c>
      <c r="C3590" s="13" t="s">
        <v>3392</v>
      </c>
      <c r="D3590" s="13" t="s">
        <v>2145</v>
      </c>
      <c r="E3590" s="13" t="s">
        <v>3427</v>
      </c>
      <c r="F3590" s="15">
        <v>1</v>
      </c>
    </row>
    <row r="3591" spans="2:6" hidden="1" x14ac:dyDescent="0.2">
      <c r="B3591" s="14">
        <v>2013</v>
      </c>
      <c r="C3591" s="13" t="s">
        <v>3392</v>
      </c>
      <c r="D3591" s="13" t="s">
        <v>3428</v>
      </c>
      <c r="E3591" s="13" t="s">
        <v>3428</v>
      </c>
      <c r="F3591" s="15">
        <v>3</v>
      </c>
    </row>
    <row r="3592" spans="2:6" hidden="1" x14ac:dyDescent="0.2">
      <c r="B3592" s="14">
        <v>2013</v>
      </c>
      <c r="C3592" s="13" t="s">
        <v>3392</v>
      </c>
      <c r="D3592" s="13" t="s">
        <v>3428</v>
      </c>
      <c r="E3592" s="13" t="s">
        <v>3256</v>
      </c>
      <c r="F3592" s="15">
        <v>1</v>
      </c>
    </row>
    <row r="3593" spans="2:6" hidden="1" x14ac:dyDescent="0.2">
      <c r="B3593" s="14">
        <v>2013</v>
      </c>
      <c r="C3593" s="13" t="s">
        <v>3392</v>
      </c>
      <c r="D3593" s="13" t="s">
        <v>3428</v>
      </c>
      <c r="E3593" s="13" t="s">
        <v>3429</v>
      </c>
      <c r="F3593" s="15">
        <v>1</v>
      </c>
    </row>
    <row r="3594" spans="2:6" hidden="1" x14ac:dyDescent="0.2">
      <c r="B3594" s="14">
        <v>2013</v>
      </c>
      <c r="C3594" s="13" t="s">
        <v>3392</v>
      </c>
      <c r="D3594" s="13" t="s">
        <v>3428</v>
      </c>
      <c r="E3594" s="13" t="s">
        <v>3430</v>
      </c>
      <c r="F3594" s="15">
        <v>0</v>
      </c>
    </row>
    <row r="3595" spans="2:6" hidden="1" x14ac:dyDescent="0.2">
      <c r="B3595" s="14">
        <v>2013</v>
      </c>
      <c r="C3595" s="13" t="s">
        <v>3392</v>
      </c>
      <c r="D3595" s="13" t="s">
        <v>3428</v>
      </c>
      <c r="E3595" s="13" t="s">
        <v>3431</v>
      </c>
      <c r="F3595" s="15">
        <v>1</v>
      </c>
    </row>
    <row r="3596" spans="2:6" hidden="1" x14ac:dyDescent="0.2">
      <c r="B3596" s="14">
        <v>2013</v>
      </c>
      <c r="C3596" s="13" t="s">
        <v>3392</v>
      </c>
      <c r="D3596" s="13" t="s">
        <v>3428</v>
      </c>
      <c r="E3596" s="13" t="s">
        <v>1840</v>
      </c>
      <c r="F3596" s="15">
        <v>0</v>
      </c>
    </row>
    <row r="3597" spans="2:6" hidden="1" x14ac:dyDescent="0.2">
      <c r="B3597" s="14">
        <v>2013</v>
      </c>
      <c r="C3597" s="13" t="s">
        <v>3392</v>
      </c>
      <c r="D3597" s="13" t="s">
        <v>3428</v>
      </c>
      <c r="E3597" s="13" t="s">
        <v>3432</v>
      </c>
      <c r="F3597" s="15">
        <v>2</v>
      </c>
    </row>
    <row r="3598" spans="2:6" hidden="1" x14ac:dyDescent="0.2">
      <c r="B3598" s="14">
        <v>2013</v>
      </c>
      <c r="C3598" s="13" t="s">
        <v>3392</v>
      </c>
      <c r="D3598" s="13" t="s">
        <v>3428</v>
      </c>
      <c r="E3598" s="13" t="s">
        <v>3433</v>
      </c>
      <c r="F3598" s="15">
        <v>4</v>
      </c>
    </row>
    <row r="3599" spans="2:6" hidden="1" x14ac:dyDescent="0.2">
      <c r="B3599" s="14">
        <v>2013</v>
      </c>
      <c r="C3599" s="13" t="s">
        <v>3392</v>
      </c>
      <c r="D3599" s="13" t="s">
        <v>3428</v>
      </c>
      <c r="E3599" s="13" t="s">
        <v>3434</v>
      </c>
      <c r="F3599" s="15">
        <v>4</v>
      </c>
    </row>
    <row r="3600" spans="2:6" hidden="1" x14ac:dyDescent="0.2">
      <c r="B3600" s="14">
        <v>2013</v>
      </c>
      <c r="C3600" s="13" t="s">
        <v>3392</v>
      </c>
      <c r="D3600" s="13" t="s">
        <v>3428</v>
      </c>
      <c r="E3600" s="13" t="s">
        <v>3435</v>
      </c>
      <c r="F3600" s="15">
        <v>0</v>
      </c>
    </row>
    <row r="3601" spans="2:6" hidden="1" x14ac:dyDescent="0.2">
      <c r="B3601" s="14">
        <v>2013</v>
      </c>
      <c r="C3601" s="13" t="s">
        <v>3392</v>
      </c>
      <c r="D3601" s="13" t="s">
        <v>3436</v>
      </c>
      <c r="E3601" s="13" t="s">
        <v>3436</v>
      </c>
      <c r="F3601" s="15">
        <v>19</v>
      </c>
    </row>
    <row r="3602" spans="2:6" hidden="1" x14ac:dyDescent="0.2">
      <c r="B3602" s="14">
        <v>2013</v>
      </c>
      <c r="C3602" s="13" t="s">
        <v>3392</v>
      </c>
      <c r="D3602" s="13" t="s">
        <v>3436</v>
      </c>
      <c r="E3602" s="13" t="s">
        <v>3437</v>
      </c>
      <c r="F3602" s="15">
        <v>3</v>
      </c>
    </row>
    <row r="3603" spans="2:6" hidden="1" x14ac:dyDescent="0.2">
      <c r="B3603" s="14">
        <v>2013</v>
      </c>
      <c r="C3603" s="13" t="s">
        <v>3392</v>
      </c>
      <c r="D3603" s="13" t="s">
        <v>3436</v>
      </c>
      <c r="E3603" s="13" t="s">
        <v>3438</v>
      </c>
      <c r="F3603" s="15">
        <v>0</v>
      </c>
    </row>
    <row r="3604" spans="2:6" hidden="1" x14ac:dyDescent="0.2">
      <c r="B3604" s="14">
        <v>2013</v>
      </c>
      <c r="C3604" s="13" t="s">
        <v>3392</v>
      </c>
      <c r="D3604" s="13" t="s">
        <v>3436</v>
      </c>
      <c r="E3604" s="13" t="s">
        <v>3439</v>
      </c>
      <c r="F3604" s="15">
        <v>13</v>
      </c>
    </row>
    <row r="3605" spans="2:6" hidden="1" x14ac:dyDescent="0.2">
      <c r="B3605" s="14">
        <v>2013</v>
      </c>
      <c r="C3605" s="13" t="s">
        <v>3392</v>
      </c>
      <c r="D3605" s="13" t="s">
        <v>3436</v>
      </c>
      <c r="E3605" s="13" t="s">
        <v>3440</v>
      </c>
      <c r="F3605" s="15">
        <v>2</v>
      </c>
    </row>
    <row r="3606" spans="2:6" hidden="1" x14ac:dyDescent="0.2">
      <c r="B3606" s="14">
        <v>2013</v>
      </c>
      <c r="C3606" s="13" t="s">
        <v>3392</v>
      </c>
      <c r="D3606" s="13" t="s">
        <v>3436</v>
      </c>
      <c r="E3606" s="13" t="s">
        <v>3441</v>
      </c>
      <c r="F3606" s="15">
        <v>0</v>
      </c>
    </row>
    <row r="3607" spans="2:6" hidden="1" x14ac:dyDescent="0.2">
      <c r="B3607" s="14">
        <v>2013</v>
      </c>
      <c r="C3607" s="13" t="s">
        <v>3392</v>
      </c>
      <c r="D3607" s="13" t="s">
        <v>3436</v>
      </c>
      <c r="E3607" s="13" t="s">
        <v>3442</v>
      </c>
      <c r="F3607" s="15">
        <v>0</v>
      </c>
    </row>
    <row r="3608" spans="2:6" hidden="1" x14ac:dyDescent="0.2">
      <c r="B3608" s="14">
        <v>2013</v>
      </c>
      <c r="C3608" s="13" t="s">
        <v>3392</v>
      </c>
      <c r="D3608" s="13" t="s">
        <v>3436</v>
      </c>
      <c r="E3608" s="13" t="s">
        <v>3443</v>
      </c>
      <c r="F3608" s="15">
        <v>0</v>
      </c>
    </row>
    <row r="3609" spans="2:6" hidden="1" x14ac:dyDescent="0.2">
      <c r="B3609" s="14">
        <v>2013</v>
      </c>
      <c r="C3609" s="13" t="s">
        <v>3392</v>
      </c>
      <c r="D3609" s="13" t="s">
        <v>3436</v>
      </c>
      <c r="E3609" s="13" t="s">
        <v>3444</v>
      </c>
      <c r="F3609" s="15">
        <v>0</v>
      </c>
    </row>
    <row r="3610" spans="2:6" hidden="1" x14ac:dyDescent="0.2">
      <c r="B3610" s="14">
        <v>2013</v>
      </c>
      <c r="C3610" s="13" t="s">
        <v>3392</v>
      </c>
      <c r="D3610" s="13" t="s">
        <v>3392</v>
      </c>
      <c r="E3610" s="13" t="s">
        <v>3445</v>
      </c>
      <c r="F3610" s="15">
        <v>86</v>
      </c>
    </row>
    <row r="3611" spans="2:6" hidden="1" x14ac:dyDescent="0.2">
      <c r="B3611" s="14">
        <v>2013</v>
      </c>
      <c r="C3611" s="13" t="s">
        <v>3392</v>
      </c>
      <c r="D3611" s="13" t="s">
        <v>3392</v>
      </c>
      <c r="E3611" s="13" t="s">
        <v>3446</v>
      </c>
      <c r="F3611" s="15">
        <v>0</v>
      </c>
    </row>
    <row r="3612" spans="2:6" hidden="1" x14ac:dyDescent="0.2">
      <c r="B3612" s="14">
        <v>2013</v>
      </c>
      <c r="C3612" s="13" t="s">
        <v>3392</v>
      </c>
      <c r="D3612" s="13" t="s">
        <v>3392</v>
      </c>
      <c r="E3612" s="13" t="s">
        <v>3447</v>
      </c>
      <c r="F3612" s="15">
        <v>0</v>
      </c>
    </row>
    <row r="3613" spans="2:6" hidden="1" x14ac:dyDescent="0.2">
      <c r="B3613" s="14">
        <v>2013</v>
      </c>
      <c r="C3613" s="13" t="s">
        <v>3392</v>
      </c>
      <c r="D3613" s="13" t="s">
        <v>3392</v>
      </c>
      <c r="E3613" s="13" t="s">
        <v>3448</v>
      </c>
      <c r="F3613" s="15">
        <v>3</v>
      </c>
    </row>
    <row r="3614" spans="2:6" hidden="1" x14ac:dyDescent="0.2">
      <c r="B3614" s="14">
        <v>2013</v>
      </c>
      <c r="C3614" s="13" t="s">
        <v>3392</v>
      </c>
      <c r="D3614" s="13" t="s">
        <v>3392</v>
      </c>
      <c r="E3614" s="13" t="s">
        <v>3449</v>
      </c>
      <c r="F3614" s="15">
        <v>0</v>
      </c>
    </row>
    <row r="3615" spans="2:6" hidden="1" x14ac:dyDescent="0.2">
      <c r="B3615" s="14">
        <v>2013</v>
      </c>
      <c r="C3615" s="13" t="s">
        <v>3392</v>
      </c>
      <c r="D3615" s="13" t="s">
        <v>3392</v>
      </c>
      <c r="E3615" s="13" t="s">
        <v>2862</v>
      </c>
      <c r="F3615" s="15">
        <v>0</v>
      </c>
    </row>
    <row r="3616" spans="2:6" hidden="1" x14ac:dyDescent="0.2">
      <c r="B3616" s="14">
        <v>2013</v>
      </c>
      <c r="C3616" s="13" t="s">
        <v>3392</v>
      </c>
      <c r="D3616" s="13" t="s">
        <v>3392</v>
      </c>
      <c r="E3616" s="13" t="s">
        <v>3450</v>
      </c>
      <c r="F3616" s="15">
        <v>3</v>
      </c>
    </row>
    <row r="3617" spans="2:6" hidden="1" x14ac:dyDescent="0.2">
      <c r="B3617" s="14">
        <v>2013</v>
      </c>
      <c r="C3617" s="13" t="s">
        <v>3392</v>
      </c>
      <c r="D3617" s="13" t="s">
        <v>3392</v>
      </c>
      <c r="E3617" s="13" t="s">
        <v>3451</v>
      </c>
      <c r="F3617" s="15">
        <v>1</v>
      </c>
    </row>
    <row r="3618" spans="2:6" hidden="1" x14ac:dyDescent="0.2">
      <c r="B3618" s="14">
        <v>2013</v>
      </c>
      <c r="C3618" s="13" t="s">
        <v>3392</v>
      </c>
      <c r="D3618" s="13" t="s">
        <v>3392</v>
      </c>
      <c r="E3618" s="13" t="s">
        <v>3452</v>
      </c>
      <c r="F3618" s="15">
        <v>24</v>
      </c>
    </row>
    <row r="3619" spans="2:6" hidden="1" x14ac:dyDescent="0.2">
      <c r="B3619" s="14">
        <v>2013</v>
      </c>
      <c r="C3619" s="13" t="s">
        <v>3392</v>
      </c>
      <c r="D3619" s="13" t="s">
        <v>3392</v>
      </c>
      <c r="E3619" s="13" t="s">
        <v>3453</v>
      </c>
      <c r="F3619" s="15">
        <v>19</v>
      </c>
    </row>
    <row r="3620" spans="2:6" hidden="1" x14ac:dyDescent="0.2">
      <c r="B3620" s="14">
        <v>2013</v>
      </c>
      <c r="C3620" s="13" t="s">
        <v>3392</v>
      </c>
      <c r="D3620" s="13" t="s">
        <v>3392</v>
      </c>
      <c r="E3620" s="13" t="s">
        <v>3454</v>
      </c>
      <c r="F3620" s="15">
        <v>0</v>
      </c>
    </row>
    <row r="3621" spans="2:6" hidden="1" x14ac:dyDescent="0.2">
      <c r="B3621" s="14">
        <v>2013</v>
      </c>
      <c r="C3621" s="13" t="s">
        <v>3392</v>
      </c>
      <c r="D3621" s="13" t="s">
        <v>3392</v>
      </c>
      <c r="E3621" s="13" t="s">
        <v>2108</v>
      </c>
      <c r="F3621" s="15">
        <v>0</v>
      </c>
    </row>
    <row r="3622" spans="2:6" hidden="1" x14ac:dyDescent="0.2">
      <c r="B3622" s="14">
        <v>2013</v>
      </c>
      <c r="C3622" s="13" t="s">
        <v>3392</v>
      </c>
      <c r="D3622" s="13" t="s">
        <v>3392</v>
      </c>
      <c r="E3622" s="13" t="s">
        <v>3455</v>
      </c>
      <c r="F3622" s="15">
        <v>12</v>
      </c>
    </row>
    <row r="3623" spans="2:6" hidden="1" x14ac:dyDescent="0.2">
      <c r="B3623" s="14">
        <v>2013</v>
      </c>
      <c r="C3623" s="13" t="s">
        <v>3392</v>
      </c>
      <c r="D3623" s="13" t="s">
        <v>3392</v>
      </c>
      <c r="E3623" s="13" t="s">
        <v>3456</v>
      </c>
      <c r="F3623" s="15">
        <v>0</v>
      </c>
    </row>
    <row r="3624" spans="2:6" hidden="1" x14ac:dyDescent="0.2">
      <c r="B3624" s="14">
        <v>2013</v>
      </c>
      <c r="C3624" s="13" t="s">
        <v>3392</v>
      </c>
      <c r="D3624" s="13" t="s">
        <v>3457</v>
      </c>
      <c r="E3624" s="13" t="s">
        <v>3457</v>
      </c>
      <c r="F3624" s="15">
        <v>14</v>
      </c>
    </row>
    <row r="3625" spans="2:6" hidden="1" x14ac:dyDescent="0.2">
      <c r="B3625" s="14">
        <v>2013</v>
      </c>
      <c r="C3625" s="13" t="s">
        <v>3392</v>
      </c>
      <c r="D3625" s="13" t="s">
        <v>3457</v>
      </c>
      <c r="E3625" s="13" t="s">
        <v>3458</v>
      </c>
      <c r="F3625" s="15">
        <v>2</v>
      </c>
    </row>
    <row r="3626" spans="2:6" hidden="1" x14ac:dyDescent="0.2">
      <c r="B3626" s="14">
        <v>2013</v>
      </c>
      <c r="C3626" s="13" t="s">
        <v>3392</v>
      </c>
      <c r="D3626" s="13" t="s">
        <v>3457</v>
      </c>
      <c r="E3626" s="13" t="s">
        <v>3459</v>
      </c>
      <c r="F3626" s="15">
        <v>0</v>
      </c>
    </row>
    <row r="3627" spans="2:6" hidden="1" x14ac:dyDescent="0.2">
      <c r="B3627" s="14">
        <v>2013</v>
      </c>
      <c r="C3627" s="13" t="s">
        <v>3392</v>
      </c>
      <c r="D3627" s="13" t="s">
        <v>3457</v>
      </c>
      <c r="E3627" s="13" t="s">
        <v>3460</v>
      </c>
      <c r="F3627" s="15">
        <v>0</v>
      </c>
    </row>
    <row r="3628" spans="2:6" hidden="1" x14ac:dyDescent="0.2">
      <c r="B3628" s="14">
        <v>2013</v>
      </c>
      <c r="C3628" s="13" t="s">
        <v>3392</v>
      </c>
      <c r="D3628" s="13" t="s">
        <v>3457</v>
      </c>
      <c r="E3628" s="13" t="s">
        <v>3461</v>
      </c>
      <c r="F3628" s="15">
        <v>3</v>
      </c>
    </row>
    <row r="3629" spans="2:6" hidden="1" x14ac:dyDescent="0.2">
      <c r="B3629" s="14">
        <v>2013</v>
      </c>
      <c r="C3629" s="13" t="s">
        <v>3462</v>
      </c>
      <c r="D3629" s="13" t="s">
        <v>3462</v>
      </c>
      <c r="E3629" s="13" t="s">
        <v>3462</v>
      </c>
      <c r="F3629" s="15">
        <v>38</v>
      </c>
    </row>
    <row r="3630" spans="2:6" hidden="1" x14ac:dyDescent="0.2">
      <c r="B3630" s="14">
        <v>2013</v>
      </c>
      <c r="C3630" s="13" t="s">
        <v>3462</v>
      </c>
      <c r="D3630" s="13" t="s">
        <v>3462</v>
      </c>
      <c r="E3630" s="13" t="s">
        <v>3463</v>
      </c>
      <c r="F3630" s="15">
        <v>6</v>
      </c>
    </row>
    <row r="3631" spans="2:6" hidden="1" x14ac:dyDescent="0.2">
      <c r="B3631" s="14">
        <v>2013</v>
      </c>
      <c r="C3631" s="13" t="s">
        <v>3462</v>
      </c>
      <c r="D3631" s="13" t="s">
        <v>3462</v>
      </c>
      <c r="E3631" s="13" t="s">
        <v>3464</v>
      </c>
      <c r="F3631" s="15">
        <v>3</v>
      </c>
    </row>
    <row r="3632" spans="2:6" hidden="1" x14ac:dyDescent="0.2">
      <c r="B3632" s="14">
        <v>2013</v>
      </c>
      <c r="C3632" s="13" t="s">
        <v>3462</v>
      </c>
      <c r="D3632" s="13" t="s">
        <v>3462</v>
      </c>
      <c r="E3632" s="13" t="s">
        <v>3465</v>
      </c>
      <c r="F3632" s="15">
        <v>4</v>
      </c>
    </row>
    <row r="3633" spans="2:6" hidden="1" x14ac:dyDescent="0.2">
      <c r="B3633" s="14">
        <v>2013</v>
      </c>
      <c r="C3633" s="13" t="s">
        <v>3462</v>
      </c>
      <c r="D3633" s="13" t="s">
        <v>3462</v>
      </c>
      <c r="E3633" s="13" t="s">
        <v>3466</v>
      </c>
      <c r="F3633" s="15">
        <v>0</v>
      </c>
    </row>
    <row r="3634" spans="2:6" hidden="1" x14ac:dyDescent="0.2">
      <c r="B3634" s="14">
        <v>2013</v>
      </c>
      <c r="C3634" s="13" t="s">
        <v>3462</v>
      </c>
      <c r="D3634" s="13" t="s">
        <v>3462</v>
      </c>
      <c r="E3634" s="13" t="s">
        <v>3467</v>
      </c>
      <c r="F3634" s="15">
        <v>1</v>
      </c>
    </row>
    <row r="3635" spans="2:6" hidden="1" x14ac:dyDescent="0.2">
      <c r="B3635" s="14">
        <v>2013</v>
      </c>
      <c r="C3635" s="13" t="s">
        <v>3462</v>
      </c>
      <c r="D3635" s="13" t="s">
        <v>3462</v>
      </c>
      <c r="E3635" s="13" t="s">
        <v>2566</v>
      </c>
      <c r="F3635" s="15">
        <v>0</v>
      </c>
    </row>
    <row r="3636" spans="2:6" hidden="1" x14ac:dyDescent="0.2">
      <c r="B3636" s="14">
        <v>2013</v>
      </c>
      <c r="C3636" s="13" t="s">
        <v>3462</v>
      </c>
      <c r="D3636" s="13" t="s">
        <v>3462</v>
      </c>
      <c r="E3636" s="13" t="s">
        <v>3468</v>
      </c>
      <c r="F3636" s="15">
        <v>7</v>
      </c>
    </row>
    <row r="3637" spans="2:6" hidden="1" x14ac:dyDescent="0.2">
      <c r="B3637" s="14">
        <v>2013</v>
      </c>
      <c r="C3637" s="13" t="s">
        <v>3462</v>
      </c>
      <c r="D3637" s="13" t="s">
        <v>3462</v>
      </c>
      <c r="E3637" s="13" t="s">
        <v>3469</v>
      </c>
      <c r="F3637" s="15">
        <v>9</v>
      </c>
    </row>
    <row r="3638" spans="2:6" hidden="1" x14ac:dyDescent="0.2">
      <c r="B3638" s="14">
        <v>2013</v>
      </c>
      <c r="C3638" s="13" t="s">
        <v>3462</v>
      </c>
      <c r="D3638" s="13" t="s">
        <v>3462</v>
      </c>
      <c r="E3638" s="13" t="s">
        <v>3470</v>
      </c>
      <c r="F3638" s="15">
        <v>89</v>
      </c>
    </row>
    <row r="3639" spans="2:6" hidden="1" x14ac:dyDescent="0.2">
      <c r="B3639" s="14">
        <v>2013</v>
      </c>
      <c r="C3639" s="13" t="s">
        <v>3462</v>
      </c>
      <c r="D3639" s="13" t="s">
        <v>3471</v>
      </c>
      <c r="E3639" s="13" t="s">
        <v>3471</v>
      </c>
      <c r="F3639" s="15">
        <v>0</v>
      </c>
    </row>
    <row r="3640" spans="2:6" hidden="1" x14ac:dyDescent="0.2">
      <c r="B3640" s="14">
        <v>2013</v>
      </c>
      <c r="C3640" s="13" t="s">
        <v>3462</v>
      </c>
      <c r="D3640" s="13" t="s">
        <v>3471</v>
      </c>
      <c r="E3640" s="13" t="s">
        <v>3472</v>
      </c>
      <c r="F3640" s="15">
        <v>0</v>
      </c>
    </row>
    <row r="3641" spans="2:6" hidden="1" x14ac:dyDescent="0.2">
      <c r="B3641" s="14">
        <v>2013</v>
      </c>
      <c r="C3641" s="13" t="s">
        <v>3462</v>
      </c>
      <c r="D3641" s="13" t="s">
        <v>3471</v>
      </c>
      <c r="E3641" s="13" t="s">
        <v>3473</v>
      </c>
      <c r="F3641" s="15">
        <v>0</v>
      </c>
    </row>
    <row r="3642" spans="2:6" hidden="1" x14ac:dyDescent="0.2">
      <c r="B3642" s="14">
        <v>2013</v>
      </c>
      <c r="C3642" s="13" t="s">
        <v>3462</v>
      </c>
      <c r="D3642" s="13" t="s">
        <v>3471</v>
      </c>
      <c r="E3642" s="13" t="s">
        <v>3474</v>
      </c>
      <c r="F3642" s="15">
        <v>0</v>
      </c>
    </row>
    <row r="3643" spans="2:6" hidden="1" x14ac:dyDescent="0.2">
      <c r="B3643" s="14">
        <v>2013</v>
      </c>
      <c r="C3643" s="13" t="s">
        <v>3462</v>
      </c>
      <c r="D3643" s="13" t="s">
        <v>3471</v>
      </c>
      <c r="E3643" s="13" t="s">
        <v>3475</v>
      </c>
      <c r="F3643" s="15">
        <v>0</v>
      </c>
    </row>
    <row r="3644" spans="2:6" hidden="1" x14ac:dyDescent="0.2">
      <c r="B3644" s="14">
        <v>2013</v>
      </c>
      <c r="C3644" s="13" t="s">
        <v>3462</v>
      </c>
      <c r="D3644" s="13" t="s">
        <v>3471</v>
      </c>
      <c r="E3644" s="13" t="s">
        <v>3476</v>
      </c>
      <c r="F3644" s="15">
        <v>0</v>
      </c>
    </row>
    <row r="3645" spans="2:6" hidden="1" x14ac:dyDescent="0.2">
      <c r="B3645" s="14">
        <v>2013</v>
      </c>
      <c r="C3645" s="13" t="s">
        <v>3462</v>
      </c>
      <c r="D3645" s="13" t="s">
        <v>3477</v>
      </c>
      <c r="E3645" s="13" t="s">
        <v>3478</v>
      </c>
      <c r="F3645" s="15">
        <v>6</v>
      </c>
    </row>
    <row r="3646" spans="2:6" hidden="1" x14ac:dyDescent="0.2">
      <c r="B3646" s="14">
        <v>2013</v>
      </c>
      <c r="C3646" s="13" t="s">
        <v>3462</v>
      </c>
      <c r="D3646" s="13" t="s">
        <v>3477</v>
      </c>
      <c r="E3646" s="13" t="s">
        <v>3479</v>
      </c>
      <c r="F3646" s="15">
        <v>1</v>
      </c>
    </row>
    <row r="3647" spans="2:6" hidden="1" x14ac:dyDescent="0.2">
      <c r="B3647" s="14">
        <v>2013</v>
      </c>
      <c r="C3647" s="13" t="s">
        <v>3462</v>
      </c>
      <c r="D3647" s="13" t="s">
        <v>3477</v>
      </c>
      <c r="E3647" s="13" t="s">
        <v>3480</v>
      </c>
      <c r="F3647" s="15">
        <v>0</v>
      </c>
    </row>
    <row r="3648" spans="2:6" hidden="1" x14ac:dyDescent="0.2">
      <c r="B3648" s="14">
        <v>2013</v>
      </c>
      <c r="C3648" s="13" t="s">
        <v>3462</v>
      </c>
      <c r="D3648" s="13" t="s">
        <v>3481</v>
      </c>
      <c r="E3648" s="13" t="s">
        <v>3481</v>
      </c>
      <c r="F3648" s="15">
        <v>0</v>
      </c>
    </row>
    <row r="3649" spans="2:6" hidden="1" x14ac:dyDescent="0.2">
      <c r="B3649" s="14">
        <v>2013</v>
      </c>
      <c r="C3649" s="13" t="s">
        <v>3462</v>
      </c>
      <c r="D3649" s="13" t="s">
        <v>3481</v>
      </c>
      <c r="E3649" s="13" t="s">
        <v>3482</v>
      </c>
      <c r="F3649" s="15">
        <v>0</v>
      </c>
    </row>
    <row r="3650" spans="2:6" hidden="1" x14ac:dyDescent="0.2">
      <c r="B3650" s="14">
        <v>2013</v>
      </c>
      <c r="C3650" s="13" t="s">
        <v>3462</v>
      </c>
      <c r="D3650" s="13" t="s">
        <v>3481</v>
      </c>
      <c r="E3650" s="13" t="s">
        <v>3483</v>
      </c>
      <c r="F3650" s="15">
        <v>0</v>
      </c>
    </row>
    <row r="3651" spans="2:6" hidden="1" x14ac:dyDescent="0.2">
      <c r="B3651" s="14">
        <v>2013</v>
      </c>
      <c r="C3651" s="13" t="s">
        <v>3462</v>
      </c>
      <c r="D3651" s="13" t="s">
        <v>3481</v>
      </c>
      <c r="E3651" s="13" t="s">
        <v>3484</v>
      </c>
      <c r="F3651" s="15">
        <v>0</v>
      </c>
    </row>
    <row r="3652" spans="2:6" hidden="1" x14ac:dyDescent="0.2">
      <c r="B3652" s="14">
        <v>2013</v>
      </c>
      <c r="C3652" s="13" t="s">
        <v>3462</v>
      </c>
      <c r="D3652" s="13" t="s">
        <v>3481</v>
      </c>
      <c r="E3652" s="13" t="s">
        <v>3485</v>
      </c>
      <c r="F3652" s="15">
        <v>0</v>
      </c>
    </row>
    <row r="3653" spans="2:6" hidden="1" x14ac:dyDescent="0.2">
      <c r="B3653" s="14">
        <v>2013</v>
      </c>
      <c r="C3653" s="13" t="s">
        <v>3462</v>
      </c>
      <c r="D3653" s="13" t="s">
        <v>3481</v>
      </c>
      <c r="E3653" s="13" t="s">
        <v>3486</v>
      </c>
      <c r="F3653" s="15">
        <v>0</v>
      </c>
    </row>
    <row r="3654" spans="2:6" hidden="1" x14ac:dyDescent="0.2">
      <c r="B3654" s="14">
        <v>2013</v>
      </c>
      <c r="C3654" s="13" t="s">
        <v>3462</v>
      </c>
      <c r="D3654" s="13" t="s">
        <v>3481</v>
      </c>
      <c r="E3654" s="13" t="s">
        <v>3487</v>
      </c>
      <c r="F3654" s="15">
        <v>0</v>
      </c>
    </row>
    <row r="3655" spans="2:6" hidden="1" x14ac:dyDescent="0.2">
      <c r="B3655" s="14">
        <v>2013</v>
      </c>
      <c r="C3655" s="13" t="s">
        <v>3462</v>
      </c>
      <c r="D3655" s="13" t="s">
        <v>3481</v>
      </c>
      <c r="E3655" s="13" t="s">
        <v>3488</v>
      </c>
      <c r="F3655" s="15">
        <v>0</v>
      </c>
    </row>
    <row r="3656" spans="2:6" hidden="1" x14ac:dyDescent="0.2">
      <c r="B3656" s="14">
        <v>2013</v>
      </c>
      <c r="C3656" s="13" t="s">
        <v>3489</v>
      </c>
      <c r="D3656" s="13" t="s">
        <v>3489</v>
      </c>
      <c r="E3656" s="13" t="s">
        <v>3489</v>
      </c>
      <c r="F3656" s="15">
        <v>5</v>
      </c>
    </row>
    <row r="3657" spans="2:6" hidden="1" x14ac:dyDescent="0.2">
      <c r="B3657" s="14">
        <v>2013</v>
      </c>
      <c r="C3657" s="13" t="s">
        <v>3489</v>
      </c>
      <c r="D3657" s="13" t="s">
        <v>3489</v>
      </c>
      <c r="E3657" s="13" t="s">
        <v>3490</v>
      </c>
      <c r="F3657" s="15">
        <v>11</v>
      </c>
    </row>
    <row r="3658" spans="2:6" hidden="1" x14ac:dyDescent="0.2">
      <c r="B3658" s="14">
        <v>2013</v>
      </c>
      <c r="C3658" s="13" t="s">
        <v>3489</v>
      </c>
      <c r="D3658" s="13" t="s">
        <v>3489</v>
      </c>
      <c r="E3658" s="13" t="s">
        <v>3491</v>
      </c>
      <c r="F3658" s="15">
        <v>2</v>
      </c>
    </row>
    <row r="3659" spans="2:6" hidden="1" x14ac:dyDescent="0.2">
      <c r="B3659" s="14">
        <v>2013</v>
      </c>
      <c r="C3659" s="13" t="s">
        <v>3489</v>
      </c>
      <c r="D3659" s="13" t="s">
        <v>3489</v>
      </c>
      <c r="E3659" s="13" t="s">
        <v>3492</v>
      </c>
      <c r="F3659" s="15">
        <v>4</v>
      </c>
    </row>
    <row r="3660" spans="2:6" hidden="1" x14ac:dyDescent="0.2">
      <c r="B3660" s="14">
        <v>2013</v>
      </c>
      <c r="C3660" s="13" t="s">
        <v>3489</v>
      </c>
      <c r="D3660" s="13" t="s">
        <v>3489</v>
      </c>
      <c r="E3660" s="13" t="s">
        <v>3493</v>
      </c>
      <c r="F3660" s="15">
        <v>1</v>
      </c>
    </row>
    <row r="3661" spans="2:6" hidden="1" x14ac:dyDescent="0.2">
      <c r="B3661" s="14">
        <v>2013</v>
      </c>
      <c r="C3661" s="13" t="s">
        <v>3489</v>
      </c>
      <c r="D3661" s="13" t="s">
        <v>3489</v>
      </c>
      <c r="E3661" s="13" t="s">
        <v>3494</v>
      </c>
      <c r="F3661" s="15">
        <v>0</v>
      </c>
    </row>
    <row r="3662" spans="2:6" hidden="1" x14ac:dyDescent="0.2">
      <c r="B3662" s="14">
        <v>2013</v>
      </c>
      <c r="C3662" s="13" t="s">
        <v>3489</v>
      </c>
      <c r="D3662" s="13" t="s">
        <v>3495</v>
      </c>
      <c r="E3662" s="13" t="s">
        <v>3496</v>
      </c>
      <c r="F3662" s="15">
        <v>2</v>
      </c>
    </row>
    <row r="3663" spans="2:6" hidden="1" x14ac:dyDescent="0.2">
      <c r="B3663" s="14">
        <v>2013</v>
      </c>
      <c r="C3663" s="13" t="s">
        <v>3489</v>
      </c>
      <c r="D3663" s="13" t="s">
        <v>3495</v>
      </c>
      <c r="E3663" s="13" t="s">
        <v>3497</v>
      </c>
      <c r="F3663" s="15">
        <v>5</v>
      </c>
    </row>
    <row r="3664" spans="2:6" hidden="1" x14ac:dyDescent="0.2">
      <c r="B3664" s="14">
        <v>2013</v>
      </c>
      <c r="C3664" s="13" t="s">
        <v>3489</v>
      </c>
      <c r="D3664" s="13" t="s">
        <v>3495</v>
      </c>
      <c r="E3664" s="13" t="s">
        <v>3498</v>
      </c>
      <c r="F3664" s="15">
        <v>3</v>
      </c>
    </row>
    <row r="3665" spans="2:6" hidden="1" x14ac:dyDescent="0.2">
      <c r="B3665" s="14">
        <v>2013</v>
      </c>
      <c r="C3665" s="13" t="s">
        <v>3489</v>
      </c>
      <c r="D3665" s="13" t="s">
        <v>3499</v>
      </c>
      <c r="E3665" s="13" t="s">
        <v>3499</v>
      </c>
      <c r="F3665" s="15">
        <v>14</v>
      </c>
    </row>
    <row r="3666" spans="2:6" hidden="1" x14ac:dyDescent="0.2">
      <c r="B3666" s="14">
        <v>2013</v>
      </c>
      <c r="C3666" s="13" t="s">
        <v>3489</v>
      </c>
      <c r="D3666" s="13" t="s">
        <v>3499</v>
      </c>
      <c r="E3666" s="13" t="s">
        <v>3500</v>
      </c>
      <c r="F3666" s="15">
        <v>10</v>
      </c>
    </row>
    <row r="3667" spans="2:6" hidden="1" x14ac:dyDescent="0.2">
      <c r="B3667" s="14">
        <v>2013</v>
      </c>
      <c r="C3667" s="13" t="s">
        <v>3489</v>
      </c>
      <c r="D3667" s="13" t="s">
        <v>3499</v>
      </c>
      <c r="E3667" s="13" t="s">
        <v>3501</v>
      </c>
      <c r="F3667" s="15">
        <v>2</v>
      </c>
    </row>
    <row r="3668" spans="2:6" hidden="1" x14ac:dyDescent="0.2">
      <c r="B3668" s="14">
        <v>2013</v>
      </c>
      <c r="C3668" s="13" t="s">
        <v>3489</v>
      </c>
      <c r="D3668" s="13" t="s">
        <v>3499</v>
      </c>
      <c r="E3668" s="13" t="s">
        <v>3502</v>
      </c>
      <c r="F3668" s="15">
        <v>0</v>
      </c>
    </row>
    <row r="3669" spans="2:6" hidden="1" x14ac:dyDescent="0.2">
      <c r="B3669" s="14">
        <v>2013</v>
      </c>
      <c r="C3669" s="13" t="s">
        <v>3159</v>
      </c>
      <c r="D3669" s="13" t="s">
        <v>3503</v>
      </c>
      <c r="E3669" s="13" t="s">
        <v>3504</v>
      </c>
      <c r="F3669" s="15">
        <v>208</v>
      </c>
    </row>
    <row r="3670" spans="2:6" hidden="1" x14ac:dyDescent="0.2">
      <c r="B3670" s="14">
        <v>2013</v>
      </c>
      <c r="C3670" s="13" t="s">
        <v>3159</v>
      </c>
      <c r="D3670" s="13" t="s">
        <v>3503</v>
      </c>
      <c r="E3670" s="13" t="s">
        <v>3505</v>
      </c>
      <c r="F3670" s="15">
        <v>2</v>
      </c>
    </row>
    <row r="3671" spans="2:6" hidden="1" x14ac:dyDescent="0.2">
      <c r="B3671" s="14">
        <v>2013</v>
      </c>
      <c r="C3671" s="13" t="s">
        <v>3159</v>
      </c>
      <c r="D3671" s="13" t="s">
        <v>3503</v>
      </c>
      <c r="E3671" s="13" t="s">
        <v>3506</v>
      </c>
      <c r="F3671" s="15">
        <v>0</v>
      </c>
    </row>
    <row r="3672" spans="2:6" hidden="1" x14ac:dyDescent="0.2">
      <c r="B3672" s="14">
        <v>2013</v>
      </c>
      <c r="C3672" s="13" t="s">
        <v>3159</v>
      </c>
      <c r="D3672" s="13" t="s">
        <v>3503</v>
      </c>
      <c r="E3672" s="13" t="s">
        <v>3507</v>
      </c>
      <c r="F3672" s="15">
        <v>2</v>
      </c>
    </row>
    <row r="3673" spans="2:6" hidden="1" x14ac:dyDescent="0.2">
      <c r="B3673" s="14">
        <v>2013</v>
      </c>
      <c r="C3673" s="13" t="s">
        <v>3159</v>
      </c>
      <c r="D3673" s="13" t="s">
        <v>3503</v>
      </c>
      <c r="E3673" s="13" t="s">
        <v>3508</v>
      </c>
      <c r="F3673" s="15">
        <v>21</v>
      </c>
    </row>
    <row r="3674" spans="2:6" hidden="1" x14ac:dyDescent="0.2">
      <c r="B3674" s="14">
        <v>2013</v>
      </c>
      <c r="C3674" s="13" t="s">
        <v>3159</v>
      </c>
      <c r="D3674" s="13" t="s">
        <v>3503</v>
      </c>
      <c r="E3674" s="13" t="s">
        <v>3509</v>
      </c>
      <c r="F3674" s="15">
        <v>2</v>
      </c>
    </row>
    <row r="3675" spans="2:6" hidden="1" x14ac:dyDescent="0.2">
      <c r="B3675" s="14">
        <v>2013</v>
      </c>
      <c r="C3675" s="13" t="s">
        <v>3159</v>
      </c>
      <c r="D3675" s="13" t="s">
        <v>3503</v>
      </c>
      <c r="E3675" s="13" t="s">
        <v>3510</v>
      </c>
      <c r="F3675" s="15">
        <v>22</v>
      </c>
    </row>
    <row r="3676" spans="2:6" hidden="1" x14ac:dyDescent="0.2">
      <c r="B3676" s="14">
        <v>2013</v>
      </c>
      <c r="C3676" s="13" t="s">
        <v>3159</v>
      </c>
      <c r="D3676" s="13" t="s">
        <v>3511</v>
      </c>
      <c r="E3676" s="13" t="s">
        <v>3512</v>
      </c>
      <c r="F3676" s="15">
        <v>4</v>
      </c>
    </row>
    <row r="3677" spans="2:6" hidden="1" x14ac:dyDescent="0.2">
      <c r="B3677" s="14">
        <v>2013</v>
      </c>
      <c r="C3677" s="13" t="s">
        <v>3159</v>
      </c>
      <c r="D3677" s="13" t="s">
        <v>3511</v>
      </c>
      <c r="E3677" s="13" t="s">
        <v>3513</v>
      </c>
      <c r="F3677" s="15">
        <v>2</v>
      </c>
    </row>
    <row r="3678" spans="2:6" hidden="1" x14ac:dyDescent="0.2">
      <c r="B3678" s="14">
        <v>2013</v>
      </c>
      <c r="C3678" s="13" t="s">
        <v>3159</v>
      </c>
      <c r="D3678" s="13" t="s">
        <v>3511</v>
      </c>
      <c r="E3678" s="13" t="s">
        <v>3514</v>
      </c>
      <c r="F3678" s="15">
        <v>0</v>
      </c>
    </row>
    <row r="3679" spans="2:6" hidden="1" x14ac:dyDescent="0.2">
      <c r="B3679" s="14">
        <v>2013</v>
      </c>
      <c r="C3679" s="13" t="s">
        <v>3159</v>
      </c>
      <c r="D3679" s="13" t="s">
        <v>3511</v>
      </c>
      <c r="E3679" s="13" t="s">
        <v>3515</v>
      </c>
      <c r="F3679" s="15">
        <v>0</v>
      </c>
    </row>
    <row r="3680" spans="2:6" hidden="1" x14ac:dyDescent="0.2">
      <c r="B3680" s="14">
        <v>2013</v>
      </c>
      <c r="C3680" s="13" t="s">
        <v>3159</v>
      </c>
      <c r="D3680" s="13" t="s">
        <v>3516</v>
      </c>
      <c r="E3680" s="13" t="s">
        <v>3516</v>
      </c>
      <c r="F3680" s="15">
        <v>8</v>
      </c>
    </row>
    <row r="3681" spans="2:18" hidden="1" x14ac:dyDescent="0.2">
      <c r="B3681" s="14">
        <v>2013</v>
      </c>
      <c r="C3681" s="13" t="s">
        <v>3159</v>
      </c>
      <c r="D3681" s="13" t="s">
        <v>3516</v>
      </c>
      <c r="E3681" s="13" t="s">
        <v>3517</v>
      </c>
      <c r="F3681" s="15">
        <v>8</v>
      </c>
    </row>
    <row r="3682" spans="2:18" hidden="1" x14ac:dyDescent="0.2">
      <c r="B3682" s="14">
        <v>2013</v>
      </c>
      <c r="C3682" s="13" t="s">
        <v>3159</v>
      </c>
      <c r="D3682" s="13" t="s">
        <v>3516</v>
      </c>
      <c r="E3682" s="13" t="s">
        <v>3518</v>
      </c>
      <c r="F3682" s="15">
        <v>4</v>
      </c>
    </row>
    <row r="3683" spans="2:18" hidden="1" x14ac:dyDescent="0.2">
      <c r="B3683" s="14">
        <v>2013</v>
      </c>
      <c r="C3683" s="13" t="s">
        <v>3159</v>
      </c>
      <c r="D3683" s="13" t="s">
        <v>3519</v>
      </c>
      <c r="E3683" s="13" t="s">
        <v>3519</v>
      </c>
      <c r="F3683" s="15">
        <v>0</v>
      </c>
    </row>
    <row r="3691" spans="2:18" x14ac:dyDescent="0.2">
      <c r="K3691" s="38">
        <v>2012</v>
      </c>
      <c r="L3691" s="38">
        <v>2013</v>
      </c>
      <c r="M3691" s="38">
        <v>2014</v>
      </c>
    </row>
    <row r="3692" spans="2:18" x14ac:dyDescent="0.2">
      <c r="J3692" s="290" t="s">
        <v>3638</v>
      </c>
      <c r="K3692" s="289">
        <v>989</v>
      </c>
      <c r="L3692" s="289">
        <v>1130</v>
      </c>
      <c r="M3692" s="289">
        <v>972</v>
      </c>
    </row>
    <row r="3693" spans="2:18" x14ac:dyDescent="0.2">
      <c r="J3693" s="290"/>
      <c r="K3693" s="289"/>
      <c r="L3693" s="289"/>
      <c r="M3693" s="289"/>
    </row>
    <row r="3694" spans="2:18" x14ac:dyDescent="0.2">
      <c r="J3694" s="38" t="s">
        <v>3639</v>
      </c>
      <c r="K3694" s="40" t="s">
        <v>3633</v>
      </c>
      <c r="L3694" s="9">
        <v>0.1426</v>
      </c>
      <c r="M3694" s="9">
        <v>-0.13980000000000001</v>
      </c>
    </row>
    <row r="3696" spans="2:18" x14ac:dyDescent="0.2">
      <c r="K3696" s="38">
        <v>2015</v>
      </c>
      <c r="L3696" s="38">
        <v>2016</v>
      </c>
      <c r="M3696" s="38">
        <v>2017</v>
      </c>
      <c r="N3696" s="38">
        <v>2018</v>
      </c>
      <c r="O3696" s="38">
        <v>2019</v>
      </c>
      <c r="P3696" s="38">
        <v>2020</v>
      </c>
      <c r="Q3696" s="38">
        <v>2021</v>
      </c>
      <c r="R3696" s="129">
        <v>2022</v>
      </c>
    </row>
    <row r="3697" spans="10:18" x14ac:dyDescent="0.2">
      <c r="J3697" s="290" t="s">
        <v>3638</v>
      </c>
      <c r="K3697" s="289">
        <f>ROUNDUP(M3692*(1+0.1126),0)</f>
        <v>1082</v>
      </c>
      <c r="L3697" s="289">
        <f>ROUNDUP(K3697*(1+0.1126),0)</f>
        <v>1204</v>
      </c>
      <c r="M3697" s="289">
        <f t="shared" ref="M3697:R3697" si="0">ROUNDUP(L3697*(1+0.1126),0)</f>
        <v>1340</v>
      </c>
      <c r="N3697" s="289">
        <f t="shared" si="0"/>
        <v>1491</v>
      </c>
      <c r="O3697" s="289">
        <f t="shared" si="0"/>
        <v>1659</v>
      </c>
      <c r="P3697" s="289">
        <f t="shared" si="0"/>
        <v>1846</v>
      </c>
      <c r="Q3697" s="289">
        <f t="shared" si="0"/>
        <v>2054</v>
      </c>
      <c r="R3697" s="289">
        <f t="shared" si="0"/>
        <v>2286</v>
      </c>
    </row>
    <row r="3698" spans="10:18" x14ac:dyDescent="0.2">
      <c r="J3698" s="290"/>
      <c r="K3698" s="289"/>
      <c r="L3698" s="289"/>
      <c r="M3698" s="289"/>
      <c r="N3698" s="289"/>
      <c r="O3698" s="289"/>
      <c r="P3698" s="289"/>
      <c r="Q3698" s="289"/>
      <c r="R3698" s="289"/>
    </row>
    <row r="3701" spans="10:18" x14ac:dyDescent="0.2">
      <c r="M3701" s="6">
        <f>52/60</f>
        <v>0.8666666666666667</v>
      </c>
    </row>
  </sheetData>
  <autoFilter ref="B2:F3683">
    <filterColumn colId="1">
      <filters>
        <filter val=" LORETO"/>
        <filter val="LORETO"/>
      </filters>
    </filterColumn>
    <filterColumn colId="2">
      <filters>
        <filter val="MAYNAS"/>
      </filters>
    </filterColumn>
    <filterColumn colId="3">
      <filters>
        <filter val=" BELEN"/>
        <filter val=" IQUITOS"/>
        <filter val=" PUNCHANA"/>
        <filter val=" SAN JUAN BAUTISTA"/>
        <filter val="BELEN"/>
        <filter val="IQUITOS"/>
        <filter val="PUNCHANA"/>
        <filter val="SAN JUAN BAUTISTA"/>
      </filters>
    </filterColumn>
  </autoFilter>
  <mergeCells count="18">
    <mergeCell ref="E2:E3"/>
    <mergeCell ref="F2:F3"/>
    <mergeCell ref="B2:B3"/>
    <mergeCell ref="C2:C3"/>
    <mergeCell ref="D2:D3"/>
    <mergeCell ref="J3692:J3693"/>
    <mergeCell ref="K3692:K3693"/>
    <mergeCell ref="L3692:L3693"/>
    <mergeCell ref="M3692:M3693"/>
    <mergeCell ref="J3697:J3698"/>
    <mergeCell ref="K3697:K3698"/>
    <mergeCell ref="L3697:L3698"/>
    <mergeCell ref="M3697:M3698"/>
    <mergeCell ref="R3697:R3698"/>
    <mergeCell ref="N3697:N3698"/>
    <mergeCell ref="O3697:O3698"/>
    <mergeCell ref="P3697:P3698"/>
    <mergeCell ref="Q3697:Q369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4"/>
  <sheetViews>
    <sheetView workbookViewId="0">
      <selection activeCell="L6" sqref="L6"/>
    </sheetView>
  </sheetViews>
  <sheetFormatPr baseColWidth="10" defaultColWidth="10.83203125" defaultRowHeight="16" x14ac:dyDescent="0.2"/>
  <cols>
    <col min="1" max="1" width="10.83203125" style="16"/>
    <col min="2" max="2" width="17.33203125" style="16" bestFit="1" customWidth="1"/>
    <col min="3" max="3" width="12.6640625" style="16" bestFit="1" customWidth="1"/>
    <col min="4" max="4" width="55.83203125" style="16" bestFit="1" customWidth="1"/>
    <col min="5" max="5" width="66.83203125" style="16" bestFit="1" customWidth="1"/>
    <col min="6" max="8" width="10.83203125" style="16"/>
    <col min="9" max="9" width="12.6640625" style="16" customWidth="1"/>
    <col min="10" max="10" width="10.83203125" style="16"/>
    <col min="11" max="11" width="11.6640625" style="16" customWidth="1"/>
    <col min="12" max="12" width="8" style="16" customWidth="1"/>
    <col min="13" max="16384" width="10.83203125" style="16"/>
  </cols>
  <sheetData>
    <row r="2" spans="2:13" ht="49" customHeight="1" x14ac:dyDescent="0.2">
      <c r="B2" s="206" t="s">
        <v>34</v>
      </c>
      <c r="C2" s="206" t="s">
        <v>3520</v>
      </c>
      <c r="D2" s="206" t="s">
        <v>3521</v>
      </c>
      <c r="E2" s="206" t="s">
        <v>3732</v>
      </c>
      <c r="F2" s="206" t="s">
        <v>4412</v>
      </c>
      <c r="G2" s="206" t="s">
        <v>4413</v>
      </c>
      <c r="H2" s="206" t="s">
        <v>4414</v>
      </c>
      <c r="I2" s="206" t="s">
        <v>4415</v>
      </c>
      <c r="K2" s="17" t="s">
        <v>3520</v>
      </c>
      <c r="L2" s="17" t="s">
        <v>3542</v>
      </c>
    </row>
    <row r="3" spans="2:13" x14ac:dyDescent="0.2">
      <c r="B3" s="17" t="s">
        <v>2</v>
      </c>
      <c r="C3" s="17" t="s">
        <v>3526</v>
      </c>
      <c r="D3" s="17" t="s">
        <v>3523</v>
      </c>
      <c r="E3" s="18" t="s">
        <v>4407</v>
      </c>
      <c r="F3" s="17"/>
      <c r="G3" s="207">
        <v>42</v>
      </c>
      <c r="H3" s="207">
        <v>40</v>
      </c>
      <c r="I3" s="205">
        <v>43025</v>
      </c>
      <c r="K3" s="17" t="s">
        <v>3526</v>
      </c>
      <c r="L3" s="17">
        <v>18</v>
      </c>
      <c r="M3" s="208">
        <v>43.166666666666664</v>
      </c>
    </row>
    <row r="4" spans="2:13" x14ac:dyDescent="0.2">
      <c r="B4" s="17" t="s">
        <v>2</v>
      </c>
      <c r="C4" s="17" t="s">
        <v>3527</v>
      </c>
      <c r="D4" s="17" t="s">
        <v>4408</v>
      </c>
      <c r="E4" s="18" t="s">
        <v>4409</v>
      </c>
      <c r="F4" s="17"/>
      <c r="G4" s="207">
        <v>43</v>
      </c>
      <c r="H4" s="207">
        <v>43</v>
      </c>
      <c r="I4" s="205">
        <v>43102</v>
      </c>
      <c r="K4" s="17" t="s">
        <v>3527</v>
      </c>
      <c r="L4" s="17">
        <v>9</v>
      </c>
      <c r="M4" s="208">
        <v>44.777777777777779</v>
      </c>
    </row>
    <row r="5" spans="2:13" x14ac:dyDescent="0.2">
      <c r="B5" s="17" t="s">
        <v>2</v>
      </c>
      <c r="C5" s="17" t="s">
        <v>3527</v>
      </c>
      <c r="D5" s="17" t="s">
        <v>3524</v>
      </c>
      <c r="E5" s="18" t="s">
        <v>4410</v>
      </c>
      <c r="F5" s="17"/>
      <c r="G5" s="207">
        <v>43.5</v>
      </c>
      <c r="H5" s="207">
        <v>45</v>
      </c>
      <c r="I5" s="205">
        <v>43238</v>
      </c>
      <c r="K5" s="17" t="s">
        <v>3536</v>
      </c>
      <c r="L5" s="17">
        <v>1</v>
      </c>
      <c r="M5" s="208">
        <v>40</v>
      </c>
    </row>
    <row r="6" spans="2:13" x14ac:dyDescent="0.2">
      <c r="B6" s="17" t="s">
        <v>2</v>
      </c>
      <c r="C6" s="17" t="s">
        <v>3526</v>
      </c>
      <c r="D6" s="17" t="s">
        <v>3525</v>
      </c>
      <c r="E6" s="18" t="s">
        <v>4411</v>
      </c>
      <c r="F6" s="17"/>
      <c r="G6" s="207">
        <v>46</v>
      </c>
      <c r="H6" s="207">
        <v>48</v>
      </c>
      <c r="I6" s="205">
        <v>43238</v>
      </c>
      <c r="K6" s="17" t="s">
        <v>3532</v>
      </c>
      <c r="L6" s="17">
        <v>4</v>
      </c>
      <c r="M6" s="208">
        <v>41.25</v>
      </c>
    </row>
    <row r="7" spans="2:13" x14ac:dyDescent="0.2">
      <c r="B7" s="17" t="s">
        <v>0</v>
      </c>
      <c r="C7" s="17" t="s">
        <v>4416</v>
      </c>
      <c r="D7" s="17" t="s">
        <v>3531</v>
      </c>
      <c r="E7" s="18" t="s">
        <v>4417</v>
      </c>
      <c r="F7" s="17"/>
      <c r="G7" s="207">
        <v>0</v>
      </c>
      <c r="H7" s="207">
        <v>40</v>
      </c>
      <c r="I7" s="205">
        <v>42934</v>
      </c>
    </row>
    <row r="8" spans="2:13" x14ac:dyDescent="0.2">
      <c r="B8" s="17" t="s">
        <v>0</v>
      </c>
      <c r="C8" s="17" t="s">
        <v>3526</v>
      </c>
      <c r="D8" s="17" t="s">
        <v>3529</v>
      </c>
      <c r="E8" s="18" t="s">
        <v>4418</v>
      </c>
      <c r="F8" s="17"/>
      <c r="G8" s="207">
        <v>42</v>
      </c>
      <c r="H8" s="207">
        <v>41</v>
      </c>
      <c r="I8" s="205">
        <v>43049</v>
      </c>
    </row>
    <row r="9" spans="2:13" x14ac:dyDescent="0.2">
      <c r="B9" s="17" t="s">
        <v>0</v>
      </c>
      <c r="C9" s="17" t="s">
        <v>3526</v>
      </c>
      <c r="D9" s="17" t="s">
        <v>3531</v>
      </c>
      <c r="E9" s="18" t="s">
        <v>4417</v>
      </c>
      <c r="F9" s="17"/>
      <c r="G9" s="207">
        <v>41</v>
      </c>
      <c r="H9" s="207">
        <v>41</v>
      </c>
      <c r="I9" s="205">
        <v>43164</v>
      </c>
      <c r="K9" s="210" t="s">
        <v>3520</v>
      </c>
      <c r="L9" s="210" t="s">
        <v>3687</v>
      </c>
    </row>
    <row r="10" spans="2:13" x14ac:dyDescent="0.2">
      <c r="B10" s="17" t="s">
        <v>0</v>
      </c>
      <c r="C10" s="17" t="s">
        <v>3532</v>
      </c>
      <c r="D10" s="17" t="s">
        <v>4419</v>
      </c>
      <c r="E10" s="18" t="s">
        <v>4420</v>
      </c>
      <c r="F10" s="17"/>
      <c r="G10" s="207">
        <v>0</v>
      </c>
      <c r="H10" s="207">
        <v>42</v>
      </c>
      <c r="I10" s="205">
        <v>43178</v>
      </c>
      <c r="K10" s="215" t="s">
        <v>3536</v>
      </c>
      <c r="L10" s="212">
        <v>40</v>
      </c>
      <c r="M10" s="209">
        <f>+L13-L12</f>
        <v>1.6111111111111143</v>
      </c>
    </row>
    <row r="11" spans="2:13" x14ac:dyDescent="0.2">
      <c r="B11" s="17" t="s">
        <v>0</v>
      </c>
      <c r="C11" s="17" t="s">
        <v>3526</v>
      </c>
      <c r="D11" s="17" t="s">
        <v>3530</v>
      </c>
      <c r="E11" s="18" t="s">
        <v>4421</v>
      </c>
      <c r="F11" s="17"/>
      <c r="G11" s="207">
        <v>39</v>
      </c>
      <c r="H11" s="207">
        <v>42</v>
      </c>
      <c r="I11" s="205">
        <v>42926</v>
      </c>
      <c r="K11" s="214" t="s">
        <v>3532</v>
      </c>
      <c r="L11" s="212">
        <v>41.25</v>
      </c>
    </row>
    <row r="12" spans="2:13" x14ac:dyDescent="0.2">
      <c r="B12" s="17" t="s">
        <v>0</v>
      </c>
      <c r="C12" s="17" t="s">
        <v>4422</v>
      </c>
      <c r="D12" s="17" t="s">
        <v>4423</v>
      </c>
      <c r="E12" s="18" t="s">
        <v>4424</v>
      </c>
      <c r="F12" s="17"/>
      <c r="G12" s="207">
        <v>0</v>
      </c>
      <c r="H12" s="207">
        <v>43</v>
      </c>
      <c r="I12" s="205">
        <v>42971</v>
      </c>
      <c r="K12" s="211" t="s">
        <v>3526</v>
      </c>
      <c r="L12" s="212">
        <v>43.166666666666664</v>
      </c>
    </row>
    <row r="13" spans="2:13" x14ac:dyDescent="0.2">
      <c r="B13" s="17" t="s">
        <v>0</v>
      </c>
      <c r="C13" s="17" t="s">
        <v>3526</v>
      </c>
      <c r="D13" s="17" t="s">
        <v>4425</v>
      </c>
      <c r="E13" s="18" t="s">
        <v>4426</v>
      </c>
      <c r="F13" s="17"/>
      <c r="G13" s="207">
        <v>0</v>
      </c>
      <c r="H13" s="207">
        <v>43</v>
      </c>
      <c r="I13" s="205">
        <v>43166</v>
      </c>
      <c r="K13" s="213" t="s">
        <v>3527</v>
      </c>
      <c r="L13" s="212">
        <v>44.777777777777779</v>
      </c>
    </row>
    <row r="14" spans="2:13" x14ac:dyDescent="0.2">
      <c r="B14" s="17" t="s">
        <v>0</v>
      </c>
      <c r="C14" s="17" t="s">
        <v>3526</v>
      </c>
      <c r="D14" s="17" t="s">
        <v>4427</v>
      </c>
      <c r="E14" s="18" t="s">
        <v>4428</v>
      </c>
      <c r="F14" s="17"/>
      <c r="G14" s="207">
        <v>43</v>
      </c>
      <c r="H14" s="207">
        <v>44</v>
      </c>
      <c r="I14" s="205">
        <v>43234</v>
      </c>
    </row>
    <row r="15" spans="2:13" x14ac:dyDescent="0.2">
      <c r="B15" s="17" t="s">
        <v>0</v>
      </c>
      <c r="C15" s="17" t="s">
        <v>3527</v>
      </c>
      <c r="D15" s="17" t="s">
        <v>3524</v>
      </c>
      <c r="E15" s="18" t="s">
        <v>4429</v>
      </c>
      <c r="F15" s="17"/>
      <c r="G15" s="207">
        <v>43.5</v>
      </c>
      <c r="H15" s="207">
        <v>45</v>
      </c>
      <c r="I15" s="205">
        <v>43238</v>
      </c>
    </row>
    <row r="16" spans="2:13" x14ac:dyDescent="0.2">
      <c r="B16" s="17" t="s">
        <v>0</v>
      </c>
      <c r="C16" s="17" t="s">
        <v>3527</v>
      </c>
      <c r="D16" s="17" t="s">
        <v>3524</v>
      </c>
      <c r="E16" s="18" t="s">
        <v>4430</v>
      </c>
      <c r="F16" s="17">
        <v>65263335</v>
      </c>
      <c r="G16" s="207">
        <v>43.5</v>
      </c>
      <c r="H16" s="207">
        <v>45</v>
      </c>
      <c r="I16" s="205">
        <v>43238</v>
      </c>
    </row>
    <row r="17" spans="2:9" x14ac:dyDescent="0.2">
      <c r="B17" s="17" t="s">
        <v>0</v>
      </c>
      <c r="C17" s="17" t="s">
        <v>3536</v>
      </c>
      <c r="D17" s="17" t="s">
        <v>3531</v>
      </c>
      <c r="E17" s="18" t="s">
        <v>4417</v>
      </c>
      <c r="F17" s="17"/>
      <c r="G17" s="207">
        <v>40</v>
      </c>
      <c r="H17" s="207">
        <v>40</v>
      </c>
      <c r="I17" s="205">
        <v>42934</v>
      </c>
    </row>
    <row r="18" spans="2:9" x14ac:dyDescent="0.2">
      <c r="B18" s="17" t="s">
        <v>0</v>
      </c>
      <c r="C18" s="17" t="s">
        <v>3527</v>
      </c>
      <c r="D18" s="17" t="s">
        <v>3524</v>
      </c>
      <c r="E18" s="18" t="s">
        <v>4431</v>
      </c>
      <c r="F18" s="17"/>
      <c r="G18" s="207">
        <v>43.5</v>
      </c>
      <c r="H18" s="207">
        <v>45</v>
      </c>
      <c r="I18" s="205">
        <v>43238</v>
      </c>
    </row>
    <row r="19" spans="2:9" x14ac:dyDescent="0.2">
      <c r="B19" s="17" t="s">
        <v>1</v>
      </c>
      <c r="C19" s="17" t="s">
        <v>3532</v>
      </c>
      <c r="D19" s="17" t="s">
        <v>4432</v>
      </c>
      <c r="E19" s="18" t="s">
        <v>4433</v>
      </c>
      <c r="F19" s="17"/>
      <c r="G19" s="207">
        <v>0</v>
      </c>
      <c r="H19" s="207">
        <v>40</v>
      </c>
      <c r="I19" s="205">
        <v>42888</v>
      </c>
    </row>
    <row r="20" spans="2:9" x14ac:dyDescent="0.2">
      <c r="B20" s="17" t="s">
        <v>1</v>
      </c>
      <c r="C20" s="17" t="s">
        <v>3526</v>
      </c>
      <c r="D20" s="17" t="s">
        <v>4434</v>
      </c>
      <c r="E20" s="18" t="s">
        <v>4435</v>
      </c>
      <c r="F20" s="17">
        <v>65253535</v>
      </c>
      <c r="G20" s="207">
        <v>42</v>
      </c>
      <c r="H20" s="207">
        <v>43</v>
      </c>
      <c r="I20" s="205">
        <v>43237</v>
      </c>
    </row>
    <row r="21" spans="2:9" x14ac:dyDescent="0.2">
      <c r="B21" s="17" t="s">
        <v>1</v>
      </c>
      <c r="C21" s="17" t="s">
        <v>3526</v>
      </c>
      <c r="D21" s="17" t="s">
        <v>3538</v>
      </c>
      <c r="E21" s="18" t="s">
        <v>4436</v>
      </c>
      <c r="F21" s="17"/>
      <c r="G21" s="207">
        <v>41</v>
      </c>
      <c r="H21" s="207">
        <v>43</v>
      </c>
      <c r="I21" s="205">
        <v>43234</v>
      </c>
    </row>
    <row r="22" spans="2:9" x14ac:dyDescent="0.2">
      <c r="B22" s="17" t="s">
        <v>1</v>
      </c>
      <c r="C22" s="17" t="s">
        <v>3527</v>
      </c>
      <c r="D22" s="17" t="s">
        <v>3534</v>
      </c>
      <c r="E22" s="18" t="s">
        <v>4437</v>
      </c>
      <c r="F22" s="17"/>
      <c r="G22" s="207">
        <v>0</v>
      </c>
      <c r="H22" s="207">
        <v>44</v>
      </c>
      <c r="I22" s="205">
        <v>43234</v>
      </c>
    </row>
    <row r="23" spans="2:9" x14ac:dyDescent="0.2">
      <c r="B23" s="17" t="s">
        <v>1</v>
      </c>
      <c r="C23" s="17" t="s">
        <v>3527</v>
      </c>
      <c r="D23" s="17" t="s">
        <v>4438</v>
      </c>
      <c r="E23" s="18" t="s">
        <v>4439</v>
      </c>
      <c r="F23" s="17"/>
      <c r="G23" s="207">
        <v>43.5</v>
      </c>
      <c r="H23" s="207">
        <v>45</v>
      </c>
      <c r="I23" s="205">
        <v>43238</v>
      </c>
    </row>
    <row r="24" spans="2:9" x14ac:dyDescent="0.2">
      <c r="B24" s="17" t="s">
        <v>1</v>
      </c>
      <c r="C24" s="17" t="s">
        <v>3527</v>
      </c>
      <c r="D24" s="17" t="s">
        <v>4440</v>
      </c>
      <c r="E24" s="18" t="s">
        <v>4441</v>
      </c>
      <c r="F24" s="17"/>
      <c r="G24" s="207">
        <v>44</v>
      </c>
      <c r="H24" s="207">
        <v>46</v>
      </c>
      <c r="I24" s="205">
        <v>43236</v>
      </c>
    </row>
    <row r="25" spans="2:9" x14ac:dyDescent="0.2">
      <c r="B25" s="17" t="s">
        <v>3</v>
      </c>
      <c r="C25" s="17" t="s">
        <v>3526</v>
      </c>
      <c r="D25" s="17" t="s">
        <v>4442</v>
      </c>
      <c r="E25" s="18" t="s">
        <v>4443</v>
      </c>
      <c r="F25" s="17"/>
      <c r="G25" s="207">
        <v>40</v>
      </c>
      <c r="H25" s="207">
        <v>41</v>
      </c>
      <c r="I25" s="205">
        <v>43075</v>
      </c>
    </row>
    <row r="26" spans="2:9" x14ac:dyDescent="0.2">
      <c r="B26" s="17" t="s">
        <v>3</v>
      </c>
      <c r="C26" s="17" t="s">
        <v>3526</v>
      </c>
      <c r="D26" s="17" t="s">
        <v>4442</v>
      </c>
      <c r="E26" s="18" t="s">
        <v>4444</v>
      </c>
      <c r="F26" s="17"/>
      <c r="G26" s="207">
        <v>40</v>
      </c>
      <c r="H26" s="207">
        <v>41</v>
      </c>
      <c r="I26" s="205">
        <v>43075</v>
      </c>
    </row>
    <row r="27" spans="2:9" x14ac:dyDescent="0.2">
      <c r="B27" s="17" t="s">
        <v>3</v>
      </c>
      <c r="C27" s="17" t="s">
        <v>3526</v>
      </c>
      <c r="D27" s="17" t="s">
        <v>3539</v>
      </c>
      <c r="E27" s="18" t="s">
        <v>4445</v>
      </c>
      <c r="F27" s="17"/>
      <c r="G27" s="207">
        <v>41</v>
      </c>
      <c r="H27" s="207">
        <v>42</v>
      </c>
      <c r="I27" s="205">
        <v>43236</v>
      </c>
    </row>
    <row r="28" spans="2:9" x14ac:dyDescent="0.2">
      <c r="B28" s="17" t="s">
        <v>3</v>
      </c>
      <c r="C28" s="17" t="s">
        <v>3526</v>
      </c>
      <c r="D28" s="17" t="s">
        <v>3538</v>
      </c>
      <c r="E28" s="18" t="s">
        <v>4446</v>
      </c>
      <c r="F28" s="17">
        <v>65265315</v>
      </c>
      <c r="G28" s="207">
        <v>41</v>
      </c>
      <c r="H28" s="207">
        <v>43</v>
      </c>
      <c r="I28" s="205">
        <v>43234</v>
      </c>
    </row>
    <row r="29" spans="2:9" x14ac:dyDescent="0.2">
      <c r="B29" s="17" t="s">
        <v>3</v>
      </c>
      <c r="C29" s="17" t="s">
        <v>3526</v>
      </c>
      <c r="D29" s="17" t="s">
        <v>3541</v>
      </c>
      <c r="E29" s="18" t="s">
        <v>4447</v>
      </c>
      <c r="F29" s="17"/>
      <c r="G29" s="207">
        <v>0</v>
      </c>
      <c r="H29" s="207">
        <v>43</v>
      </c>
      <c r="I29" s="205">
        <v>42905</v>
      </c>
    </row>
    <row r="30" spans="2:9" x14ac:dyDescent="0.2">
      <c r="B30" s="17" t="s">
        <v>3</v>
      </c>
      <c r="C30" s="17" t="s">
        <v>3526</v>
      </c>
      <c r="D30" s="17" t="s">
        <v>4448</v>
      </c>
      <c r="E30" s="18" t="s">
        <v>4449</v>
      </c>
      <c r="F30" s="17"/>
      <c r="G30" s="207">
        <v>43</v>
      </c>
      <c r="H30" s="207">
        <v>45</v>
      </c>
      <c r="I30" s="205">
        <v>43234</v>
      </c>
    </row>
    <row r="31" spans="2:9" x14ac:dyDescent="0.2">
      <c r="B31" s="17" t="s">
        <v>3</v>
      </c>
      <c r="C31" s="17" t="s">
        <v>3526</v>
      </c>
      <c r="D31" s="17" t="s">
        <v>3537</v>
      </c>
      <c r="E31" s="18" t="s">
        <v>4450</v>
      </c>
      <c r="F31" s="17"/>
      <c r="G31" s="207">
        <v>43</v>
      </c>
      <c r="H31" s="207">
        <v>45</v>
      </c>
      <c r="I31" s="205">
        <v>43234</v>
      </c>
    </row>
    <row r="32" spans="2:9" x14ac:dyDescent="0.2">
      <c r="B32" s="17" t="s">
        <v>3</v>
      </c>
      <c r="C32" s="17" t="s">
        <v>3527</v>
      </c>
      <c r="D32" s="17" t="s">
        <v>4451</v>
      </c>
      <c r="E32" s="18" t="s">
        <v>4452</v>
      </c>
      <c r="F32" s="17"/>
      <c r="G32" s="207">
        <v>43.5</v>
      </c>
      <c r="H32" s="207">
        <v>45</v>
      </c>
      <c r="I32" s="205">
        <v>43238</v>
      </c>
    </row>
    <row r="33" spans="2:9" x14ac:dyDescent="0.2">
      <c r="B33" s="17" t="s">
        <v>3</v>
      </c>
      <c r="C33" s="17" t="s">
        <v>3526</v>
      </c>
      <c r="D33" s="17" t="s">
        <v>4453</v>
      </c>
      <c r="E33" s="18" t="s">
        <v>4454</v>
      </c>
      <c r="F33" s="17"/>
      <c r="G33" s="207">
        <v>44</v>
      </c>
      <c r="H33" s="207">
        <v>46</v>
      </c>
      <c r="I33" s="205">
        <v>43237</v>
      </c>
    </row>
    <row r="34" spans="2:9" x14ac:dyDescent="0.2">
      <c r="B34" s="17" t="s">
        <v>3</v>
      </c>
      <c r="C34" s="17" t="s">
        <v>3526</v>
      </c>
      <c r="D34" s="17" t="s">
        <v>3540</v>
      </c>
      <c r="E34" s="18" t="s">
        <v>4455</v>
      </c>
      <c r="F34" s="17"/>
      <c r="G34" s="207">
        <v>44</v>
      </c>
      <c r="H34" s="207">
        <v>46</v>
      </c>
      <c r="I34" s="205">
        <v>43237</v>
      </c>
    </row>
  </sheetData>
  <autoFilter ref="B2:I34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40"/>
  <sheetViews>
    <sheetView topLeftCell="H1" workbookViewId="0">
      <selection activeCell="M5" sqref="M5"/>
    </sheetView>
  </sheetViews>
  <sheetFormatPr baseColWidth="10" defaultColWidth="10.83203125" defaultRowHeight="16" x14ac:dyDescent="0.2"/>
  <cols>
    <col min="1" max="1" width="10.83203125" style="16"/>
    <col min="2" max="2" width="21.33203125" style="16" bestFit="1" customWidth="1"/>
    <col min="3" max="3" width="12.6640625" style="16" bestFit="1" customWidth="1"/>
    <col min="4" max="4" width="55.83203125" style="16" bestFit="1" customWidth="1"/>
    <col min="5" max="5" width="69.1640625" style="16" bestFit="1" customWidth="1"/>
    <col min="6" max="6" width="14.1640625" style="16" bestFit="1" customWidth="1"/>
    <col min="7" max="7" width="10.83203125" style="16"/>
    <col min="8" max="8" width="12.6640625" style="16" customWidth="1"/>
    <col min="9" max="9" width="10.83203125" style="16"/>
    <col min="10" max="10" width="12.6640625" style="16" customWidth="1"/>
    <col min="11" max="11" width="8.5" style="16" customWidth="1"/>
    <col min="12" max="12" width="24.83203125" style="16" bestFit="1" customWidth="1"/>
    <col min="13" max="16384" width="10.83203125" style="16"/>
  </cols>
  <sheetData>
    <row r="2" spans="2:13" ht="49" customHeight="1" x14ac:dyDescent="0.2">
      <c r="B2" s="206" t="s">
        <v>34</v>
      </c>
      <c r="C2" s="206" t="s">
        <v>3520</v>
      </c>
      <c r="D2" s="206" t="s">
        <v>3521</v>
      </c>
      <c r="E2" s="206" t="s">
        <v>3732</v>
      </c>
      <c r="F2" s="206" t="s">
        <v>4412</v>
      </c>
      <c r="G2" s="206" t="s">
        <v>4414</v>
      </c>
      <c r="H2" s="206" t="s">
        <v>4415</v>
      </c>
      <c r="J2" s="285" t="s">
        <v>3520</v>
      </c>
      <c r="K2" s="206" t="s">
        <v>3542</v>
      </c>
    </row>
    <row r="3" spans="2:13" x14ac:dyDescent="0.2">
      <c r="B3" s="17" t="s">
        <v>2</v>
      </c>
      <c r="C3" s="17" t="s">
        <v>3527</v>
      </c>
      <c r="D3" s="17" t="s">
        <v>4408</v>
      </c>
      <c r="E3" s="18" t="s">
        <v>4409</v>
      </c>
      <c r="F3" s="17">
        <v>955247262</v>
      </c>
      <c r="G3" s="207">
        <v>43</v>
      </c>
      <c r="H3" s="205">
        <v>43576</v>
      </c>
      <c r="J3" s="17" t="s">
        <v>3526</v>
      </c>
      <c r="K3" s="17">
        <v>18</v>
      </c>
      <c r="L3" s="208">
        <v>44.944444444444443</v>
      </c>
    </row>
    <row r="4" spans="2:13" x14ac:dyDescent="0.2">
      <c r="B4" s="17" t="s">
        <v>2</v>
      </c>
      <c r="C4" s="17" t="s">
        <v>3526</v>
      </c>
      <c r="D4" s="17" t="s">
        <v>3523</v>
      </c>
      <c r="E4" s="18" t="s">
        <v>4407</v>
      </c>
      <c r="F4" s="17"/>
      <c r="G4" s="207">
        <v>46</v>
      </c>
      <c r="H4" s="205">
        <v>43576</v>
      </c>
      <c r="J4" s="17" t="s">
        <v>3527</v>
      </c>
      <c r="K4" s="17">
        <v>11</v>
      </c>
      <c r="L4" s="208">
        <v>46.409090909090907</v>
      </c>
      <c r="M4" s="208">
        <f>+L4-L3</f>
        <v>1.4646464646464636</v>
      </c>
    </row>
    <row r="5" spans="2:13" x14ac:dyDescent="0.2">
      <c r="B5" s="17" t="s">
        <v>2</v>
      </c>
      <c r="C5" s="17" t="s">
        <v>3527</v>
      </c>
      <c r="D5" s="17" t="s">
        <v>3524</v>
      </c>
      <c r="E5" s="18" t="s">
        <v>4410</v>
      </c>
      <c r="F5" s="17"/>
      <c r="G5" s="207">
        <v>46.5</v>
      </c>
      <c r="H5" s="205">
        <v>43576</v>
      </c>
      <c r="J5" s="17" t="s">
        <v>3532</v>
      </c>
      <c r="K5" s="17">
        <v>2</v>
      </c>
      <c r="L5" s="208">
        <v>44.857142857142854</v>
      </c>
    </row>
    <row r="6" spans="2:13" x14ac:dyDescent="0.2">
      <c r="B6" s="17" t="s">
        <v>2</v>
      </c>
      <c r="C6" s="17" t="s">
        <v>3526</v>
      </c>
      <c r="D6" s="17" t="s">
        <v>3525</v>
      </c>
      <c r="E6" s="18" t="s">
        <v>4411</v>
      </c>
      <c r="F6" s="17"/>
      <c r="G6" s="207">
        <v>49</v>
      </c>
      <c r="H6" s="205">
        <v>43576</v>
      </c>
      <c r="J6" s="17" t="s">
        <v>3536</v>
      </c>
      <c r="K6" s="17">
        <v>7</v>
      </c>
      <c r="L6" s="208">
        <v>41</v>
      </c>
    </row>
    <row r="7" spans="2:13" x14ac:dyDescent="0.2">
      <c r="B7" s="17" t="s">
        <v>0</v>
      </c>
      <c r="C7" s="17" t="s">
        <v>3532</v>
      </c>
      <c r="D7" s="17" t="s">
        <v>3531</v>
      </c>
      <c r="E7" s="18" t="s">
        <v>4417</v>
      </c>
      <c r="F7" s="17"/>
      <c r="G7" s="207">
        <v>40</v>
      </c>
      <c r="H7" s="205">
        <v>43576</v>
      </c>
    </row>
    <row r="8" spans="2:13" x14ac:dyDescent="0.2">
      <c r="B8" s="17" t="s">
        <v>0</v>
      </c>
      <c r="C8" s="17" t="s">
        <v>3526</v>
      </c>
      <c r="D8" s="17" t="s">
        <v>3531</v>
      </c>
      <c r="E8" s="18" t="s">
        <v>4417</v>
      </c>
      <c r="F8" s="17"/>
      <c r="G8" s="207">
        <v>41</v>
      </c>
      <c r="H8" s="205">
        <v>43576</v>
      </c>
    </row>
    <row r="9" spans="2:13" x14ac:dyDescent="0.2">
      <c r="B9" s="17" t="s">
        <v>0</v>
      </c>
      <c r="C9" s="17" t="s">
        <v>3526</v>
      </c>
      <c r="D9" s="17" t="s">
        <v>3530</v>
      </c>
      <c r="E9" s="18" t="s">
        <v>4421</v>
      </c>
      <c r="F9" s="17"/>
      <c r="G9" s="207">
        <v>42</v>
      </c>
      <c r="H9" s="205">
        <v>43576</v>
      </c>
      <c r="J9" s="210" t="s">
        <v>3520</v>
      </c>
      <c r="K9" s="210" t="s">
        <v>3687</v>
      </c>
    </row>
    <row r="10" spans="2:13" x14ac:dyDescent="0.2">
      <c r="B10" s="17" t="s">
        <v>0</v>
      </c>
      <c r="C10" s="17" t="s">
        <v>3532</v>
      </c>
      <c r="D10" s="17" t="s">
        <v>4419</v>
      </c>
      <c r="E10" s="18" t="s">
        <v>4420</v>
      </c>
      <c r="F10" s="17"/>
      <c r="G10" s="207">
        <v>42</v>
      </c>
      <c r="H10" s="205">
        <v>43576</v>
      </c>
      <c r="J10" s="213" t="s">
        <v>3526</v>
      </c>
      <c r="K10" s="212">
        <v>44.944444444444443</v>
      </c>
      <c r="L10" s="209"/>
    </row>
    <row r="11" spans="2:13" x14ac:dyDescent="0.2">
      <c r="B11" s="17" t="s">
        <v>0</v>
      </c>
      <c r="C11" s="17" t="s">
        <v>3536</v>
      </c>
      <c r="D11" s="17" t="s">
        <v>4483</v>
      </c>
      <c r="E11" s="18" t="s">
        <v>4484</v>
      </c>
      <c r="F11" s="17">
        <v>938165943</v>
      </c>
      <c r="G11" s="207">
        <v>44</v>
      </c>
      <c r="H11" s="205">
        <v>43576</v>
      </c>
      <c r="J11" s="211" t="s">
        <v>3527</v>
      </c>
      <c r="K11" s="212">
        <v>46.409090909090907</v>
      </c>
    </row>
    <row r="12" spans="2:13" x14ac:dyDescent="0.2">
      <c r="B12" s="17" t="s">
        <v>0</v>
      </c>
      <c r="C12" s="17" t="s">
        <v>3536</v>
      </c>
      <c r="D12" s="17" t="s">
        <v>4485</v>
      </c>
      <c r="E12" s="18" t="s">
        <v>4486</v>
      </c>
      <c r="F12" s="17">
        <v>938165943</v>
      </c>
      <c r="G12" s="207">
        <v>44</v>
      </c>
      <c r="H12" s="205">
        <v>43576</v>
      </c>
      <c r="J12" s="214" t="s">
        <v>3532</v>
      </c>
      <c r="K12" s="212">
        <v>41</v>
      </c>
    </row>
    <row r="13" spans="2:13" x14ac:dyDescent="0.2">
      <c r="B13" s="17" t="s">
        <v>0</v>
      </c>
      <c r="C13" s="17" t="s">
        <v>3536</v>
      </c>
      <c r="D13" s="17" t="s">
        <v>4483</v>
      </c>
      <c r="E13" s="18" t="s">
        <v>4487</v>
      </c>
      <c r="F13" s="17">
        <v>938165943</v>
      </c>
      <c r="G13" s="207">
        <v>44</v>
      </c>
      <c r="H13" s="205">
        <v>43576</v>
      </c>
      <c r="J13" s="215" t="s">
        <v>3536</v>
      </c>
      <c r="K13" s="212">
        <v>44.857142857142854</v>
      </c>
    </row>
    <row r="14" spans="2:13" x14ac:dyDescent="0.2">
      <c r="B14" s="17" t="s">
        <v>0</v>
      </c>
      <c r="C14" s="17" t="s">
        <v>3536</v>
      </c>
      <c r="D14" s="17" t="s">
        <v>4488</v>
      </c>
      <c r="E14" s="18" t="s">
        <v>4489</v>
      </c>
      <c r="F14" s="17">
        <v>971456492</v>
      </c>
      <c r="G14" s="207">
        <v>44</v>
      </c>
      <c r="H14" s="205">
        <v>43576</v>
      </c>
    </row>
    <row r="15" spans="2:13" x14ac:dyDescent="0.2">
      <c r="B15" s="17" t="s">
        <v>0</v>
      </c>
      <c r="C15" s="17" t="s">
        <v>3526</v>
      </c>
      <c r="D15" s="17" t="s">
        <v>4425</v>
      </c>
      <c r="E15" s="18" t="s">
        <v>4426</v>
      </c>
      <c r="F15" s="17">
        <v>948613080</v>
      </c>
      <c r="G15" s="207">
        <v>45</v>
      </c>
      <c r="H15" s="205">
        <v>43576</v>
      </c>
    </row>
    <row r="16" spans="2:13" x14ac:dyDescent="0.2">
      <c r="B16" s="17" t="s">
        <v>0</v>
      </c>
      <c r="C16" s="17" t="s">
        <v>3526</v>
      </c>
      <c r="D16" s="17" t="s">
        <v>3529</v>
      </c>
      <c r="E16" s="18" t="s">
        <v>4418</v>
      </c>
      <c r="F16" s="17"/>
      <c r="G16" s="207">
        <v>45</v>
      </c>
      <c r="H16" s="205">
        <v>43576</v>
      </c>
      <c r="J16" s="280" t="s">
        <v>4503</v>
      </c>
      <c r="K16" t="s">
        <v>4505</v>
      </c>
      <c r="L16" t="s">
        <v>4506</v>
      </c>
    </row>
    <row r="17" spans="2:12" x14ac:dyDescent="0.2">
      <c r="B17" s="17" t="s">
        <v>0</v>
      </c>
      <c r="C17" s="17" t="s">
        <v>3526</v>
      </c>
      <c r="D17" s="17" t="s">
        <v>4427</v>
      </c>
      <c r="E17" s="18" t="s">
        <v>4428</v>
      </c>
      <c r="F17" s="17">
        <v>949427545</v>
      </c>
      <c r="G17" s="207">
        <v>46</v>
      </c>
      <c r="H17" s="205">
        <v>43576</v>
      </c>
      <c r="J17" s="281" t="s">
        <v>3526</v>
      </c>
      <c r="K17" s="282">
        <v>18</v>
      </c>
      <c r="L17" s="283">
        <v>44.944444444444443</v>
      </c>
    </row>
    <row r="18" spans="2:12" x14ac:dyDescent="0.2">
      <c r="B18" s="17" t="s">
        <v>0</v>
      </c>
      <c r="C18" s="17" t="s">
        <v>3526</v>
      </c>
      <c r="D18" s="17" t="s">
        <v>4490</v>
      </c>
      <c r="E18" s="18" t="s">
        <v>4491</v>
      </c>
      <c r="F18" s="17">
        <v>920849634</v>
      </c>
      <c r="G18" s="207">
        <v>46</v>
      </c>
      <c r="H18" s="205">
        <v>43576</v>
      </c>
      <c r="J18" s="281" t="s">
        <v>3527</v>
      </c>
      <c r="K18" s="282">
        <v>11</v>
      </c>
      <c r="L18" s="283">
        <v>46.409090909090907</v>
      </c>
    </row>
    <row r="19" spans="2:12" x14ac:dyDescent="0.2">
      <c r="B19" s="17" t="s">
        <v>0</v>
      </c>
      <c r="C19" s="17" t="s">
        <v>3527</v>
      </c>
      <c r="D19" s="17" t="s">
        <v>3524</v>
      </c>
      <c r="E19" s="18" t="s">
        <v>4430</v>
      </c>
      <c r="F19" s="17">
        <v>65263335</v>
      </c>
      <c r="G19" s="207">
        <v>46.5</v>
      </c>
      <c r="H19" s="205">
        <v>43576</v>
      </c>
      <c r="J19" s="281" t="s">
        <v>3532</v>
      </c>
      <c r="K19" s="282">
        <v>2</v>
      </c>
      <c r="L19" s="283">
        <v>41</v>
      </c>
    </row>
    <row r="20" spans="2:12" x14ac:dyDescent="0.2">
      <c r="B20" s="17" t="s">
        <v>0</v>
      </c>
      <c r="C20" s="17" t="s">
        <v>3527</v>
      </c>
      <c r="D20" s="17" t="s">
        <v>3524</v>
      </c>
      <c r="E20" s="18" t="s">
        <v>4431</v>
      </c>
      <c r="F20" s="17">
        <v>947699219</v>
      </c>
      <c r="G20" s="207">
        <v>46.5</v>
      </c>
      <c r="H20" s="205">
        <v>43576</v>
      </c>
      <c r="J20" s="281" t="s">
        <v>3536</v>
      </c>
      <c r="K20" s="282">
        <v>7</v>
      </c>
      <c r="L20" s="283">
        <v>44.857142857142854</v>
      </c>
    </row>
    <row r="21" spans="2:12" x14ac:dyDescent="0.2">
      <c r="B21" s="17" t="s">
        <v>0</v>
      </c>
      <c r="C21" s="17" t="s">
        <v>3527</v>
      </c>
      <c r="D21" s="17" t="s">
        <v>3524</v>
      </c>
      <c r="E21" s="18" t="s">
        <v>4429</v>
      </c>
      <c r="F21" s="17"/>
      <c r="G21" s="207">
        <v>46.5</v>
      </c>
      <c r="H21" s="205">
        <v>43576</v>
      </c>
      <c r="J21" s="281" t="s">
        <v>4504</v>
      </c>
      <c r="K21" s="282">
        <v>38</v>
      </c>
      <c r="L21" s="283">
        <v>45.14473684210526</v>
      </c>
    </row>
    <row r="22" spans="2:12" x14ac:dyDescent="0.2">
      <c r="B22" s="17" t="s">
        <v>1</v>
      </c>
      <c r="C22" s="17" t="s">
        <v>3526</v>
      </c>
      <c r="D22" s="17" t="s">
        <v>3538</v>
      </c>
      <c r="E22" s="18" t="s">
        <v>4436</v>
      </c>
      <c r="F22" s="17"/>
      <c r="G22" s="207">
        <v>45</v>
      </c>
      <c r="H22" s="205">
        <v>43576</v>
      </c>
      <c r="J22"/>
      <c r="K22"/>
      <c r="L22"/>
    </row>
    <row r="23" spans="2:12" x14ac:dyDescent="0.2">
      <c r="B23" s="17" t="s">
        <v>1</v>
      </c>
      <c r="C23" s="17" t="s">
        <v>3526</v>
      </c>
      <c r="D23" s="17" t="s">
        <v>4434</v>
      </c>
      <c r="E23" s="18" t="s">
        <v>4435</v>
      </c>
      <c r="F23" s="17">
        <v>65253535</v>
      </c>
      <c r="G23" s="207">
        <v>46</v>
      </c>
      <c r="H23" s="205">
        <v>43576</v>
      </c>
      <c r="J23"/>
      <c r="K23"/>
      <c r="L23"/>
    </row>
    <row r="24" spans="2:12" x14ac:dyDescent="0.2">
      <c r="B24" s="17" t="s">
        <v>1</v>
      </c>
      <c r="C24" s="17" t="s">
        <v>3527</v>
      </c>
      <c r="D24" s="17" t="s">
        <v>4438</v>
      </c>
      <c r="E24" s="18" t="s">
        <v>4439</v>
      </c>
      <c r="F24" s="17"/>
      <c r="G24" s="207">
        <v>46.5</v>
      </c>
      <c r="H24" s="205">
        <v>43576</v>
      </c>
      <c r="J24"/>
      <c r="K24"/>
      <c r="L24"/>
    </row>
    <row r="25" spans="2:12" x14ac:dyDescent="0.2">
      <c r="B25" s="17" t="s">
        <v>1</v>
      </c>
      <c r="C25" s="17" t="s">
        <v>3527</v>
      </c>
      <c r="D25" s="17" t="s">
        <v>4492</v>
      </c>
      <c r="E25" s="18" t="s">
        <v>4493</v>
      </c>
      <c r="F25" s="17"/>
      <c r="G25" s="207">
        <v>46.5</v>
      </c>
      <c r="H25" s="205">
        <v>43576</v>
      </c>
      <c r="J25"/>
      <c r="K25"/>
      <c r="L25"/>
    </row>
    <row r="26" spans="2:12" x14ac:dyDescent="0.2">
      <c r="B26" s="17" t="s">
        <v>1</v>
      </c>
      <c r="C26" s="17" t="s">
        <v>3527</v>
      </c>
      <c r="D26" s="17" t="s">
        <v>4494</v>
      </c>
      <c r="E26" s="18" t="s">
        <v>4495</v>
      </c>
      <c r="F26" s="17">
        <v>986158980</v>
      </c>
      <c r="G26" s="207">
        <v>47</v>
      </c>
      <c r="H26" s="205">
        <v>43576</v>
      </c>
      <c r="J26"/>
      <c r="K26"/>
      <c r="L26"/>
    </row>
    <row r="27" spans="2:12" x14ac:dyDescent="0.2">
      <c r="B27" s="17" t="s">
        <v>1</v>
      </c>
      <c r="C27" s="17" t="s">
        <v>3527</v>
      </c>
      <c r="D27" s="17" t="s">
        <v>3534</v>
      </c>
      <c r="E27" s="18" t="s">
        <v>4437</v>
      </c>
      <c r="F27" s="17"/>
      <c r="G27" s="207">
        <v>47</v>
      </c>
      <c r="H27" s="205">
        <v>43576</v>
      </c>
      <c r="J27"/>
      <c r="K27"/>
      <c r="L27"/>
    </row>
    <row r="28" spans="2:12" x14ac:dyDescent="0.2">
      <c r="B28" s="17" t="s">
        <v>1</v>
      </c>
      <c r="C28" s="17" t="s">
        <v>3527</v>
      </c>
      <c r="D28" s="17" t="s">
        <v>4440</v>
      </c>
      <c r="E28" s="18" t="s">
        <v>4441</v>
      </c>
      <c r="F28" s="17">
        <v>988543493</v>
      </c>
      <c r="G28" s="207">
        <v>48</v>
      </c>
      <c r="H28" s="205">
        <v>43576</v>
      </c>
      <c r="J28"/>
      <c r="K28"/>
      <c r="L28"/>
    </row>
    <row r="29" spans="2:12" x14ac:dyDescent="0.2">
      <c r="B29" s="17" t="s">
        <v>3</v>
      </c>
      <c r="C29" s="17" t="s">
        <v>3526</v>
      </c>
      <c r="D29" s="17" t="s">
        <v>4442</v>
      </c>
      <c r="E29" s="18" t="s">
        <v>4444</v>
      </c>
      <c r="F29" s="17">
        <v>942119801</v>
      </c>
      <c r="G29" s="207">
        <v>41</v>
      </c>
      <c r="H29" s="205">
        <v>43576</v>
      </c>
      <c r="J29"/>
      <c r="K29"/>
      <c r="L29"/>
    </row>
    <row r="30" spans="2:12" x14ac:dyDescent="0.2">
      <c r="B30" s="17" t="s">
        <v>3</v>
      </c>
      <c r="C30" s="17" t="s">
        <v>3526</v>
      </c>
      <c r="D30" s="17" t="s">
        <v>4442</v>
      </c>
      <c r="E30" s="18" t="s">
        <v>4443</v>
      </c>
      <c r="F30" s="17">
        <v>955908306</v>
      </c>
      <c r="G30" s="207">
        <v>41</v>
      </c>
      <c r="H30" s="205">
        <v>43576</v>
      </c>
      <c r="J30"/>
      <c r="K30"/>
      <c r="L30"/>
    </row>
    <row r="31" spans="2:12" x14ac:dyDescent="0.2">
      <c r="B31" s="17" t="s">
        <v>3</v>
      </c>
      <c r="C31" s="17" t="s">
        <v>3526</v>
      </c>
      <c r="D31" s="17" t="s">
        <v>3538</v>
      </c>
      <c r="E31" s="18" t="s">
        <v>4446</v>
      </c>
      <c r="F31" s="17">
        <v>65265315</v>
      </c>
      <c r="G31" s="207">
        <v>45</v>
      </c>
      <c r="H31" s="205">
        <v>43576</v>
      </c>
      <c r="J31"/>
      <c r="K31"/>
      <c r="L31"/>
    </row>
    <row r="32" spans="2:12" x14ac:dyDescent="0.2">
      <c r="B32" s="17" t="s">
        <v>3</v>
      </c>
      <c r="C32" s="17" t="s">
        <v>3526</v>
      </c>
      <c r="D32" s="17" t="s">
        <v>3539</v>
      </c>
      <c r="E32" s="18" t="s">
        <v>4445</v>
      </c>
      <c r="F32" s="17"/>
      <c r="G32" s="207">
        <v>46</v>
      </c>
      <c r="H32" s="205">
        <v>43576</v>
      </c>
      <c r="J32"/>
      <c r="K32"/>
      <c r="L32"/>
    </row>
    <row r="33" spans="2:12" x14ac:dyDescent="0.2">
      <c r="B33" s="17" t="s">
        <v>3</v>
      </c>
      <c r="C33" s="17" t="s">
        <v>3536</v>
      </c>
      <c r="D33" s="17" t="s">
        <v>4496</v>
      </c>
      <c r="E33" s="18" t="s">
        <v>4497</v>
      </c>
      <c r="F33" s="17"/>
      <c r="G33" s="207">
        <v>46</v>
      </c>
      <c r="H33" s="205">
        <v>43576</v>
      </c>
      <c r="J33"/>
      <c r="K33"/>
      <c r="L33"/>
    </row>
    <row r="34" spans="2:12" x14ac:dyDescent="0.2">
      <c r="B34" s="17" t="s">
        <v>3</v>
      </c>
      <c r="C34" s="17" t="s">
        <v>3536</v>
      </c>
      <c r="D34" s="17" t="s">
        <v>4483</v>
      </c>
      <c r="E34" s="18" t="s">
        <v>4498</v>
      </c>
      <c r="F34" s="17"/>
      <c r="G34" s="207">
        <v>46</v>
      </c>
      <c r="H34" s="205">
        <v>43576</v>
      </c>
    </row>
    <row r="35" spans="2:12" x14ac:dyDescent="0.2">
      <c r="B35" s="17" t="s">
        <v>3</v>
      </c>
      <c r="C35" s="17" t="s">
        <v>3536</v>
      </c>
      <c r="D35" s="17" t="s">
        <v>4499</v>
      </c>
      <c r="E35" s="18" t="s">
        <v>4500</v>
      </c>
      <c r="F35" s="17"/>
      <c r="G35" s="207">
        <v>46</v>
      </c>
      <c r="H35" s="205">
        <v>43576</v>
      </c>
    </row>
    <row r="36" spans="2:12" x14ac:dyDescent="0.2">
      <c r="B36" s="17" t="s">
        <v>3</v>
      </c>
      <c r="C36" s="17" t="s">
        <v>3526</v>
      </c>
      <c r="D36" s="17" t="s">
        <v>4453</v>
      </c>
      <c r="E36" s="18" t="s">
        <v>4454</v>
      </c>
      <c r="F36" s="17"/>
      <c r="G36" s="207">
        <v>46</v>
      </c>
      <c r="H36" s="205">
        <v>43576</v>
      </c>
    </row>
    <row r="37" spans="2:12" x14ac:dyDescent="0.2">
      <c r="B37" s="17" t="s">
        <v>3</v>
      </c>
      <c r="C37" s="17" t="s">
        <v>3526</v>
      </c>
      <c r="D37" s="17" t="s">
        <v>3540</v>
      </c>
      <c r="E37" s="18" t="s">
        <v>4455</v>
      </c>
      <c r="F37" s="17"/>
      <c r="G37" s="207">
        <v>46</v>
      </c>
      <c r="H37" s="205">
        <v>43576</v>
      </c>
    </row>
    <row r="38" spans="2:12" x14ac:dyDescent="0.2">
      <c r="B38" s="17" t="s">
        <v>3</v>
      </c>
      <c r="C38" s="17" t="s">
        <v>3526</v>
      </c>
      <c r="D38" s="17" t="s">
        <v>4448</v>
      </c>
      <c r="E38" s="18" t="s">
        <v>4449</v>
      </c>
      <c r="F38" s="17">
        <v>984081569</v>
      </c>
      <c r="G38" s="207">
        <v>46</v>
      </c>
      <c r="H38" s="205">
        <v>43576</v>
      </c>
    </row>
    <row r="39" spans="2:12" x14ac:dyDescent="0.2">
      <c r="B39" s="17" t="s">
        <v>3</v>
      </c>
      <c r="C39" s="17" t="s">
        <v>3527</v>
      </c>
      <c r="D39" s="17" t="s">
        <v>4451</v>
      </c>
      <c r="E39" s="18" t="s">
        <v>4452</v>
      </c>
      <c r="F39" s="17"/>
      <c r="G39" s="207">
        <v>46.5</v>
      </c>
      <c r="H39" s="205">
        <v>43576</v>
      </c>
    </row>
    <row r="40" spans="2:12" x14ac:dyDescent="0.2">
      <c r="B40" s="17" t="s">
        <v>3</v>
      </c>
      <c r="C40" s="17" t="s">
        <v>3526</v>
      </c>
      <c r="D40" s="17" t="s">
        <v>4501</v>
      </c>
      <c r="E40" s="18" t="s">
        <v>4502</v>
      </c>
      <c r="F40" s="17"/>
      <c r="G40" s="207">
        <v>47</v>
      </c>
      <c r="H40" s="205">
        <v>43576</v>
      </c>
    </row>
  </sheetData>
  <autoFilter ref="B2:H40"/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26"/>
  <sheetViews>
    <sheetView workbookViewId="0">
      <selection activeCell="B39" sqref="B39"/>
    </sheetView>
  </sheetViews>
  <sheetFormatPr baseColWidth="10" defaultRowHeight="16" x14ac:dyDescent="0.2"/>
  <cols>
    <col min="2" max="2" width="15.83203125" customWidth="1"/>
    <col min="3" max="11" width="12.5" customWidth="1"/>
  </cols>
  <sheetData>
    <row r="2" spans="2:7" x14ac:dyDescent="0.2">
      <c r="B2" s="19" t="s">
        <v>34</v>
      </c>
      <c r="C2" s="19" t="s">
        <v>3543</v>
      </c>
      <c r="D2" s="19" t="s">
        <v>3544</v>
      </c>
      <c r="E2" s="19" t="s">
        <v>3545</v>
      </c>
    </row>
    <row r="3" spans="2:7" x14ac:dyDescent="0.2">
      <c r="B3" s="4" t="s">
        <v>3528</v>
      </c>
      <c r="C3" s="2">
        <v>77451</v>
      </c>
      <c r="D3" s="2">
        <v>81572</v>
      </c>
      <c r="E3" s="2">
        <f>+C3+D3</f>
        <v>159023</v>
      </c>
    </row>
    <row r="4" spans="2:7" x14ac:dyDescent="0.2">
      <c r="B4" s="4" t="s">
        <v>3533</v>
      </c>
      <c r="C4" s="2">
        <v>38234</v>
      </c>
      <c r="D4" s="2">
        <v>38201</v>
      </c>
      <c r="E4" s="2">
        <f t="shared" ref="E4:E6" si="0">+C4+D4</f>
        <v>76435</v>
      </c>
    </row>
    <row r="5" spans="2:7" x14ac:dyDescent="0.2">
      <c r="B5" s="4" t="s">
        <v>3522</v>
      </c>
      <c r="C5" s="2">
        <v>34951</v>
      </c>
      <c r="D5" s="2">
        <v>33855</v>
      </c>
      <c r="E5" s="2">
        <f t="shared" si="0"/>
        <v>68806</v>
      </c>
    </row>
    <row r="6" spans="2:7" x14ac:dyDescent="0.2">
      <c r="B6" s="4" t="s">
        <v>3535</v>
      </c>
      <c r="C6" s="2">
        <v>51204</v>
      </c>
      <c r="D6" s="2">
        <v>50872</v>
      </c>
      <c r="E6" s="2">
        <f t="shared" si="0"/>
        <v>102076</v>
      </c>
    </row>
    <row r="7" spans="2:7" x14ac:dyDescent="0.2">
      <c r="B7" s="19" t="s">
        <v>3546</v>
      </c>
      <c r="C7" s="21">
        <f>SUM(C3:C6)</f>
        <v>201840</v>
      </c>
      <c r="D7" s="21">
        <f t="shared" ref="D7:E7" si="1">SUM(D3:D6)</f>
        <v>204500</v>
      </c>
      <c r="E7" s="21">
        <f t="shared" si="1"/>
        <v>406340</v>
      </c>
    </row>
    <row r="8" spans="2:7" x14ac:dyDescent="0.2">
      <c r="B8" s="19" t="s">
        <v>3547</v>
      </c>
      <c r="C8" s="20">
        <f>+C7/E7</f>
        <v>0.4967268789683516</v>
      </c>
      <c r="D8" s="20">
        <f>+D7/E7</f>
        <v>0.50327312103164834</v>
      </c>
      <c r="E8" s="20">
        <f>+D8+C8</f>
        <v>1</v>
      </c>
    </row>
    <row r="11" spans="2:7" x14ac:dyDescent="0.2">
      <c r="B11" s="19" t="s">
        <v>34</v>
      </c>
      <c r="C11" s="19" t="s">
        <v>3548</v>
      </c>
      <c r="D11" s="19" t="s">
        <v>3549</v>
      </c>
      <c r="E11" s="19" t="s">
        <v>3550</v>
      </c>
      <c r="F11" s="19" t="s">
        <v>3551</v>
      </c>
      <c r="G11" s="19" t="s">
        <v>3552</v>
      </c>
    </row>
    <row r="12" spans="2:7" x14ac:dyDescent="0.2">
      <c r="B12" s="4" t="s">
        <v>3528</v>
      </c>
      <c r="C12" s="2">
        <f>3343+42544</f>
        <v>45887</v>
      </c>
      <c r="D12" s="2">
        <v>49087</v>
      </c>
      <c r="E12" s="2">
        <v>30407</v>
      </c>
      <c r="F12" s="2">
        <v>24670</v>
      </c>
      <c r="G12" s="2">
        <v>8972</v>
      </c>
    </row>
    <row r="13" spans="2:7" x14ac:dyDescent="0.2">
      <c r="B13" s="4" t="s">
        <v>3533</v>
      </c>
      <c r="C13" s="2">
        <f>2040+24456</f>
        <v>26496</v>
      </c>
      <c r="D13" s="2">
        <v>23641</v>
      </c>
      <c r="E13" s="2">
        <v>13991</v>
      </c>
      <c r="F13" s="2">
        <v>9581</v>
      </c>
      <c r="G13" s="2">
        <v>2726</v>
      </c>
    </row>
    <row r="14" spans="2:7" x14ac:dyDescent="0.2">
      <c r="B14" s="4" t="s">
        <v>3522</v>
      </c>
      <c r="C14" s="2">
        <f>1900+22650</f>
        <v>24550</v>
      </c>
      <c r="D14" s="2">
        <v>20314</v>
      </c>
      <c r="E14" s="2">
        <v>12678</v>
      </c>
      <c r="F14" s="2">
        <v>8470</v>
      </c>
      <c r="G14" s="2">
        <v>2794</v>
      </c>
    </row>
    <row r="15" spans="2:7" x14ac:dyDescent="0.2">
      <c r="B15" s="4" t="s">
        <v>3535</v>
      </c>
      <c r="C15" s="2">
        <f>2902+34336</f>
        <v>37238</v>
      </c>
      <c r="D15" s="2">
        <v>30363</v>
      </c>
      <c r="E15" s="2">
        <v>18928</v>
      </c>
      <c r="F15" s="2">
        <v>12270</v>
      </c>
      <c r="G15" s="2">
        <v>3277</v>
      </c>
    </row>
    <row r="16" spans="2:7" x14ac:dyDescent="0.2">
      <c r="B16" s="19" t="s">
        <v>3546</v>
      </c>
      <c r="C16" s="21">
        <f>SUM(C12:C15)</f>
        <v>134171</v>
      </c>
      <c r="D16" s="21">
        <f t="shared" ref="D16" si="2">SUM(D12:D15)</f>
        <v>123405</v>
      </c>
      <c r="E16" s="21">
        <f t="shared" ref="E16" si="3">SUM(E12:E15)</f>
        <v>76004</v>
      </c>
      <c r="F16" s="21">
        <f t="shared" ref="F16" si="4">SUM(F12:F15)</f>
        <v>54991</v>
      </c>
      <c r="G16" s="21">
        <f t="shared" ref="G16" si="5">SUM(G12:G15)</f>
        <v>17769</v>
      </c>
    </row>
    <row r="17" spans="2:11" x14ac:dyDescent="0.2">
      <c r="B17" s="19" t="s">
        <v>3547</v>
      </c>
      <c r="C17" s="20">
        <f>+C16/$E$7</f>
        <v>0.33019392626864202</v>
      </c>
      <c r="D17" s="20">
        <f t="shared" ref="D17:G17" si="6">+D16/$E$7</f>
        <v>0.30369887286508834</v>
      </c>
      <c r="E17" s="20">
        <f t="shared" si="6"/>
        <v>0.18704533149579169</v>
      </c>
      <c r="F17" s="20">
        <f t="shared" si="6"/>
        <v>0.13533248018900429</v>
      </c>
      <c r="G17" s="20">
        <f t="shared" si="6"/>
        <v>4.3729389181473642E-2</v>
      </c>
    </row>
    <row r="19" spans="2:11" x14ac:dyDescent="0.2">
      <c r="B19" s="293" t="s">
        <v>34</v>
      </c>
      <c r="C19" s="290" t="s">
        <v>3553</v>
      </c>
      <c r="D19" s="290" t="s">
        <v>3554</v>
      </c>
      <c r="E19" s="290" t="s">
        <v>3555</v>
      </c>
      <c r="F19" s="290" t="s">
        <v>3556</v>
      </c>
      <c r="G19" s="290" t="s">
        <v>3557</v>
      </c>
      <c r="H19" s="290" t="s">
        <v>3558</v>
      </c>
      <c r="I19" s="290" t="s">
        <v>3559</v>
      </c>
      <c r="J19" s="290" t="s">
        <v>3560</v>
      </c>
      <c r="K19" s="290" t="s">
        <v>3545</v>
      </c>
    </row>
    <row r="20" spans="2:11" x14ac:dyDescent="0.2">
      <c r="B20" s="293"/>
      <c r="C20" s="290"/>
      <c r="D20" s="290"/>
      <c r="E20" s="290"/>
      <c r="F20" s="290"/>
      <c r="G20" s="290"/>
      <c r="H20" s="290"/>
      <c r="I20" s="290"/>
      <c r="J20" s="290"/>
      <c r="K20" s="290"/>
    </row>
    <row r="21" spans="2:11" x14ac:dyDescent="0.2">
      <c r="B21" s="4" t="s">
        <v>3528</v>
      </c>
      <c r="C21" s="2">
        <v>8932</v>
      </c>
      <c r="D21" s="22">
        <v>3537</v>
      </c>
      <c r="E21" s="2">
        <v>36541</v>
      </c>
      <c r="F21" s="2">
        <v>60257</v>
      </c>
      <c r="G21" s="2">
        <v>8148</v>
      </c>
      <c r="H21" s="2">
        <v>9502</v>
      </c>
      <c r="I21" s="2">
        <v>9057</v>
      </c>
      <c r="J21" s="2">
        <v>13202</v>
      </c>
      <c r="K21" s="2">
        <f>SUM(C21:J21)</f>
        <v>149176</v>
      </c>
    </row>
    <row r="22" spans="2:11" x14ac:dyDescent="0.2">
      <c r="B22" s="4" t="s">
        <v>3533</v>
      </c>
      <c r="C22" s="2">
        <v>5634</v>
      </c>
      <c r="D22" s="2">
        <v>1881</v>
      </c>
      <c r="E22" s="2">
        <v>23432</v>
      </c>
      <c r="F22" s="2">
        <v>29182</v>
      </c>
      <c r="G22" s="2">
        <v>2849</v>
      </c>
      <c r="H22" s="2">
        <v>2694</v>
      </c>
      <c r="I22" s="2">
        <v>2234</v>
      </c>
      <c r="J22" s="2">
        <v>2553</v>
      </c>
      <c r="K22" s="2">
        <f t="shared" ref="K22:K25" si="7">SUM(C22:J22)</f>
        <v>70459</v>
      </c>
    </row>
    <row r="23" spans="2:11" x14ac:dyDescent="0.2">
      <c r="B23" s="4" t="s">
        <v>3522</v>
      </c>
      <c r="C23" s="2">
        <v>5561</v>
      </c>
      <c r="D23" s="2">
        <v>1744</v>
      </c>
      <c r="E23" s="2">
        <v>23026</v>
      </c>
      <c r="F23" s="2">
        <v>25382</v>
      </c>
      <c r="G23" s="2">
        <v>2028</v>
      </c>
      <c r="H23" s="2">
        <v>1794</v>
      </c>
      <c r="I23" s="2">
        <v>1595</v>
      </c>
      <c r="J23" s="2">
        <v>1994</v>
      </c>
      <c r="K23" s="2">
        <f t="shared" si="7"/>
        <v>63124</v>
      </c>
    </row>
    <row r="24" spans="2:11" x14ac:dyDescent="0.2">
      <c r="B24" s="4" t="s">
        <v>3535</v>
      </c>
      <c r="C24" s="2">
        <v>7833</v>
      </c>
      <c r="D24" s="2">
        <v>3116</v>
      </c>
      <c r="E24" s="2">
        <v>31933</v>
      </c>
      <c r="F24" s="2">
        <v>38405</v>
      </c>
      <c r="G24" s="2">
        <v>3445</v>
      </c>
      <c r="H24" s="2">
        <v>2952</v>
      </c>
      <c r="I24" s="2">
        <v>2724</v>
      </c>
      <c r="J24" s="2">
        <v>3234</v>
      </c>
      <c r="K24" s="2">
        <f t="shared" si="7"/>
        <v>93642</v>
      </c>
    </row>
    <row r="25" spans="2:11" x14ac:dyDescent="0.2">
      <c r="B25" s="19" t="s">
        <v>3546</v>
      </c>
      <c r="C25" s="21">
        <f>+SUM(C21:C24)</f>
        <v>27960</v>
      </c>
      <c r="D25" s="21">
        <f t="shared" ref="D25:J25" si="8">+SUM(D21:D24)</f>
        <v>10278</v>
      </c>
      <c r="E25" s="21">
        <f t="shared" si="8"/>
        <v>114932</v>
      </c>
      <c r="F25" s="21">
        <f t="shared" si="8"/>
        <v>153226</v>
      </c>
      <c r="G25" s="21">
        <f t="shared" si="8"/>
        <v>16470</v>
      </c>
      <c r="H25" s="21">
        <f t="shared" si="8"/>
        <v>16942</v>
      </c>
      <c r="I25" s="21">
        <f t="shared" si="8"/>
        <v>15610</v>
      </c>
      <c r="J25" s="21">
        <f t="shared" si="8"/>
        <v>20983</v>
      </c>
      <c r="K25" s="21">
        <f t="shared" si="7"/>
        <v>376401</v>
      </c>
    </row>
    <row r="26" spans="2:11" x14ac:dyDescent="0.2">
      <c r="B26" s="19" t="s">
        <v>3547</v>
      </c>
      <c r="C26" s="20">
        <f>+C25/$K$25</f>
        <v>7.4282480652283073E-2</v>
      </c>
      <c r="D26" s="20">
        <f t="shared" ref="D26:K26" si="9">+D25/$K$25</f>
        <v>2.7305984840635386E-2</v>
      </c>
      <c r="E26" s="20">
        <f t="shared" si="9"/>
        <v>0.30534456603462795</v>
      </c>
      <c r="F26" s="20">
        <f t="shared" si="9"/>
        <v>0.40708180902813756</v>
      </c>
      <c r="G26" s="20">
        <f t="shared" si="9"/>
        <v>4.3756525620282621E-2</v>
      </c>
      <c r="H26" s="20">
        <f t="shared" si="9"/>
        <v>4.5010507410979249E-2</v>
      </c>
      <c r="I26" s="20">
        <f t="shared" si="9"/>
        <v>4.1471728289776064E-2</v>
      </c>
      <c r="J26" s="20">
        <f t="shared" si="9"/>
        <v>5.5746398123278099E-2</v>
      </c>
      <c r="K26" s="20">
        <f t="shared" si="9"/>
        <v>1</v>
      </c>
    </row>
  </sheetData>
  <mergeCells count="10">
    <mergeCell ref="F19:F20"/>
    <mergeCell ref="E19:E20"/>
    <mergeCell ref="C19:C20"/>
    <mergeCell ref="B19:B20"/>
    <mergeCell ref="D19:D20"/>
    <mergeCell ref="H19:H20"/>
    <mergeCell ref="I19:I20"/>
    <mergeCell ref="J19:J20"/>
    <mergeCell ref="K19:K20"/>
    <mergeCell ref="G19:G2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4"/>
  <sheetViews>
    <sheetView workbookViewId="0">
      <selection activeCell="T4" sqref="T4"/>
    </sheetView>
  </sheetViews>
  <sheetFormatPr baseColWidth="10" defaultRowHeight="16" x14ac:dyDescent="0.2"/>
  <cols>
    <col min="2" max="2" width="27.33203125" bestFit="1" customWidth="1"/>
  </cols>
  <sheetData>
    <row r="2" spans="2:20" x14ac:dyDescent="0.2">
      <c r="B2" t="s">
        <v>3616</v>
      </c>
      <c r="C2" s="26">
        <v>2005</v>
      </c>
      <c r="D2" s="26">
        <v>2006</v>
      </c>
      <c r="E2" s="26">
        <v>2007</v>
      </c>
      <c r="F2" s="26">
        <v>2008</v>
      </c>
      <c r="G2" s="26">
        <v>2009</v>
      </c>
      <c r="H2" s="26">
        <v>2010</v>
      </c>
      <c r="I2" s="26">
        <v>2011</v>
      </c>
      <c r="J2" s="26">
        <v>2012</v>
      </c>
      <c r="K2" s="26">
        <v>2013</v>
      </c>
      <c r="L2" s="26">
        <v>2014</v>
      </c>
      <c r="M2" s="26">
        <v>2015</v>
      </c>
      <c r="N2" s="4">
        <v>2016</v>
      </c>
      <c r="O2" s="4">
        <v>2017</v>
      </c>
      <c r="P2" s="4">
        <v>2018</v>
      </c>
      <c r="Q2" s="4">
        <v>2019</v>
      </c>
      <c r="R2" s="4">
        <v>2020</v>
      </c>
      <c r="S2" s="4">
        <v>2021</v>
      </c>
      <c r="T2" s="4">
        <v>2022</v>
      </c>
    </row>
    <row r="3" spans="2:20" x14ac:dyDescent="0.2">
      <c r="B3" s="4" t="s">
        <v>3581</v>
      </c>
      <c r="C3" s="4">
        <v>418168</v>
      </c>
      <c r="D3" s="4">
        <v>424247</v>
      </c>
      <c r="E3" s="4">
        <v>430268</v>
      </c>
      <c r="F3" s="4">
        <v>436185</v>
      </c>
      <c r="G3" s="4">
        <v>441939</v>
      </c>
      <c r="H3" s="4">
        <v>447467</v>
      </c>
      <c r="I3" s="4">
        <v>452757</v>
      </c>
      <c r="J3" s="4">
        <v>457865</v>
      </c>
      <c r="K3" s="4">
        <v>462783</v>
      </c>
      <c r="L3" s="4">
        <v>467493</v>
      </c>
      <c r="M3" s="4">
        <v>471993</v>
      </c>
      <c r="N3" s="4">
        <v>478860.38181818102</v>
      </c>
      <c r="O3" s="4">
        <v>484258.85454545356</v>
      </c>
      <c r="P3" s="4">
        <v>489657.32727272622</v>
      </c>
      <c r="Q3" s="4">
        <v>495055.79999999888</v>
      </c>
      <c r="R3" s="4">
        <v>500454.27272727154</v>
      </c>
      <c r="S3" s="4">
        <v>505852.7454545442</v>
      </c>
      <c r="T3" s="4">
        <v>511251.21818181686</v>
      </c>
    </row>
    <row r="4" spans="2:20" x14ac:dyDescent="0.2">
      <c r="N4">
        <f>ROUNDUP(N3,0)</f>
        <v>478861</v>
      </c>
      <c r="O4">
        <f t="shared" ref="O4:T4" si="0">ROUNDUP(O3,0)</f>
        <v>484259</v>
      </c>
      <c r="P4">
        <f t="shared" si="0"/>
        <v>489658</v>
      </c>
      <c r="Q4">
        <f t="shared" si="0"/>
        <v>495056</v>
      </c>
      <c r="R4">
        <f t="shared" si="0"/>
        <v>500455</v>
      </c>
      <c r="S4">
        <f t="shared" si="0"/>
        <v>505853</v>
      </c>
      <c r="T4">
        <f t="shared" si="0"/>
        <v>511252</v>
      </c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44</vt:i4>
      </vt:variant>
    </vt:vector>
  </HeadingPairs>
  <TitlesOfParts>
    <vt:vector size="44" baseType="lpstr">
      <vt:lpstr>Población Histórica Iquitos</vt:lpstr>
      <vt:lpstr>Regresión 1</vt:lpstr>
      <vt:lpstr>Hogares que utilizan</vt:lpstr>
      <vt:lpstr>PBI</vt:lpstr>
      <vt:lpstr>Licencias </vt:lpstr>
      <vt:lpstr># de locales</vt:lpstr>
      <vt:lpstr># de locales (2)</vt:lpstr>
      <vt:lpstr>Segmentación</vt:lpstr>
      <vt:lpstr>Proyección población</vt:lpstr>
      <vt:lpstr>Regresión 2</vt:lpstr>
      <vt:lpstr>De personas a hogares</vt:lpstr>
      <vt:lpstr>Demanda por hogar</vt:lpstr>
      <vt:lpstr>Demanda del proyecto</vt:lpstr>
      <vt:lpstr>Proyección oferta Llamagas</vt:lpstr>
      <vt:lpstr>Oferta Solgas Tarapoto</vt:lpstr>
      <vt:lpstr>Proyección oferta Solgas TPP</vt:lpstr>
      <vt:lpstr>Regresión 3</vt:lpstr>
      <vt:lpstr>EFI y EFE</vt:lpstr>
      <vt:lpstr>E-I</vt:lpstr>
      <vt:lpstr>FODA</vt:lpstr>
      <vt:lpstr>Matriz de enfrentamiento</vt:lpstr>
      <vt:lpstr>Terrenos</vt:lpstr>
      <vt:lpstr>Vehículos</vt:lpstr>
      <vt:lpstr>Insumos</vt:lpstr>
      <vt:lpstr>Diagrama de Flujo</vt:lpstr>
      <vt:lpstr>Capacidad de abastecimiento</vt:lpstr>
      <vt:lpstr>Tarifa Sedaloreto</vt:lpstr>
      <vt:lpstr>Requerimientos de personal</vt:lpstr>
      <vt:lpstr>Terrenos y obras civiles</vt:lpstr>
      <vt:lpstr>Equipamiento</vt:lpstr>
      <vt:lpstr>Inversión Activos Tangibles</vt:lpstr>
      <vt:lpstr>Inversión Activos Intangibles</vt:lpstr>
      <vt:lpstr>Capital de trabajo</vt:lpstr>
      <vt:lpstr>Capital de trabajo (2)</vt:lpstr>
      <vt:lpstr>Inversión total</vt:lpstr>
      <vt:lpstr>Alternativas de financiamiento</vt:lpstr>
      <vt:lpstr>Servicios</vt:lpstr>
      <vt:lpstr>Presupuestos</vt:lpstr>
      <vt:lpstr>Estado de resultados</vt:lpstr>
      <vt:lpstr>Punto EQ</vt:lpstr>
      <vt:lpstr>Flujo de caja</vt:lpstr>
      <vt:lpstr>COK - WACC</vt:lpstr>
      <vt:lpstr>PRI</vt:lpstr>
      <vt:lpstr>Análisis de Sensibilidad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2016-09-25T21:46:35Z</dcterms:created>
  <dcterms:modified xsi:type="dcterms:W3CDTF">2019-06-08T16:49:16Z</dcterms:modified>
</cp:coreProperties>
</file>