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style4.xml" ContentType="application/vnd.ms-office.chartstyle+xml"/>
  <Override PartName="/xl/charts/colors4.xml" ContentType="application/vnd.ms-office.chartcolor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155" tabRatio="803" firstSheet="23" activeTab="26"/>
  </bookViews>
  <sheets>
    <sheet name="Análisis Macro Entorno" sheetId="9" state="hidden" r:id="rId1"/>
    <sheet name="Análisis FODA" sheetId="1" state="hidden" r:id="rId2"/>
    <sheet name="El Mercado" sheetId="5" state="hidden" r:id="rId3"/>
    <sheet name="El Producto" sheetId="4" state="hidden" r:id="rId4"/>
    <sheet name="El Consumidor" sheetId="34" state="hidden" r:id="rId5"/>
    <sheet name="Demanda" sheetId="2" state="hidden" r:id="rId6"/>
    <sheet name="Oferta" sheetId="3" state="hidden" r:id="rId7"/>
    <sheet name="Demanda del Proyecto" sheetId="7" state="hidden" r:id="rId8"/>
    <sheet name="Precio" sheetId="8" state="hidden" r:id="rId9"/>
    <sheet name="Macrolocalización" sheetId="10" state="hidden" r:id="rId10"/>
    <sheet name="Microlocalización" sheetId="11" state="hidden" r:id="rId11"/>
    <sheet name="Tamaño de Planta" sheetId="12" state="hidden" r:id="rId12"/>
    <sheet name="Proceso Productivo" sheetId="22" state="hidden" r:id="rId13"/>
    <sheet name="Tiempo Operaciones" sheetId="24" state="hidden" r:id="rId14"/>
    <sheet name="Cronograma de Trabajo" sheetId="28" state="hidden" r:id="rId15"/>
    <sheet name="Requerimientos del Proceso" sheetId="15" state="hidden" r:id="rId16"/>
    <sheet name="Características Físicas" sheetId="16" state="hidden" r:id="rId17"/>
    <sheet name="Dimensionamiento Planta" sheetId="17" state="hidden" r:id="rId18"/>
    <sheet name="Evaluación de IA" sheetId="19" state="hidden" r:id="rId19"/>
    <sheet name="Cronograma del Proyecto" sheetId="20" state="hidden" r:id="rId20"/>
    <sheet name="Estudio Legal" sheetId="21" state="hidden" r:id="rId21"/>
    <sheet name="Estudio Organizacional" sheetId="25" state="hidden" r:id="rId22"/>
    <sheet name="Inversión del Proyecto" sheetId="26" r:id="rId23"/>
    <sheet name="Financiamiento del Proyecto" sheetId="29" r:id="rId24"/>
    <sheet name="Presupuesto" sheetId="30" r:id="rId25"/>
    <sheet name="Punto de Equilibrio" sheetId="31" state="hidden" r:id="rId26"/>
    <sheet name="Estados Financieros" sheetId="32" r:id="rId27"/>
    <sheet name="Estados Financieros (2)" sheetId="36" state="hidden" r:id="rId28"/>
    <sheet name="Evaluación Económica y Financie" sheetId="33" r:id="rId29"/>
    <sheet name="Análisis de Sensibilidad" sheetId="35" r:id="rId30"/>
  </sheets>
  <definedNames>
    <definedName name="_xlnm._FilterDatabase" localSheetId="10" hidden="1">Microlocalización!$J$2:$K$9</definedName>
  </definedNames>
  <calcPr calcId="145621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54" i="30" l="1"/>
  <c r="D154" i="30"/>
  <c r="E154" i="30"/>
  <c r="F154" i="30"/>
  <c r="G154" i="30"/>
  <c r="H154" i="30"/>
  <c r="I154" i="30"/>
  <c r="J154" i="30"/>
  <c r="K154" i="30"/>
  <c r="L154" i="30"/>
  <c r="M154" i="30"/>
  <c r="B154" i="30"/>
  <c r="C125" i="30"/>
  <c r="D125" i="30"/>
  <c r="E125" i="30"/>
  <c r="F125" i="30"/>
  <c r="G125" i="30"/>
  <c r="H125" i="30"/>
  <c r="I125" i="30"/>
  <c r="J125" i="30"/>
  <c r="K125" i="30"/>
  <c r="L125" i="30"/>
  <c r="M125" i="30"/>
  <c r="B125" i="30"/>
  <c r="C96" i="30"/>
  <c r="D96" i="30"/>
  <c r="E96" i="30"/>
  <c r="F96" i="30"/>
  <c r="G96" i="30"/>
  <c r="H96" i="30"/>
  <c r="I96" i="30"/>
  <c r="J96" i="30"/>
  <c r="K96" i="30"/>
  <c r="L96" i="30"/>
  <c r="M96" i="30"/>
  <c r="B96" i="30"/>
  <c r="C67" i="30"/>
  <c r="D67" i="30"/>
  <c r="E67" i="30"/>
  <c r="F67" i="30"/>
  <c r="G67" i="30"/>
  <c r="H67" i="30"/>
  <c r="I67" i="30"/>
  <c r="J67" i="30"/>
  <c r="K67" i="30"/>
  <c r="L67" i="30"/>
  <c r="M67" i="30"/>
  <c r="B67" i="30"/>
  <c r="C38" i="30"/>
  <c r="D38" i="30"/>
  <c r="E38" i="30"/>
  <c r="F38" i="30"/>
  <c r="G38" i="30"/>
  <c r="H38" i="30"/>
  <c r="I38" i="30"/>
  <c r="J38" i="30"/>
  <c r="K38" i="30"/>
  <c r="L38" i="30"/>
  <c r="M38" i="30"/>
  <c r="B38" i="30"/>
  <c r="C41" i="30"/>
  <c r="D41" i="30"/>
  <c r="E41" i="30"/>
  <c r="F41" i="30"/>
  <c r="G41" i="30"/>
  <c r="H41" i="30"/>
  <c r="I41" i="30"/>
  <c r="J41" i="30"/>
  <c r="K41" i="30"/>
  <c r="L41" i="30"/>
  <c r="M41" i="30"/>
  <c r="B41" i="30"/>
  <c r="C70" i="30"/>
  <c r="D70" i="30"/>
  <c r="E70" i="30"/>
  <c r="F70" i="30"/>
  <c r="G70" i="30"/>
  <c r="H70" i="30"/>
  <c r="I70" i="30"/>
  <c r="J70" i="30"/>
  <c r="K70" i="30"/>
  <c r="L70" i="30"/>
  <c r="M70" i="30"/>
  <c r="B70" i="30"/>
  <c r="C99" i="30"/>
  <c r="D99" i="30"/>
  <c r="E99" i="30"/>
  <c r="F99" i="30"/>
  <c r="G99" i="30"/>
  <c r="H99" i="30"/>
  <c r="I99" i="30"/>
  <c r="J99" i="30"/>
  <c r="K99" i="30"/>
  <c r="L99" i="30"/>
  <c r="M99" i="30"/>
  <c r="B99" i="30"/>
  <c r="C128" i="30"/>
  <c r="D128" i="30"/>
  <c r="E128" i="30"/>
  <c r="F128" i="30"/>
  <c r="G128" i="30"/>
  <c r="H128" i="30"/>
  <c r="I128" i="30"/>
  <c r="J128" i="30"/>
  <c r="K128" i="30"/>
  <c r="L128" i="30"/>
  <c r="M128" i="30"/>
  <c r="B128" i="30"/>
  <c r="C157" i="30"/>
  <c r="D157" i="30"/>
  <c r="E157" i="30"/>
  <c r="F157" i="30"/>
  <c r="G157" i="30"/>
  <c r="H157" i="30"/>
  <c r="I157" i="30"/>
  <c r="J157" i="30"/>
  <c r="K157" i="30"/>
  <c r="L157" i="30"/>
  <c r="M157" i="30"/>
  <c r="B157" i="30"/>
  <c r="I12" i="30"/>
  <c r="J12" i="30"/>
  <c r="K12" i="30"/>
  <c r="L12" i="30"/>
  <c r="H12" i="30"/>
  <c r="H4" i="30"/>
  <c r="G74" i="32"/>
  <c r="H73" i="32"/>
  <c r="H74" i="32" s="1"/>
  <c r="G73" i="32"/>
  <c r="F73" i="32"/>
  <c r="F74" i="32" s="1"/>
  <c r="F75" i="32" s="1"/>
  <c r="E73" i="32"/>
  <c r="E74" i="32" s="1"/>
  <c r="D73" i="32"/>
  <c r="D74" i="32" s="1"/>
  <c r="H72" i="32"/>
  <c r="N17" i="32" s="1"/>
  <c r="G72" i="32"/>
  <c r="G75" i="32" s="1"/>
  <c r="F72" i="32"/>
  <c r="L17" i="32" s="1"/>
  <c r="E72" i="32"/>
  <c r="K17" i="32" s="1"/>
  <c r="D72" i="32"/>
  <c r="J17" i="32" s="1"/>
  <c r="H64" i="32"/>
  <c r="G64" i="32"/>
  <c r="F64" i="32"/>
  <c r="E64" i="32"/>
  <c r="D64" i="32"/>
  <c r="H63" i="32"/>
  <c r="G63" i="32"/>
  <c r="F63" i="32"/>
  <c r="E63" i="32"/>
  <c r="D63" i="32"/>
  <c r="H62" i="32"/>
  <c r="G62" i="32"/>
  <c r="F62" i="32"/>
  <c r="E62" i="32"/>
  <c r="D62" i="32"/>
  <c r="H61" i="32"/>
  <c r="G61" i="32"/>
  <c r="F61" i="32"/>
  <c r="E61" i="32"/>
  <c r="D61" i="32"/>
  <c r="C59" i="32"/>
  <c r="C58" i="32"/>
  <c r="C67" i="32" s="1"/>
  <c r="C57" i="32"/>
  <c r="D75" i="32" l="1"/>
  <c r="H75" i="32"/>
  <c r="M17" i="32"/>
  <c r="C75" i="32"/>
  <c r="E75" i="32"/>
  <c r="E66" i="32"/>
  <c r="I10" i="30" l="1"/>
  <c r="J10" i="30"/>
  <c r="K10" i="30"/>
  <c r="L10" i="30"/>
  <c r="H10" i="30"/>
  <c r="Z6" i="29"/>
  <c r="G11" i="36"/>
  <c r="F11" i="36"/>
  <c r="E11" i="36"/>
  <c r="D11" i="36"/>
  <c r="C11" i="36"/>
  <c r="H75" i="36"/>
  <c r="G75" i="36"/>
  <c r="E74" i="36"/>
  <c r="H73" i="36"/>
  <c r="H74" i="36" s="1"/>
  <c r="G73" i="36"/>
  <c r="G74" i="36" s="1"/>
  <c r="F73" i="36"/>
  <c r="F74" i="36" s="1"/>
  <c r="E73" i="36"/>
  <c r="D73" i="36"/>
  <c r="D74" i="36" s="1"/>
  <c r="H72" i="36"/>
  <c r="O17" i="36" s="1"/>
  <c r="G72" i="36"/>
  <c r="N17" i="36" s="1"/>
  <c r="O58" i="36" s="1"/>
  <c r="F72" i="36"/>
  <c r="E72" i="36"/>
  <c r="D72" i="36"/>
  <c r="D75" i="36" s="1"/>
  <c r="C70" i="36"/>
  <c r="D66" i="36"/>
  <c r="H64" i="36"/>
  <c r="G64" i="36"/>
  <c r="F64" i="36"/>
  <c r="E64" i="36"/>
  <c r="D64" i="36"/>
  <c r="H63" i="36"/>
  <c r="G63" i="36"/>
  <c r="F63" i="36"/>
  <c r="E63" i="36"/>
  <c r="D63" i="36"/>
  <c r="H62" i="36"/>
  <c r="G62" i="36"/>
  <c r="F62" i="36"/>
  <c r="E62" i="36"/>
  <c r="D62" i="36"/>
  <c r="M61" i="36"/>
  <c r="K61" i="36"/>
  <c r="H61" i="36"/>
  <c r="G61" i="36"/>
  <c r="F61" i="36"/>
  <c r="E61" i="36"/>
  <c r="D61" i="36"/>
  <c r="C59" i="36"/>
  <c r="N58" i="36"/>
  <c r="C58" i="36"/>
  <c r="C67" i="36" s="1"/>
  <c r="N57" i="36"/>
  <c r="M57" i="36"/>
  <c r="C57" i="36"/>
  <c r="P56" i="36"/>
  <c r="O56" i="36"/>
  <c r="N56" i="36"/>
  <c r="M56" i="36"/>
  <c r="L56" i="36"/>
  <c r="H54" i="36"/>
  <c r="H53" i="36"/>
  <c r="L49" i="36"/>
  <c r="K48" i="36"/>
  <c r="K53" i="36" s="1"/>
  <c r="H42" i="36"/>
  <c r="G42" i="36"/>
  <c r="F42" i="36"/>
  <c r="E42" i="36"/>
  <c r="D42" i="36"/>
  <c r="H41" i="36"/>
  <c r="G41" i="36"/>
  <c r="F41" i="36"/>
  <c r="E41" i="36"/>
  <c r="D41" i="36"/>
  <c r="H40" i="36"/>
  <c r="G40" i="36"/>
  <c r="F40" i="36"/>
  <c r="E40" i="36"/>
  <c r="D40" i="36"/>
  <c r="C35" i="36"/>
  <c r="C34" i="36"/>
  <c r="H30" i="36"/>
  <c r="C36" i="36" s="1"/>
  <c r="H29" i="36"/>
  <c r="P26" i="36"/>
  <c r="O26" i="36"/>
  <c r="N26" i="36"/>
  <c r="M26" i="36"/>
  <c r="L26" i="36"/>
  <c r="N25" i="36"/>
  <c r="M25" i="36"/>
  <c r="L25" i="36"/>
  <c r="K25" i="36"/>
  <c r="K28" i="36" s="1"/>
  <c r="K34" i="36" s="1"/>
  <c r="L18" i="36"/>
  <c r="L60" i="36" s="1"/>
  <c r="K18" i="36"/>
  <c r="K60" i="36" s="1"/>
  <c r="M17" i="36"/>
  <c r="L17" i="36"/>
  <c r="M58" i="36" s="1"/>
  <c r="K17" i="36"/>
  <c r="K19" i="36" s="1"/>
  <c r="L13" i="36"/>
  <c r="M13" i="36" s="1"/>
  <c r="N13" i="36" s="1"/>
  <c r="O13" i="36" s="1"/>
  <c r="P13" i="36" s="1"/>
  <c r="G13" i="36"/>
  <c r="F13" i="36"/>
  <c r="O57" i="36" s="1"/>
  <c r="E13" i="36"/>
  <c r="N49" i="36" s="1"/>
  <c r="D13" i="36"/>
  <c r="M49" i="36" s="1"/>
  <c r="C13" i="36"/>
  <c r="L57" i="36" s="1"/>
  <c r="P12" i="36"/>
  <c r="O12" i="36"/>
  <c r="N12" i="36"/>
  <c r="M12" i="36"/>
  <c r="L12" i="36"/>
  <c r="K12" i="36"/>
  <c r="K55" i="36" s="1"/>
  <c r="L11" i="36"/>
  <c r="P10" i="36"/>
  <c r="O10" i="36"/>
  <c r="N10" i="36"/>
  <c r="M10" i="36"/>
  <c r="L10" i="36"/>
  <c r="K10" i="36"/>
  <c r="K14" i="36" s="1"/>
  <c r="G9" i="36"/>
  <c r="F9" i="36"/>
  <c r="E9" i="36"/>
  <c r="D9" i="36"/>
  <c r="C9" i="36"/>
  <c r="G8" i="36"/>
  <c r="F8" i="36"/>
  <c r="E8" i="36"/>
  <c r="D8" i="36"/>
  <c r="C8" i="36"/>
  <c r="M18" i="36" l="1"/>
  <c r="L19" i="36"/>
  <c r="N18" i="36"/>
  <c r="M60" i="36"/>
  <c r="N61" i="36"/>
  <c r="O25" i="36"/>
  <c r="C68" i="36"/>
  <c r="K21" i="36"/>
  <c r="M14" i="36"/>
  <c r="P49" i="36"/>
  <c r="P57" i="36"/>
  <c r="L58" i="36"/>
  <c r="P58" i="36"/>
  <c r="F75" i="36"/>
  <c r="L14" i="36"/>
  <c r="L48" i="36"/>
  <c r="M19" i="36"/>
  <c r="L61" i="36"/>
  <c r="C75" i="36"/>
  <c r="C76" i="36" s="1"/>
  <c r="M11" i="36"/>
  <c r="C43" i="36"/>
  <c r="C44" i="36" s="1"/>
  <c r="C45" i="36" s="1"/>
  <c r="K54" i="36"/>
  <c r="K56" i="36" s="1"/>
  <c r="E75" i="36"/>
  <c r="O49" i="36"/>
  <c r="L25" i="32"/>
  <c r="M25" i="32" s="1"/>
  <c r="N25" i="32" s="1"/>
  <c r="O25" i="32" s="1"/>
  <c r="K25" i="32"/>
  <c r="K11" i="32"/>
  <c r="J18" i="32"/>
  <c r="K18" i="32" s="1"/>
  <c r="L18" i="32" s="1"/>
  <c r="M18" i="32" s="1"/>
  <c r="N18" i="32" s="1"/>
  <c r="O18" i="32" s="1"/>
  <c r="O19" i="32" s="1"/>
  <c r="K59" i="36" l="1"/>
  <c r="K62" i="36" s="1"/>
  <c r="K63" i="36" s="1"/>
  <c r="K66" i="36" s="1"/>
  <c r="L21" i="36"/>
  <c r="K22" i="36"/>
  <c r="K23" i="36" s="1"/>
  <c r="P25" i="36"/>
  <c r="O61" i="36"/>
  <c r="O18" i="36"/>
  <c r="N60" i="36"/>
  <c r="N19" i="36"/>
  <c r="N11" i="36"/>
  <c r="O11" i="36" l="1"/>
  <c r="N14" i="36"/>
  <c r="O60" i="36"/>
  <c r="P18" i="36"/>
  <c r="O19" i="36"/>
  <c r="K35" i="36"/>
  <c r="K37" i="36" s="1"/>
  <c r="K29" i="36"/>
  <c r="K30" i="36" s="1"/>
  <c r="M48" i="36"/>
  <c r="L22" i="36"/>
  <c r="L23" i="36" s="1"/>
  <c r="L59" i="36"/>
  <c r="L62" i="36" s="1"/>
  <c r="M21" i="36"/>
  <c r="P61" i="36"/>
  <c r="K6" i="36"/>
  <c r="K8" i="36" s="1"/>
  <c r="K15" i="36" s="1"/>
  <c r="K32" i="36" s="1"/>
  <c r="L65" i="36"/>
  <c r="F241" i="30"/>
  <c r="E241" i="30"/>
  <c r="D241" i="30"/>
  <c r="C241" i="30"/>
  <c r="B241" i="30"/>
  <c r="F182" i="30"/>
  <c r="E182" i="30"/>
  <c r="D182" i="30"/>
  <c r="C182" i="30"/>
  <c r="B182" i="30"/>
  <c r="N48" i="36" l="1"/>
  <c r="L35" i="36"/>
  <c r="P19" i="36"/>
  <c r="P60" i="36"/>
  <c r="P11" i="36"/>
  <c r="O14" i="36"/>
  <c r="N21" i="36"/>
  <c r="M59" i="36"/>
  <c r="M62" i="36" s="1"/>
  <c r="M22" i="36"/>
  <c r="M23" i="36" s="1"/>
  <c r="C185" i="15"/>
  <c r="D185" i="15"/>
  <c r="E185" i="15"/>
  <c r="F185" i="15"/>
  <c r="N59" i="36" l="1"/>
  <c r="N62" i="36" s="1"/>
  <c r="N22" i="36"/>
  <c r="N23" i="36" s="1"/>
  <c r="O21" i="36"/>
  <c r="O48" i="36"/>
  <c r="M35" i="36"/>
  <c r="P14" i="36"/>
  <c r="G58" i="15"/>
  <c r="G57" i="15"/>
  <c r="G56" i="15"/>
  <c r="G55" i="15"/>
  <c r="G54" i="15"/>
  <c r="G53" i="15"/>
  <c r="P48" i="36" l="1"/>
  <c r="N35" i="36"/>
  <c r="O22" i="36"/>
  <c r="O23" i="36" s="1"/>
  <c r="P21" i="36"/>
  <c r="O59" i="36"/>
  <c r="O62" i="36" s="1"/>
  <c r="Y5" i="29"/>
  <c r="Y14" i="29"/>
  <c r="C2" i="26"/>
  <c r="P22" i="36" l="1"/>
  <c r="P23" i="36" s="1"/>
  <c r="P59" i="36"/>
  <c r="P62" i="36" s="1"/>
  <c r="O35" i="36"/>
  <c r="Q16" i="30"/>
  <c r="R16" i="30"/>
  <c r="S16" i="30"/>
  <c r="T16" i="30"/>
  <c r="U16" i="30"/>
  <c r="P16" i="30"/>
  <c r="O16" i="30"/>
  <c r="P35" i="36" l="1"/>
  <c r="F22" i="31"/>
  <c r="F23" i="31"/>
  <c r="F24" i="31"/>
  <c r="F25" i="31"/>
  <c r="F26" i="31"/>
  <c r="F32" i="7"/>
  <c r="I20" i="7"/>
  <c r="C15" i="7"/>
  <c r="C12" i="7"/>
  <c r="M92" i="3"/>
  <c r="C13" i="7" s="1"/>
  <c r="M93" i="3"/>
  <c r="C14" i="7" s="1"/>
  <c r="M94" i="3"/>
  <c r="M95" i="3"/>
  <c r="C16" i="7" s="1"/>
  <c r="G24" i="7" s="1"/>
  <c r="M91" i="3"/>
  <c r="AB58" i="3"/>
  <c r="AC58" i="3" s="1"/>
  <c r="M68" i="3" s="1"/>
  <c r="T58" i="3"/>
  <c r="N58" i="3"/>
  <c r="D68" i="3" s="1"/>
  <c r="Q58" i="3"/>
  <c r="Y58" i="3"/>
  <c r="E58" i="3"/>
  <c r="C22" i="3"/>
  <c r="E22" i="3" s="1"/>
  <c r="D115" i="2"/>
  <c r="C5" i="7" s="1"/>
  <c r="D116" i="2"/>
  <c r="C6" i="7" s="1"/>
  <c r="D117" i="2"/>
  <c r="C7" i="7" s="1"/>
  <c r="D118" i="2"/>
  <c r="C8" i="7" s="1"/>
  <c r="F24" i="7" s="1"/>
  <c r="D114" i="2"/>
  <c r="C4" i="7" s="1"/>
  <c r="H71" i="2"/>
  <c r="G71" i="2"/>
  <c r="F71" i="2"/>
  <c r="I71" i="2" s="1"/>
  <c r="H62" i="2"/>
  <c r="G62" i="2"/>
  <c r="F62" i="2"/>
  <c r="G78" i="2"/>
  <c r="F89" i="2" s="1"/>
  <c r="H89" i="2" s="1"/>
  <c r="I89" i="2" s="1"/>
  <c r="G74" i="2"/>
  <c r="I57" i="2"/>
  <c r="F41" i="2"/>
  <c r="F33" i="2"/>
  <c r="S25" i="2"/>
  <c r="S17" i="2"/>
  <c r="K25" i="2"/>
  <c r="G33" i="2" s="1"/>
  <c r="K17" i="2"/>
  <c r="G41" i="2" s="1"/>
  <c r="F9" i="2"/>
  <c r="H7" i="9"/>
  <c r="D7" i="9" s="1"/>
  <c r="B7" i="9" s="1"/>
  <c r="H3" i="9"/>
  <c r="D3" i="9" s="1"/>
  <c r="H4" i="9"/>
  <c r="D4" i="9" s="1"/>
  <c r="B4" i="9" s="1"/>
  <c r="H5" i="9"/>
  <c r="D5" i="9" s="1"/>
  <c r="H6" i="9"/>
  <c r="D6" i="9" s="1"/>
  <c r="B6" i="9" s="1"/>
  <c r="C32" i="3" l="1"/>
  <c r="E32" i="3" s="1"/>
  <c r="D58" i="3" s="1"/>
  <c r="C58" i="3"/>
  <c r="F58" i="3" s="1"/>
  <c r="C68" i="3" s="1"/>
  <c r="E68" i="3" s="1"/>
  <c r="Q68" i="3" s="1"/>
  <c r="S68" i="3" s="1"/>
  <c r="B5" i="9"/>
  <c r="B8" i="9" s="1"/>
  <c r="U58" i="3"/>
  <c r="L68" i="3" s="1"/>
  <c r="N68" i="3" s="1"/>
  <c r="R68" i="3" s="1"/>
  <c r="H24" i="7"/>
  <c r="H9" i="2"/>
  <c r="J9" i="2" s="1"/>
  <c r="H41" i="2"/>
  <c r="G49" i="2" s="1"/>
  <c r="H33" i="2"/>
  <c r="F49" i="2" s="1"/>
  <c r="G9" i="2"/>
  <c r="I9" i="2" s="1"/>
  <c r="D80" i="26"/>
  <c r="D81" i="26"/>
  <c r="D79" i="26"/>
  <c r="D72" i="26"/>
  <c r="D73" i="26"/>
  <c r="E73" i="26" s="1"/>
  <c r="F73" i="26" s="1"/>
  <c r="D74" i="26"/>
  <c r="E74" i="26" s="1"/>
  <c r="D75" i="26"/>
  <c r="E75" i="26" s="1"/>
  <c r="F75" i="26" s="1"/>
  <c r="D71" i="26"/>
  <c r="C82" i="26"/>
  <c r="B82" i="26"/>
  <c r="C76" i="26"/>
  <c r="B76" i="26"/>
  <c r="C267" i="30"/>
  <c r="C268" i="30"/>
  <c r="C271" i="30" s="1"/>
  <c r="C269" i="30"/>
  <c r="C270" i="30"/>
  <c r="D268" i="30"/>
  <c r="D269" i="30"/>
  <c r="D270" i="30"/>
  <c r="E268" i="30"/>
  <c r="E269" i="30"/>
  <c r="E270" i="30"/>
  <c r="F268" i="30"/>
  <c r="F269" i="30"/>
  <c r="F270" i="30"/>
  <c r="B267" i="30"/>
  <c r="B268" i="30"/>
  <c r="B269" i="30"/>
  <c r="B270" i="30"/>
  <c r="C237" i="30"/>
  <c r="S189" i="30"/>
  <c r="T189" i="30"/>
  <c r="S190" i="30"/>
  <c r="T190" i="30" s="1"/>
  <c r="U190" i="30" s="1"/>
  <c r="Y190" i="30" s="1"/>
  <c r="S191" i="30"/>
  <c r="S192" i="30"/>
  <c r="T192" i="30" s="1"/>
  <c r="S193" i="30"/>
  <c r="T193" i="30" s="1"/>
  <c r="S194" i="30"/>
  <c r="T194" i="30" s="1"/>
  <c r="S195" i="30"/>
  <c r="T195" i="30" s="1"/>
  <c r="C239" i="30"/>
  <c r="C240" i="30"/>
  <c r="D237" i="30"/>
  <c r="D239" i="30"/>
  <c r="D240" i="30"/>
  <c r="E237" i="30"/>
  <c r="E239" i="30"/>
  <c r="E240" i="30"/>
  <c r="F237" i="30"/>
  <c r="F239" i="30"/>
  <c r="F240" i="30"/>
  <c r="B237" i="30"/>
  <c r="B239" i="30"/>
  <c r="B240" i="30"/>
  <c r="C179" i="30"/>
  <c r="R179" i="30"/>
  <c r="S179" i="30"/>
  <c r="T179" i="30" s="1"/>
  <c r="U179" i="30" s="1"/>
  <c r="Y179" i="30" s="1"/>
  <c r="R180" i="30"/>
  <c r="R181" i="30"/>
  <c r="S181" i="30" s="1"/>
  <c r="T181" i="30" s="1"/>
  <c r="R182" i="30"/>
  <c r="S182" i="30" s="1"/>
  <c r="T182" i="30" s="1"/>
  <c r="U182" i="30" s="1"/>
  <c r="Y182" i="30" s="1"/>
  <c r="R183" i="30"/>
  <c r="S183" i="30" s="1"/>
  <c r="T183" i="30" s="1"/>
  <c r="U183" i="30" s="1"/>
  <c r="Y183" i="30" s="1"/>
  <c r="C181" i="30"/>
  <c r="AQ9" i="4"/>
  <c r="AR9" i="4" s="1"/>
  <c r="AK9" i="4" s="1"/>
  <c r="AQ24" i="4"/>
  <c r="AR24" i="4" s="1"/>
  <c r="AK24" i="4" s="1"/>
  <c r="AQ39" i="4"/>
  <c r="AR39" i="4" s="1"/>
  <c r="AK39" i="4" s="1"/>
  <c r="AQ54" i="4"/>
  <c r="AR54" i="4"/>
  <c r="AK54" i="4" s="1"/>
  <c r="AQ11" i="4"/>
  <c r="AR11" i="4" s="1"/>
  <c r="AK11" i="4" s="1"/>
  <c r="AQ26" i="4"/>
  <c r="AR26" i="4" s="1"/>
  <c r="AK26" i="4"/>
  <c r="AQ41" i="4"/>
  <c r="AR41" i="4" s="1"/>
  <c r="AK41" i="4" s="1"/>
  <c r="AQ56" i="4"/>
  <c r="AR56" i="4"/>
  <c r="AK56" i="4" s="1"/>
  <c r="AQ12" i="4"/>
  <c r="AR12" i="4" s="1"/>
  <c r="AK12" i="4" s="1"/>
  <c r="AQ27" i="4"/>
  <c r="AR27" i="4" s="1"/>
  <c r="AK27" i="4" s="1"/>
  <c r="F25" i="30" s="1"/>
  <c r="AQ42" i="4"/>
  <c r="AR42" i="4" s="1"/>
  <c r="AK42" i="4" s="1"/>
  <c r="AQ57" i="4"/>
  <c r="AR57" i="4" s="1"/>
  <c r="AK57" i="4" s="1"/>
  <c r="AQ13" i="4"/>
  <c r="AR13" i="4" s="1"/>
  <c r="AK13" i="4" s="1"/>
  <c r="AQ28" i="4"/>
  <c r="AR28" i="4"/>
  <c r="AK28" i="4" s="1"/>
  <c r="AQ43" i="4"/>
  <c r="AR43" i="4" s="1"/>
  <c r="AK43" i="4" s="1"/>
  <c r="L26" i="30" s="1"/>
  <c r="AQ58" i="4"/>
  <c r="AR58" i="4" s="1"/>
  <c r="AK58" i="4" s="1"/>
  <c r="AQ14" i="4"/>
  <c r="AR14" i="4" s="1"/>
  <c r="AK14" i="4" s="1"/>
  <c r="AQ29" i="4"/>
  <c r="AR29" i="4" s="1"/>
  <c r="AK29" i="4" s="1"/>
  <c r="AQ44" i="4"/>
  <c r="AR44" i="4" s="1"/>
  <c r="AK44" i="4" s="1"/>
  <c r="AQ59" i="4"/>
  <c r="AR59" i="4"/>
  <c r="AK59" i="4" s="1"/>
  <c r="AQ15" i="4"/>
  <c r="AR15" i="4" s="1"/>
  <c r="AK15" i="4" s="1"/>
  <c r="AQ30" i="4"/>
  <c r="AR30" i="4" s="1"/>
  <c r="AK30" i="4" s="1"/>
  <c r="AQ45" i="4"/>
  <c r="AR45" i="4" s="1"/>
  <c r="AK45" i="4" s="1"/>
  <c r="AQ60" i="4"/>
  <c r="AR60" i="4" s="1"/>
  <c r="AK60" i="4" s="1"/>
  <c r="AQ16" i="4"/>
  <c r="AR16" i="4" s="1"/>
  <c r="AK16" i="4" s="1"/>
  <c r="AQ31" i="4"/>
  <c r="AR31" i="4"/>
  <c r="AK31" i="4" s="1"/>
  <c r="AQ46" i="4"/>
  <c r="AR46" i="4" s="1"/>
  <c r="AK46" i="4" s="1"/>
  <c r="K29" i="30" s="1"/>
  <c r="AQ61" i="4"/>
  <c r="AR61" i="4" s="1"/>
  <c r="AK61" i="4" s="1"/>
  <c r="B59" i="30"/>
  <c r="B60" i="30"/>
  <c r="B61" i="30"/>
  <c r="B62" i="30"/>
  <c r="C59" i="30"/>
  <c r="C60" i="30"/>
  <c r="C61" i="30"/>
  <c r="C62" i="30"/>
  <c r="D59" i="30"/>
  <c r="D60" i="30"/>
  <c r="D61" i="30"/>
  <c r="D62" i="30"/>
  <c r="E59" i="30"/>
  <c r="E60" i="30"/>
  <c r="E61" i="30"/>
  <c r="E62" i="30"/>
  <c r="F59" i="30"/>
  <c r="F60" i="30"/>
  <c r="F61" i="30"/>
  <c r="F62" i="30"/>
  <c r="G59" i="30"/>
  <c r="G60" i="30"/>
  <c r="G61" i="30"/>
  <c r="G62" i="30"/>
  <c r="H59" i="30"/>
  <c r="H60" i="30"/>
  <c r="H61" i="30"/>
  <c r="H62" i="30"/>
  <c r="I59" i="30"/>
  <c r="I60" i="30"/>
  <c r="I61" i="30"/>
  <c r="I62" i="30"/>
  <c r="J59" i="30"/>
  <c r="J60" i="30"/>
  <c r="J61" i="30"/>
  <c r="J62" i="30"/>
  <c r="K59" i="30"/>
  <c r="K60" i="30"/>
  <c r="K61" i="30"/>
  <c r="K62" i="30"/>
  <c r="L59" i="30"/>
  <c r="L60" i="30"/>
  <c r="L61" i="30"/>
  <c r="L62" i="30"/>
  <c r="M59" i="30"/>
  <c r="M60" i="30"/>
  <c r="M61" i="30"/>
  <c r="M62" i="30"/>
  <c r="D179" i="30"/>
  <c r="D181" i="30"/>
  <c r="E179" i="30"/>
  <c r="E181" i="30"/>
  <c r="F179" i="30"/>
  <c r="F181" i="30"/>
  <c r="B179" i="30"/>
  <c r="B181" i="30"/>
  <c r="B30" i="30"/>
  <c r="B31" i="30"/>
  <c r="B32" i="30"/>
  <c r="B33" i="30"/>
  <c r="C30" i="30"/>
  <c r="C31" i="30"/>
  <c r="C32" i="30"/>
  <c r="C33" i="30"/>
  <c r="D30" i="30"/>
  <c r="D31" i="30"/>
  <c r="D32" i="30"/>
  <c r="D33" i="30"/>
  <c r="E30" i="30"/>
  <c r="E31" i="30"/>
  <c r="E32" i="30"/>
  <c r="E33" i="30"/>
  <c r="F30" i="30"/>
  <c r="F31" i="30"/>
  <c r="F32" i="30"/>
  <c r="F33" i="30"/>
  <c r="G29" i="30"/>
  <c r="G30" i="30"/>
  <c r="G31" i="30"/>
  <c r="G32" i="30"/>
  <c r="G33" i="30"/>
  <c r="H30" i="30"/>
  <c r="H31" i="30"/>
  <c r="H32" i="30"/>
  <c r="H33" i="30"/>
  <c r="I19" i="30"/>
  <c r="I30" i="30"/>
  <c r="I31" i="30"/>
  <c r="I32" i="30"/>
  <c r="I33" i="30"/>
  <c r="J30" i="30"/>
  <c r="J31" i="30"/>
  <c r="J32" i="30"/>
  <c r="J33" i="30"/>
  <c r="K30" i="30"/>
  <c r="K31" i="30"/>
  <c r="K32" i="30"/>
  <c r="K33" i="30"/>
  <c r="L29" i="30"/>
  <c r="L30" i="30"/>
  <c r="L31" i="30"/>
  <c r="L32" i="30"/>
  <c r="L33" i="30"/>
  <c r="M30" i="30"/>
  <c r="M31" i="30"/>
  <c r="M32" i="30"/>
  <c r="M33" i="30"/>
  <c r="B106" i="30"/>
  <c r="B117" i="30"/>
  <c r="B118" i="30"/>
  <c r="B119" i="30"/>
  <c r="B120" i="30"/>
  <c r="C117" i="30"/>
  <c r="C118" i="30"/>
  <c r="C119" i="30"/>
  <c r="C120" i="30"/>
  <c r="D117" i="30"/>
  <c r="D118" i="30"/>
  <c r="D119" i="30"/>
  <c r="D120" i="30"/>
  <c r="E117" i="30"/>
  <c r="E118" i="30"/>
  <c r="E119" i="30"/>
  <c r="E120" i="30"/>
  <c r="F117" i="30"/>
  <c r="F118" i="30"/>
  <c r="F119" i="30"/>
  <c r="F120" i="30"/>
  <c r="G117" i="30"/>
  <c r="G118" i="30"/>
  <c r="G119" i="30"/>
  <c r="G120" i="30"/>
  <c r="H117" i="30"/>
  <c r="H118" i="30"/>
  <c r="H119" i="30"/>
  <c r="H120" i="30"/>
  <c r="I112" i="30"/>
  <c r="I117" i="30"/>
  <c r="I118" i="30"/>
  <c r="I119" i="30"/>
  <c r="I120" i="30"/>
  <c r="J113" i="30"/>
  <c r="J117" i="30"/>
  <c r="J118" i="30"/>
  <c r="J119" i="30"/>
  <c r="J120" i="30"/>
  <c r="K117" i="30"/>
  <c r="K118" i="30"/>
  <c r="K119" i="30"/>
  <c r="K120" i="30"/>
  <c r="L117" i="30"/>
  <c r="L118" i="30"/>
  <c r="L119" i="30"/>
  <c r="L120" i="30"/>
  <c r="M117" i="30"/>
  <c r="M118" i="30"/>
  <c r="M119" i="30"/>
  <c r="M120" i="30"/>
  <c r="B83" i="30"/>
  <c r="B88" i="30"/>
  <c r="B89" i="30"/>
  <c r="B90" i="30"/>
  <c r="B91" i="30"/>
  <c r="C88" i="30"/>
  <c r="C89" i="30"/>
  <c r="C90" i="30"/>
  <c r="C91" i="30"/>
  <c r="D88" i="30"/>
  <c r="D89" i="30"/>
  <c r="D90" i="30"/>
  <c r="D91" i="30"/>
  <c r="E88" i="30"/>
  <c r="E89" i="30"/>
  <c r="E90" i="30"/>
  <c r="E91" i="30"/>
  <c r="F83" i="30"/>
  <c r="F88" i="30"/>
  <c r="F89" i="30"/>
  <c r="F90" i="30"/>
  <c r="F91" i="30"/>
  <c r="G87" i="30"/>
  <c r="G88" i="30"/>
  <c r="G89" i="30"/>
  <c r="G90" i="30"/>
  <c r="G91" i="30"/>
  <c r="H88" i="30"/>
  <c r="H89" i="30"/>
  <c r="H90" i="30"/>
  <c r="H91" i="30"/>
  <c r="I88" i="30"/>
  <c r="I89" i="30"/>
  <c r="I90" i="30"/>
  <c r="I91" i="30"/>
  <c r="J88" i="30"/>
  <c r="J89" i="30"/>
  <c r="J90" i="30"/>
  <c r="J91" i="30"/>
  <c r="K87" i="30"/>
  <c r="K88" i="30"/>
  <c r="K89" i="30"/>
  <c r="K90" i="30"/>
  <c r="K91" i="30"/>
  <c r="L88" i="30"/>
  <c r="L89" i="30"/>
  <c r="L90" i="30"/>
  <c r="L91" i="30"/>
  <c r="M77" i="30"/>
  <c r="M88" i="30"/>
  <c r="M89" i="30"/>
  <c r="M90" i="30"/>
  <c r="M91" i="30"/>
  <c r="B146" i="30"/>
  <c r="B147" i="30"/>
  <c r="B148" i="30"/>
  <c r="B149" i="30"/>
  <c r="C146" i="30"/>
  <c r="C147" i="30"/>
  <c r="C148" i="30"/>
  <c r="C149" i="30"/>
  <c r="D146" i="30"/>
  <c r="D147" i="30"/>
  <c r="D148" i="30"/>
  <c r="D149" i="30"/>
  <c r="E146" i="30"/>
  <c r="E147" i="30"/>
  <c r="E148" i="30"/>
  <c r="E149" i="30"/>
  <c r="F141" i="30"/>
  <c r="F146" i="30"/>
  <c r="F147" i="30"/>
  <c r="F148" i="30"/>
  <c r="F149" i="30"/>
  <c r="G146" i="30"/>
  <c r="G147" i="30"/>
  <c r="G148" i="30"/>
  <c r="G149" i="30"/>
  <c r="H146" i="30"/>
  <c r="H147" i="30"/>
  <c r="H148" i="30"/>
  <c r="H149" i="30"/>
  <c r="I146" i="30"/>
  <c r="I147" i="30"/>
  <c r="I148" i="30"/>
  <c r="I149" i="30"/>
  <c r="J141" i="30"/>
  <c r="J146" i="30"/>
  <c r="J147" i="30"/>
  <c r="J148" i="30"/>
  <c r="J149" i="30"/>
  <c r="K145" i="30"/>
  <c r="K146" i="30"/>
  <c r="K147" i="30"/>
  <c r="K148" i="30"/>
  <c r="K149" i="30"/>
  <c r="L146" i="30"/>
  <c r="L147" i="30"/>
  <c r="L148" i="30"/>
  <c r="L149" i="30"/>
  <c r="M146" i="30"/>
  <c r="M147" i="30"/>
  <c r="M148" i="30"/>
  <c r="M149" i="30"/>
  <c r="O8" i="26"/>
  <c r="O7" i="26"/>
  <c r="AQ10" i="4"/>
  <c r="AR10" i="4" s="1"/>
  <c r="AK10" i="4" s="1"/>
  <c r="AK17" i="4" s="1"/>
  <c r="AQ25" i="4"/>
  <c r="AR25" i="4"/>
  <c r="AK25" i="4" s="1"/>
  <c r="AQ40" i="4"/>
  <c r="AR40" i="4"/>
  <c r="AK40" i="4" s="1"/>
  <c r="AQ55" i="4"/>
  <c r="AR55" i="4" s="1"/>
  <c r="AK55" i="4" s="1"/>
  <c r="U77" i="25"/>
  <c r="V77" i="25"/>
  <c r="W77" i="25"/>
  <c r="X77" i="25"/>
  <c r="U79" i="25"/>
  <c r="V79" i="25"/>
  <c r="W79" i="25"/>
  <c r="X79" i="25"/>
  <c r="U80" i="25"/>
  <c r="V80" i="25"/>
  <c r="Y80" i="25" s="1"/>
  <c r="W80" i="25"/>
  <c r="X80" i="25"/>
  <c r="U68" i="25"/>
  <c r="V68" i="25"/>
  <c r="W68" i="25"/>
  <c r="X68" i="25"/>
  <c r="U71" i="25"/>
  <c r="V71" i="25"/>
  <c r="Y71" i="25" s="1"/>
  <c r="W71" i="25"/>
  <c r="X71" i="25"/>
  <c r="U72" i="25"/>
  <c r="V72" i="25"/>
  <c r="W72" i="25"/>
  <c r="X72" i="25"/>
  <c r="U73" i="25"/>
  <c r="V73" i="25"/>
  <c r="Y73" i="25" s="1"/>
  <c r="W73" i="25"/>
  <c r="X73" i="25"/>
  <c r="E24" i="16"/>
  <c r="C190" i="30" s="1"/>
  <c r="H190" i="30" s="1"/>
  <c r="E63" i="16"/>
  <c r="C191" i="30" s="1"/>
  <c r="U65" i="25"/>
  <c r="V65" i="25"/>
  <c r="W65" i="25"/>
  <c r="X65" i="25"/>
  <c r="U66" i="25"/>
  <c r="V66" i="25"/>
  <c r="W66" i="25"/>
  <c r="X66" i="25"/>
  <c r="U74" i="25"/>
  <c r="V74" i="25"/>
  <c r="W74" i="25"/>
  <c r="X74" i="25"/>
  <c r="U75" i="25"/>
  <c r="V75" i="25"/>
  <c r="W75" i="25"/>
  <c r="X75" i="25"/>
  <c r="U81" i="25"/>
  <c r="V81" i="25"/>
  <c r="Y81" i="25" s="1"/>
  <c r="W81" i="25"/>
  <c r="X81" i="25"/>
  <c r="E80" i="16"/>
  <c r="C224" i="30" s="1"/>
  <c r="E104" i="16"/>
  <c r="C225" i="30" s="1"/>
  <c r="I20" i="26"/>
  <c r="I30" i="26"/>
  <c r="C231" i="30"/>
  <c r="F231" i="30" s="1"/>
  <c r="F233" i="30" s="1"/>
  <c r="D250" i="30" s="1"/>
  <c r="I37" i="26"/>
  <c r="C232" i="30" s="1"/>
  <c r="E232" i="30" s="1"/>
  <c r="U67" i="25"/>
  <c r="V67" i="25"/>
  <c r="W67" i="25"/>
  <c r="X67" i="25"/>
  <c r="U69" i="25"/>
  <c r="V69" i="25"/>
  <c r="W69" i="25"/>
  <c r="X69" i="25"/>
  <c r="U70" i="25"/>
  <c r="V70" i="25"/>
  <c r="Y70" i="25" s="1"/>
  <c r="B260" i="30" s="1"/>
  <c r="W70" i="25"/>
  <c r="X70" i="25"/>
  <c r="U76" i="25"/>
  <c r="V76" i="25"/>
  <c r="Y76" i="25" s="1"/>
  <c r="B261" i="30" s="1"/>
  <c r="W76" i="25"/>
  <c r="X76" i="25"/>
  <c r="U78" i="25"/>
  <c r="V78" i="25"/>
  <c r="Y78" i="25" s="1"/>
  <c r="W78" i="25"/>
  <c r="X78" i="25"/>
  <c r="P8" i="26"/>
  <c r="P7" i="26" s="1"/>
  <c r="Q8" i="26"/>
  <c r="Q7" i="26" s="1"/>
  <c r="R8" i="26"/>
  <c r="R7" i="26"/>
  <c r="S8" i="26"/>
  <c r="S7" i="26" s="1"/>
  <c r="T8" i="26"/>
  <c r="T7" i="26"/>
  <c r="U8" i="26"/>
  <c r="U7" i="26" s="1"/>
  <c r="V8" i="26"/>
  <c r="V7" i="26" s="1"/>
  <c r="W8" i="26"/>
  <c r="W7" i="26" s="1"/>
  <c r="X8" i="26"/>
  <c r="X7" i="26" s="1"/>
  <c r="Y8" i="26"/>
  <c r="Y7" i="26" s="1"/>
  <c r="Z8" i="26"/>
  <c r="Z7" i="26"/>
  <c r="K26" i="32"/>
  <c r="F232" i="30"/>
  <c r="G232" i="30"/>
  <c r="E224" i="30"/>
  <c r="E225" i="30"/>
  <c r="G225" i="30"/>
  <c r="I42" i="26"/>
  <c r="I43" i="26"/>
  <c r="J43" i="26" s="1"/>
  <c r="D66" i="32"/>
  <c r="U97" i="25"/>
  <c r="V97" i="25"/>
  <c r="W97" i="25"/>
  <c r="X97" i="25"/>
  <c r="U99" i="25"/>
  <c r="V99" i="25"/>
  <c r="W99" i="25"/>
  <c r="X99" i="25"/>
  <c r="U100" i="25"/>
  <c r="V100" i="25"/>
  <c r="W100" i="25"/>
  <c r="X100" i="25"/>
  <c r="U117" i="25"/>
  <c r="V117" i="25"/>
  <c r="Y117" i="25" s="1"/>
  <c r="W117" i="25"/>
  <c r="X117" i="25"/>
  <c r="U119" i="25"/>
  <c r="V119" i="25"/>
  <c r="W119" i="25"/>
  <c r="X119" i="25"/>
  <c r="U120" i="25"/>
  <c r="V120" i="25"/>
  <c r="W120" i="25"/>
  <c r="X120" i="25"/>
  <c r="U137" i="25"/>
  <c r="V137" i="25"/>
  <c r="W137" i="25"/>
  <c r="X137" i="25"/>
  <c r="U139" i="25"/>
  <c r="V139" i="25"/>
  <c r="W139" i="25"/>
  <c r="X139" i="25"/>
  <c r="U140" i="25"/>
  <c r="V140" i="25"/>
  <c r="W140" i="25"/>
  <c r="X140" i="25"/>
  <c r="U157" i="25"/>
  <c r="V157" i="25"/>
  <c r="Y157" i="25" s="1"/>
  <c r="W157" i="25"/>
  <c r="X157" i="25"/>
  <c r="U159" i="25"/>
  <c r="V159" i="25"/>
  <c r="W159" i="25"/>
  <c r="X159" i="25"/>
  <c r="U160" i="25"/>
  <c r="V160" i="25"/>
  <c r="W160" i="25"/>
  <c r="X160" i="25"/>
  <c r="U127" i="25"/>
  <c r="V127" i="25"/>
  <c r="Y127" i="25" s="1"/>
  <c r="E258" i="30" s="1"/>
  <c r="W127" i="25"/>
  <c r="X127" i="25"/>
  <c r="U129" i="25"/>
  <c r="V129" i="25"/>
  <c r="W129" i="25"/>
  <c r="X129" i="25"/>
  <c r="U130" i="25"/>
  <c r="V130" i="25"/>
  <c r="W130" i="25"/>
  <c r="X130" i="25"/>
  <c r="Y130" i="25"/>
  <c r="E260" i="30" s="1"/>
  <c r="U136" i="25"/>
  <c r="V136" i="25"/>
  <c r="W136" i="25"/>
  <c r="X136" i="25"/>
  <c r="U138" i="25"/>
  <c r="V138" i="25"/>
  <c r="W138" i="25"/>
  <c r="X138" i="25"/>
  <c r="B262" i="30"/>
  <c r="C6" i="30"/>
  <c r="D6" i="30"/>
  <c r="E6" i="30"/>
  <c r="F6" i="30"/>
  <c r="B6" i="30"/>
  <c r="D14" i="26"/>
  <c r="D15" i="26"/>
  <c r="E15" i="26" s="1"/>
  <c r="F15" i="26" s="1"/>
  <c r="D16" i="26"/>
  <c r="E16" i="26" s="1"/>
  <c r="F16" i="26" s="1"/>
  <c r="D17" i="26"/>
  <c r="E17" i="26" s="1"/>
  <c r="D18" i="26"/>
  <c r="D19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40" i="26"/>
  <c r="D41" i="26"/>
  <c r="D42" i="26"/>
  <c r="D43" i="26"/>
  <c r="D44" i="26"/>
  <c r="D49" i="26"/>
  <c r="D50" i="26"/>
  <c r="D51" i="26"/>
  <c r="D52" i="26"/>
  <c r="D53" i="26"/>
  <c r="D54" i="26"/>
  <c r="D55" i="26"/>
  <c r="D56" i="26"/>
  <c r="D57" i="26"/>
  <c r="D58" i="26"/>
  <c r="U87" i="25"/>
  <c r="V87" i="25"/>
  <c r="W87" i="25"/>
  <c r="X87" i="25"/>
  <c r="U89" i="25"/>
  <c r="V89" i="25"/>
  <c r="W89" i="25"/>
  <c r="X89" i="25"/>
  <c r="U90" i="25"/>
  <c r="V90" i="25"/>
  <c r="W90" i="25"/>
  <c r="X90" i="25"/>
  <c r="U96" i="25"/>
  <c r="V96" i="25"/>
  <c r="W96" i="25"/>
  <c r="X96" i="25"/>
  <c r="U98" i="25"/>
  <c r="V98" i="25"/>
  <c r="W98" i="25"/>
  <c r="X98" i="25"/>
  <c r="U107" i="25"/>
  <c r="V107" i="25"/>
  <c r="W107" i="25"/>
  <c r="X107" i="25"/>
  <c r="Y107" i="25"/>
  <c r="D258" i="30" s="1"/>
  <c r="U109" i="25"/>
  <c r="V109" i="25"/>
  <c r="W109" i="25"/>
  <c r="X109" i="25"/>
  <c r="U110" i="25"/>
  <c r="V110" i="25"/>
  <c r="W110" i="25"/>
  <c r="X110" i="25"/>
  <c r="U116" i="25"/>
  <c r="V116" i="25"/>
  <c r="W116" i="25"/>
  <c r="Y116" i="25" s="1"/>
  <c r="D261" i="30" s="1"/>
  <c r="X116" i="25"/>
  <c r="U118" i="25"/>
  <c r="V118" i="25"/>
  <c r="W118" i="25"/>
  <c r="X118" i="25"/>
  <c r="U147" i="25"/>
  <c r="V147" i="25"/>
  <c r="W147" i="25"/>
  <c r="X147" i="25"/>
  <c r="Y147" i="25"/>
  <c r="F258" i="30" s="1"/>
  <c r="U149" i="25"/>
  <c r="V149" i="25"/>
  <c r="W149" i="25"/>
  <c r="X149" i="25"/>
  <c r="U150" i="25"/>
  <c r="V150" i="25"/>
  <c r="W150" i="25"/>
  <c r="X150" i="25"/>
  <c r="U156" i="25"/>
  <c r="V156" i="25"/>
  <c r="W156" i="25"/>
  <c r="Y156" i="25" s="1"/>
  <c r="F261" i="30" s="1"/>
  <c r="X156" i="25"/>
  <c r="U158" i="25"/>
  <c r="V158" i="25"/>
  <c r="W158" i="25"/>
  <c r="X158" i="25"/>
  <c r="U88" i="25"/>
  <c r="V88" i="25"/>
  <c r="W88" i="25"/>
  <c r="X88" i="25"/>
  <c r="U91" i="25"/>
  <c r="V91" i="25"/>
  <c r="W91" i="25"/>
  <c r="X91" i="25"/>
  <c r="U92" i="25"/>
  <c r="V92" i="25"/>
  <c r="W92" i="25"/>
  <c r="X92" i="25"/>
  <c r="Y92" i="25"/>
  <c r="U93" i="25"/>
  <c r="V93" i="25"/>
  <c r="W93" i="25"/>
  <c r="X93" i="25"/>
  <c r="U128" i="25"/>
  <c r="V128" i="25"/>
  <c r="W128" i="25"/>
  <c r="X128" i="25"/>
  <c r="U131" i="25"/>
  <c r="V131" i="25"/>
  <c r="W131" i="25"/>
  <c r="X131" i="25"/>
  <c r="U132" i="25"/>
  <c r="V132" i="25"/>
  <c r="W132" i="25"/>
  <c r="X132" i="25"/>
  <c r="U133" i="25"/>
  <c r="V133" i="25"/>
  <c r="W133" i="25"/>
  <c r="Y133" i="25" s="1"/>
  <c r="X133" i="25"/>
  <c r="U108" i="25"/>
  <c r="V108" i="25"/>
  <c r="Y108" i="25" s="1"/>
  <c r="W108" i="25"/>
  <c r="X108" i="25"/>
  <c r="U111" i="25"/>
  <c r="V111" i="25"/>
  <c r="Y111" i="25" s="1"/>
  <c r="W111" i="25"/>
  <c r="X111" i="25"/>
  <c r="U112" i="25"/>
  <c r="V112" i="25"/>
  <c r="W112" i="25"/>
  <c r="X112" i="25"/>
  <c r="U113" i="25"/>
  <c r="V113" i="25"/>
  <c r="W113" i="25"/>
  <c r="X113" i="25"/>
  <c r="U148" i="25"/>
  <c r="V148" i="25"/>
  <c r="W148" i="25"/>
  <c r="X148" i="25"/>
  <c r="U151" i="25"/>
  <c r="V151" i="25"/>
  <c r="W151" i="25"/>
  <c r="X151" i="25"/>
  <c r="U152" i="25"/>
  <c r="V152" i="25"/>
  <c r="W152" i="25"/>
  <c r="X152" i="25"/>
  <c r="Y152" i="25"/>
  <c r="U153" i="25"/>
  <c r="V153" i="25"/>
  <c r="W153" i="25"/>
  <c r="X153" i="25"/>
  <c r="AO12" i="29"/>
  <c r="AO13" i="29" s="1"/>
  <c r="AO14" i="29" s="1"/>
  <c r="AO15" i="29" s="1"/>
  <c r="P67" i="26"/>
  <c r="Q67" i="26"/>
  <c r="Q66" i="26" s="1"/>
  <c r="R67" i="26"/>
  <c r="R66" i="26" s="1"/>
  <c r="S67" i="26"/>
  <c r="T67" i="26"/>
  <c r="U67" i="26"/>
  <c r="U66" i="26" s="1"/>
  <c r="V67" i="26"/>
  <c r="W67" i="26"/>
  <c r="X67" i="26"/>
  <c r="Y67" i="26"/>
  <c r="Y66" i="26" s="1"/>
  <c r="Z67" i="26"/>
  <c r="Z66" i="26" s="1"/>
  <c r="P52" i="26"/>
  <c r="Q52" i="26"/>
  <c r="Q51" i="26" s="1"/>
  <c r="R52" i="26"/>
  <c r="S52" i="26"/>
  <c r="T52" i="26"/>
  <c r="U52" i="26"/>
  <c r="U51" i="26" s="1"/>
  <c r="V52" i="26"/>
  <c r="V51" i="26" s="1"/>
  <c r="W52" i="26"/>
  <c r="W51" i="26" s="1"/>
  <c r="X52" i="26"/>
  <c r="Y52" i="26"/>
  <c r="Y51" i="26" s="1"/>
  <c r="Z52" i="26"/>
  <c r="Z51" i="26" s="1"/>
  <c r="P37" i="26"/>
  <c r="P36" i="26" s="1"/>
  <c r="Q37" i="26"/>
  <c r="R37" i="26"/>
  <c r="S37" i="26"/>
  <c r="S36" i="26" s="1"/>
  <c r="T37" i="26"/>
  <c r="U37" i="26"/>
  <c r="V37" i="26"/>
  <c r="W37" i="26"/>
  <c r="W36" i="26" s="1"/>
  <c r="X37" i="26"/>
  <c r="X36" i="26" s="1"/>
  <c r="Y37" i="26"/>
  <c r="Z37" i="26"/>
  <c r="P22" i="26"/>
  <c r="P21" i="26" s="1"/>
  <c r="Q22" i="26"/>
  <c r="Q21" i="26" s="1"/>
  <c r="R22" i="26"/>
  <c r="S22" i="26"/>
  <c r="S21" i="26" s="1"/>
  <c r="T22" i="26"/>
  <c r="T21" i="26" s="1"/>
  <c r="U22" i="26"/>
  <c r="U21" i="26" s="1"/>
  <c r="V22" i="26"/>
  <c r="W22" i="26"/>
  <c r="W21" i="26" s="1"/>
  <c r="X22" i="26"/>
  <c r="Y22" i="26"/>
  <c r="Z22" i="26"/>
  <c r="AN150" i="25"/>
  <c r="AP150" i="25"/>
  <c r="AQ150" i="25" s="1"/>
  <c r="AN151" i="25"/>
  <c r="AP151" i="25" s="1"/>
  <c r="AN152" i="25"/>
  <c r="AP152" i="25" s="1"/>
  <c r="AN153" i="25"/>
  <c r="AP153" i="25" s="1"/>
  <c r="AQ153" i="25" s="1"/>
  <c r="AN154" i="25"/>
  <c r="AP154" i="25" s="1"/>
  <c r="AL154" i="25"/>
  <c r="AL151" i="25"/>
  <c r="AL152" i="25"/>
  <c r="AL153" i="25"/>
  <c r="AL150" i="25"/>
  <c r="D8" i="26"/>
  <c r="F8" i="26" s="1"/>
  <c r="D9" i="26"/>
  <c r="F9" i="26" s="1"/>
  <c r="Q196" i="30"/>
  <c r="R196" i="30"/>
  <c r="P196" i="30"/>
  <c r="Q184" i="30"/>
  <c r="P184" i="30"/>
  <c r="AE27" i="29"/>
  <c r="AB21" i="29"/>
  <c r="T25" i="29"/>
  <c r="S25" i="29"/>
  <c r="R25" i="29"/>
  <c r="P66" i="26"/>
  <c r="S66" i="26"/>
  <c r="T66" i="26"/>
  <c r="V66" i="26"/>
  <c r="W66" i="26"/>
  <c r="X66" i="26"/>
  <c r="O67" i="26"/>
  <c r="O66" i="26" s="1"/>
  <c r="P51" i="26"/>
  <c r="R51" i="26"/>
  <c r="S51" i="26"/>
  <c r="T51" i="26"/>
  <c r="X51" i="26"/>
  <c r="O52" i="26"/>
  <c r="O51" i="26" s="1"/>
  <c r="Q36" i="26"/>
  <c r="R36" i="26"/>
  <c r="T36" i="26"/>
  <c r="U36" i="26"/>
  <c r="V36" i="26"/>
  <c r="Y36" i="26"/>
  <c r="Z36" i="26"/>
  <c r="O37" i="26"/>
  <c r="O36" i="26" s="1"/>
  <c r="R21" i="26"/>
  <c r="V21" i="26"/>
  <c r="X21" i="26"/>
  <c r="Y21" i="26"/>
  <c r="Z21" i="26"/>
  <c r="O22" i="26"/>
  <c r="O21" i="26"/>
  <c r="AA7" i="26"/>
  <c r="X190" i="30"/>
  <c r="X183" i="30"/>
  <c r="X182" i="30"/>
  <c r="X179" i="30"/>
  <c r="AE28" i="29"/>
  <c r="AE29" i="29" s="1"/>
  <c r="AE30" i="29" s="1"/>
  <c r="AE31" i="29" s="1"/>
  <c r="AE32" i="29" s="1"/>
  <c r="AE33" i="29" s="1"/>
  <c r="AE34" i="29" s="1"/>
  <c r="AE35" i="29" s="1"/>
  <c r="AE36" i="29" s="1"/>
  <c r="AE37" i="29" s="1"/>
  <c r="AE38" i="29" s="1"/>
  <c r="AE39" i="29" s="1"/>
  <c r="J35" i="26"/>
  <c r="K35" i="26" s="1"/>
  <c r="K37" i="26" s="1"/>
  <c r="J34" i="26"/>
  <c r="K34" i="26" s="1"/>
  <c r="J19" i="26"/>
  <c r="K19" i="26" s="1"/>
  <c r="J17" i="26"/>
  <c r="K17" i="26" s="1"/>
  <c r="J18" i="26"/>
  <c r="K18" i="26" s="1"/>
  <c r="J16" i="26"/>
  <c r="K16" i="26"/>
  <c r="J15" i="26"/>
  <c r="K15" i="26" s="1"/>
  <c r="J14" i="26"/>
  <c r="K14" i="26" s="1"/>
  <c r="J7" i="26"/>
  <c r="K7" i="26" s="1"/>
  <c r="J30" i="26"/>
  <c r="K30" i="26"/>
  <c r="E226" i="30"/>
  <c r="C249" i="30" s="1"/>
  <c r="D139" i="15"/>
  <c r="G139" i="15" s="1"/>
  <c r="I139" i="15"/>
  <c r="K139" i="15" s="1"/>
  <c r="L139" i="15" s="1"/>
  <c r="D138" i="15"/>
  <c r="G138" i="15" s="1"/>
  <c r="I138" i="15"/>
  <c r="K138" i="15" s="1"/>
  <c r="D137" i="15"/>
  <c r="G137" i="15" s="1"/>
  <c r="I137" i="15"/>
  <c r="K137" i="15" s="1"/>
  <c r="L137" i="15" s="1"/>
  <c r="D136" i="15"/>
  <c r="G136" i="15" s="1"/>
  <c r="I136" i="15"/>
  <c r="K136" i="15" s="1"/>
  <c r="D134" i="15"/>
  <c r="G134" i="15" s="1"/>
  <c r="I134" i="15"/>
  <c r="K134" i="15" s="1"/>
  <c r="L134" i="15" s="1"/>
  <c r="D133" i="15"/>
  <c r="G133" i="15" s="1"/>
  <c r="I133" i="15"/>
  <c r="K133" i="15" s="1"/>
  <c r="P131" i="15"/>
  <c r="D131" i="15" s="1"/>
  <c r="G131" i="15"/>
  <c r="I131" i="15"/>
  <c r="K131" i="15" s="1"/>
  <c r="D130" i="15"/>
  <c r="G130" i="15" s="1"/>
  <c r="I130" i="15"/>
  <c r="K130" i="15" s="1"/>
  <c r="D126" i="15"/>
  <c r="G126" i="15" s="1"/>
  <c r="I126" i="15"/>
  <c r="K126" i="15" s="1"/>
  <c r="D124" i="15"/>
  <c r="G124" i="15" s="1"/>
  <c r="I124" i="15"/>
  <c r="K124" i="15" s="1"/>
  <c r="D123" i="15"/>
  <c r="G123" i="15"/>
  <c r="I123" i="15"/>
  <c r="K123" i="15" s="1"/>
  <c r="D168" i="15"/>
  <c r="G168" i="15" s="1"/>
  <c r="I168" i="15"/>
  <c r="K168" i="15" s="1"/>
  <c r="D167" i="15"/>
  <c r="G167" i="15" s="1"/>
  <c r="I167" i="15"/>
  <c r="K167" i="15" s="1"/>
  <c r="D166" i="15"/>
  <c r="G166" i="15"/>
  <c r="I166" i="15"/>
  <c r="K166" i="15" s="1"/>
  <c r="D165" i="15"/>
  <c r="G165" i="15"/>
  <c r="I165" i="15"/>
  <c r="K165" i="15" s="1"/>
  <c r="D163" i="15"/>
  <c r="G163" i="15" s="1"/>
  <c r="I163" i="15"/>
  <c r="K163" i="15" s="1"/>
  <c r="D162" i="15"/>
  <c r="G162" i="15" s="1"/>
  <c r="I162" i="15"/>
  <c r="K162" i="15" s="1"/>
  <c r="P160" i="15"/>
  <c r="D160" i="15" s="1"/>
  <c r="G160" i="15" s="1"/>
  <c r="I160" i="15"/>
  <c r="K160" i="15" s="1"/>
  <c r="D159" i="15"/>
  <c r="G159" i="15" s="1"/>
  <c r="I159" i="15"/>
  <c r="K159" i="15" s="1"/>
  <c r="D156" i="15"/>
  <c r="G156" i="15" s="1"/>
  <c r="I156" i="15"/>
  <c r="K156" i="15" s="1"/>
  <c r="D153" i="15"/>
  <c r="G153" i="15" s="1"/>
  <c r="I153" i="15"/>
  <c r="K153" i="15" s="1"/>
  <c r="D152" i="15"/>
  <c r="G152" i="15" s="1"/>
  <c r="I152" i="15"/>
  <c r="K152" i="15" s="1"/>
  <c r="D164" i="15"/>
  <c r="G164" i="15" s="1"/>
  <c r="I164" i="15"/>
  <c r="K164" i="15" s="1"/>
  <c r="D161" i="15"/>
  <c r="G161" i="15" s="1"/>
  <c r="I161" i="15"/>
  <c r="K161" i="15" s="1"/>
  <c r="D158" i="15"/>
  <c r="G158" i="15" s="1"/>
  <c r="I158" i="15"/>
  <c r="K158" i="15" s="1"/>
  <c r="L158" i="15" s="1"/>
  <c r="D157" i="15"/>
  <c r="G157" i="15" s="1"/>
  <c r="I157" i="15"/>
  <c r="K157" i="15"/>
  <c r="D155" i="15"/>
  <c r="G155" i="15" s="1"/>
  <c r="I155" i="15"/>
  <c r="K155" i="15" s="1"/>
  <c r="D154" i="15"/>
  <c r="G154" i="15" s="1"/>
  <c r="I154" i="15"/>
  <c r="K154" i="15" s="1"/>
  <c r="D135" i="15"/>
  <c r="G135" i="15" s="1"/>
  <c r="I135" i="15"/>
  <c r="K135" i="15" s="1"/>
  <c r="D132" i="15"/>
  <c r="G132" i="15"/>
  <c r="I132" i="15"/>
  <c r="K132" i="15" s="1"/>
  <c r="D129" i="15"/>
  <c r="G129" i="15" s="1"/>
  <c r="I129" i="15"/>
  <c r="K129" i="15" s="1"/>
  <c r="D128" i="15"/>
  <c r="G128" i="15" s="1"/>
  <c r="I128" i="15"/>
  <c r="K128" i="15" s="1"/>
  <c r="D127" i="15"/>
  <c r="G127" i="15" s="1"/>
  <c r="I127" i="15"/>
  <c r="K127" i="15" s="1"/>
  <c r="D125" i="15"/>
  <c r="G125" i="15" s="1"/>
  <c r="I125" i="15"/>
  <c r="K125" i="15" s="1"/>
  <c r="D110" i="15"/>
  <c r="G110" i="15" s="1"/>
  <c r="I110" i="15"/>
  <c r="K110" i="15" s="1"/>
  <c r="D109" i="15"/>
  <c r="G109" i="15" s="1"/>
  <c r="I109" i="15"/>
  <c r="K109" i="15" s="1"/>
  <c r="L109" i="15" s="1"/>
  <c r="D108" i="15"/>
  <c r="G108" i="15" s="1"/>
  <c r="I108" i="15"/>
  <c r="K108" i="15" s="1"/>
  <c r="L108" i="15"/>
  <c r="D107" i="15"/>
  <c r="G107" i="15" s="1"/>
  <c r="L107" i="15" s="1"/>
  <c r="I107" i="15"/>
  <c r="K107" i="15" s="1"/>
  <c r="D106" i="15"/>
  <c r="G106" i="15" s="1"/>
  <c r="I106" i="15"/>
  <c r="K106" i="15" s="1"/>
  <c r="D105" i="15"/>
  <c r="G105" i="15" s="1"/>
  <c r="I105" i="15"/>
  <c r="K105" i="15" s="1"/>
  <c r="D104" i="15"/>
  <c r="G104" i="15"/>
  <c r="I104" i="15"/>
  <c r="K104" i="15" s="1"/>
  <c r="D103" i="15"/>
  <c r="G103" i="15"/>
  <c r="I103" i="15"/>
  <c r="K103" i="15" s="1"/>
  <c r="P102" i="15"/>
  <c r="D102" i="15" s="1"/>
  <c r="G102" i="15"/>
  <c r="I102" i="15"/>
  <c r="K102" i="15" s="1"/>
  <c r="D101" i="15"/>
  <c r="G101" i="15"/>
  <c r="I101" i="15"/>
  <c r="K101" i="15" s="1"/>
  <c r="D100" i="15"/>
  <c r="G100" i="15"/>
  <c r="I100" i="15"/>
  <c r="K100" i="15" s="1"/>
  <c r="D99" i="15"/>
  <c r="G99" i="15" s="1"/>
  <c r="I99" i="15"/>
  <c r="K99" i="15" s="1"/>
  <c r="D98" i="15"/>
  <c r="G98" i="15" s="1"/>
  <c r="I98" i="15"/>
  <c r="K98" i="15"/>
  <c r="D97" i="15"/>
  <c r="G97" i="15" s="1"/>
  <c r="I97" i="15"/>
  <c r="K97" i="15" s="1"/>
  <c r="D96" i="15"/>
  <c r="G96" i="15" s="1"/>
  <c r="I96" i="15"/>
  <c r="K96" i="15" s="1"/>
  <c r="D95" i="15"/>
  <c r="G95" i="15" s="1"/>
  <c r="I95" i="15"/>
  <c r="K95" i="15" s="1"/>
  <c r="D94" i="15"/>
  <c r="G94" i="15"/>
  <c r="I94" i="15"/>
  <c r="K94" i="15" s="1"/>
  <c r="D70" i="15"/>
  <c r="D69" i="15"/>
  <c r="G69" i="15" s="1"/>
  <c r="D77" i="15"/>
  <c r="C55" i="15"/>
  <c r="F55" i="15" s="1"/>
  <c r="C54" i="15"/>
  <c r="D75" i="15"/>
  <c r="G75" i="15" s="1"/>
  <c r="I75" i="15"/>
  <c r="K75" i="15" s="1"/>
  <c r="D68" i="15"/>
  <c r="G68" i="15" s="1"/>
  <c r="L68" i="15" s="1"/>
  <c r="I68" i="15"/>
  <c r="K68" i="15" s="1"/>
  <c r="D66" i="15"/>
  <c r="G66" i="15" s="1"/>
  <c r="I66" i="15"/>
  <c r="K66" i="15" s="1"/>
  <c r="L66" i="15" s="1"/>
  <c r="D72" i="15"/>
  <c r="G72" i="15" s="1"/>
  <c r="I72" i="15"/>
  <c r="K72" i="15" s="1"/>
  <c r="P73" i="15"/>
  <c r="D73" i="15" s="1"/>
  <c r="G73" i="15" s="1"/>
  <c r="I73" i="15"/>
  <c r="K73" i="15" s="1"/>
  <c r="D76" i="15"/>
  <c r="G76" i="15" s="1"/>
  <c r="I76" i="15"/>
  <c r="K76" i="15"/>
  <c r="D78" i="15"/>
  <c r="G78" i="15" s="1"/>
  <c r="I78" i="15"/>
  <c r="K78" i="15"/>
  <c r="D79" i="15"/>
  <c r="G79" i="15" s="1"/>
  <c r="I79" i="15"/>
  <c r="K79" i="15"/>
  <c r="D81" i="15"/>
  <c r="G81" i="15" s="1"/>
  <c r="I81" i="15"/>
  <c r="K81" i="15" s="1"/>
  <c r="D65" i="15"/>
  <c r="G65" i="15" s="1"/>
  <c r="I65" i="15"/>
  <c r="K65" i="15"/>
  <c r="D80" i="15"/>
  <c r="D74" i="15"/>
  <c r="D71" i="15"/>
  <c r="D67" i="15"/>
  <c r="G67" i="15" s="1"/>
  <c r="C57" i="15"/>
  <c r="F57" i="15" s="1"/>
  <c r="H57" i="15"/>
  <c r="J57" i="15" s="1"/>
  <c r="H56" i="15"/>
  <c r="J56" i="15" s="1"/>
  <c r="H55" i="15"/>
  <c r="J55" i="15" s="1"/>
  <c r="K55" i="15" s="1"/>
  <c r="L55" i="15" s="1"/>
  <c r="H53" i="15"/>
  <c r="J53" i="15" s="1"/>
  <c r="C58" i="15"/>
  <c r="F58" i="15" s="1"/>
  <c r="C56" i="15"/>
  <c r="F56" i="15" s="1"/>
  <c r="C53" i="15"/>
  <c r="D23" i="15"/>
  <c r="D35" i="15" s="1"/>
  <c r="E23" i="15"/>
  <c r="E35" i="15"/>
  <c r="F23" i="15"/>
  <c r="F35" i="15" s="1"/>
  <c r="G23" i="15"/>
  <c r="G35" i="15"/>
  <c r="C23" i="15"/>
  <c r="C35" i="15" s="1"/>
  <c r="C22" i="15"/>
  <c r="C34" i="15" s="1"/>
  <c r="C21" i="15"/>
  <c r="C33" i="15" s="1"/>
  <c r="C20" i="15"/>
  <c r="C32" i="15" s="1"/>
  <c r="C19" i="15"/>
  <c r="C31" i="15" s="1"/>
  <c r="C18" i="15"/>
  <c r="C30" i="15" s="1"/>
  <c r="C17" i="15"/>
  <c r="C29" i="15" s="1"/>
  <c r="I57" i="8"/>
  <c r="I43" i="8"/>
  <c r="I29" i="8"/>
  <c r="I15" i="8"/>
  <c r="D7" i="26"/>
  <c r="F7" i="26" s="1"/>
  <c r="E56" i="26"/>
  <c r="F56" i="26" s="1"/>
  <c r="E52" i="26"/>
  <c r="F52" i="26"/>
  <c r="E57" i="26"/>
  <c r="F57" i="26" s="1"/>
  <c r="E43" i="26"/>
  <c r="E41" i="26"/>
  <c r="F41" i="26" s="1"/>
  <c r="E42" i="26"/>
  <c r="E35" i="26"/>
  <c r="E26" i="26"/>
  <c r="F26" i="26" s="1"/>
  <c r="E27" i="26"/>
  <c r="F27" i="26" s="1"/>
  <c r="E28" i="26"/>
  <c r="F28" i="26"/>
  <c r="E30" i="26"/>
  <c r="E31" i="26"/>
  <c r="F31" i="26" s="1"/>
  <c r="E32" i="26"/>
  <c r="F32" i="26" s="1"/>
  <c r="E24" i="26"/>
  <c r="F24" i="26" s="1"/>
  <c r="E18" i="26"/>
  <c r="E19" i="26"/>
  <c r="E14" i="26"/>
  <c r="AC169" i="25"/>
  <c r="AC171" i="25"/>
  <c r="AB170" i="25"/>
  <c r="AC170" i="25" s="1"/>
  <c r="AC168" i="25"/>
  <c r="X161" i="25"/>
  <c r="W161" i="25"/>
  <c r="V161" i="25"/>
  <c r="U161" i="25"/>
  <c r="T161" i="25"/>
  <c r="T160" i="25"/>
  <c r="T159" i="25"/>
  <c r="T158" i="25"/>
  <c r="T157" i="25"/>
  <c r="T156" i="25"/>
  <c r="X155" i="25"/>
  <c r="W155" i="25"/>
  <c r="V155" i="25"/>
  <c r="U155" i="25"/>
  <c r="T155" i="25"/>
  <c r="X154" i="25"/>
  <c r="W154" i="25"/>
  <c r="V154" i="25"/>
  <c r="U154" i="25"/>
  <c r="T154" i="25"/>
  <c r="T153" i="25"/>
  <c r="T152" i="25"/>
  <c r="T151" i="25"/>
  <c r="T150" i="25"/>
  <c r="T149" i="25"/>
  <c r="T148" i="25"/>
  <c r="T147" i="25"/>
  <c r="X146" i="25"/>
  <c r="W146" i="25"/>
  <c r="V146" i="25"/>
  <c r="U146" i="25"/>
  <c r="T146" i="25"/>
  <c r="X145" i="25"/>
  <c r="W145" i="25"/>
  <c r="V145" i="25"/>
  <c r="U145" i="25"/>
  <c r="Y145" i="25" s="1"/>
  <c r="T145" i="25"/>
  <c r="X141" i="25"/>
  <c r="W141" i="25"/>
  <c r="V141" i="25"/>
  <c r="U141" i="25"/>
  <c r="T141" i="25"/>
  <c r="T140" i="25"/>
  <c r="T139" i="25"/>
  <c r="T138" i="25"/>
  <c r="T137" i="25"/>
  <c r="T136" i="25"/>
  <c r="X135" i="25"/>
  <c r="W135" i="25"/>
  <c r="V135" i="25"/>
  <c r="U135" i="25"/>
  <c r="T135" i="25"/>
  <c r="X134" i="25"/>
  <c r="W134" i="25"/>
  <c r="V134" i="25"/>
  <c r="U134" i="25"/>
  <c r="T134" i="25"/>
  <c r="T133" i="25"/>
  <c r="T132" i="25"/>
  <c r="T131" i="25"/>
  <c r="T130" i="25"/>
  <c r="T129" i="25"/>
  <c r="T128" i="25"/>
  <c r="T127" i="25"/>
  <c r="X126" i="25"/>
  <c r="W126" i="25"/>
  <c r="V126" i="25"/>
  <c r="U126" i="25"/>
  <c r="Y126" i="25" s="1"/>
  <c r="E216" i="30" s="1"/>
  <c r="T126" i="25"/>
  <c r="X125" i="25"/>
  <c r="W125" i="25"/>
  <c r="V125" i="25"/>
  <c r="Y125" i="25" s="1"/>
  <c r="U125" i="25"/>
  <c r="T125" i="25"/>
  <c r="X121" i="25"/>
  <c r="W121" i="25"/>
  <c r="V121" i="25"/>
  <c r="U121" i="25"/>
  <c r="T121" i="25"/>
  <c r="T120" i="25"/>
  <c r="T119" i="25"/>
  <c r="T118" i="25"/>
  <c r="T117" i="25"/>
  <c r="T116" i="25"/>
  <c r="X115" i="25"/>
  <c r="W115" i="25"/>
  <c r="V115" i="25"/>
  <c r="U115" i="25"/>
  <c r="T115" i="25"/>
  <c r="X114" i="25"/>
  <c r="W114" i="25"/>
  <c r="V114" i="25"/>
  <c r="U114" i="25"/>
  <c r="T114" i="25"/>
  <c r="T113" i="25"/>
  <c r="T112" i="25"/>
  <c r="T111" i="25"/>
  <c r="T110" i="25"/>
  <c r="T109" i="25"/>
  <c r="T108" i="25"/>
  <c r="T107" i="25"/>
  <c r="X106" i="25"/>
  <c r="W106" i="25"/>
  <c r="V106" i="25"/>
  <c r="U106" i="25"/>
  <c r="T106" i="25"/>
  <c r="X105" i="25"/>
  <c r="W105" i="25"/>
  <c r="V105" i="25"/>
  <c r="U105" i="25"/>
  <c r="T105" i="25"/>
  <c r="X101" i="25"/>
  <c r="W101" i="25"/>
  <c r="V101" i="25"/>
  <c r="U101" i="25"/>
  <c r="T101" i="25"/>
  <c r="T100" i="25"/>
  <c r="T99" i="25"/>
  <c r="T98" i="25"/>
  <c r="T97" i="25"/>
  <c r="T96" i="25"/>
  <c r="X95" i="25"/>
  <c r="W95" i="25"/>
  <c r="V95" i="25"/>
  <c r="Y95" i="25" s="1"/>
  <c r="C218" i="30" s="1"/>
  <c r="U95" i="25"/>
  <c r="T95" i="25"/>
  <c r="X94" i="25"/>
  <c r="W94" i="25"/>
  <c r="V94" i="25"/>
  <c r="U94" i="25"/>
  <c r="T94" i="25"/>
  <c r="T93" i="25"/>
  <c r="T92" i="25"/>
  <c r="T91" i="25"/>
  <c r="T90" i="25"/>
  <c r="T89" i="25"/>
  <c r="T88" i="25"/>
  <c r="T87" i="25"/>
  <c r="X86" i="25"/>
  <c r="W86" i="25"/>
  <c r="V86" i="25"/>
  <c r="U86" i="25"/>
  <c r="T86" i="25"/>
  <c r="X85" i="25"/>
  <c r="W85" i="25"/>
  <c r="V85" i="25"/>
  <c r="U85" i="25"/>
  <c r="T85" i="25"/>
  <c r="T66" i="25"/>
  <c r="T67" i="25"/>
  <c r="T68" i="25"/>
  <c r="T69" i="25"/>
  <c r="T70" i="25"/>
  <c r="T71" i="25"/>
  <c r="T72" i="25"/>
  <c r="T73" i="25"/>
  <c r="T74" i="25"/>
  <c r="T75" i="25"/>
  <c r="T76" i="25"/>
  <c r="T77" i="25"/>
  <c r="T78" i="25"/>
  <c r="T79" i="25"/>
  <c r="T80" i="25"/>
  <c r="T81" i="25"/>
  <c r="T65" i="25"/>
  <c r="H82" i="25"/>
  <c r="I82" i="25"/>
  <c r="J82" i="25"/>
  <c r="K82" i="25"/>
  <c r="G82" i="25"/>
  <c r="F43" i="26"/>
  <c r="F42" i="26"/>
  <c r="F35" i="26"/>
  <c r="E33" i="26"/>
  <c r="F33" i="26" s="1"/>
  <c r="E29" i="26"/>
  <c r="F29" i="26" s="1"/>
  <c r="E25" i="26"/>
  <c r="F25" i="26" s="1"/>
  <c r="E40" i="26"/>
  <c r="F40" i="26" s="1"/>
  <c r="E49" i="26"/>
  <c r="F49" i="26" s="1"/>
  <c r="E55" i="26"/>
  <c r="F55" i="26" s="1"/>
  <c r="E51" i="26"/>
  <c r="F51" i="26" s="1"/>
  <c r="F30" i="26"/>
  <c r="E44" i="26"/>
  <c r="F44" i="26" s="1"/>
  <c r="E58" i="26"/>
  <c r="F58" i="26" s="1"/>
  <c r="E54" i="26"/>
  <c r="F54" i="26" s="1"/>
  <c r="E53" i="26"/>
  <c r="F53" i="26" s="1"/>
  <c r="E50" i="26"/>
  <c r="F50" i="26"/>
  <c r="E34" i="26"/>
  <c r="F34" i="26"/>
  <c r="B219" i="30"/>
  <c r="F17" i="26"/>
  <c r="F14" i="26"/>
  <c r="F19" i="26"/>
  <c r="F18" i="26"/>
  <c r="Y121" i="25"/>
  <c r="D219" i="30" s="1"/>
  <c r="Y134" i="25"/>
  <c r="E217" i="30" s="1"/>
  <c r="Y106" i="25"/>
  <c r="D216" i="30" s="1"/>
  <c r="Y114" i="25"/>
  <c r="D217" i="30" s="1"/>
  <c r="Y115" i="25"/>
  <c r="D218" i="30" s="1"/>
  <c r="AI6" i="17"/>
  <c r="AI10" i="17" s="1"/>
  <c r="AI12" i="17" s="1"/>
  <c r="AI21" i="17" s="1"/>
  <c r="AI18" i="17"/>
  <c r="AJ6" i="17"/>
  <c r="AJ10" i="17" s="1"/>
  <c r="AJ12" i="17"/>
  <c r="AJ21" i="17" s="1"/>
  <c r="AJ18" i="17"/>
  <c r="AK6" i="17"/>
  <c r="AK10" i="17" s="1"/>
  <c r="AK12" i="17" s="1"/>
  <c r="AK21" i="17" s="1"/>
  <c r="AK18" i="17"/>
  <c r="AL6" i="17"/>
  <c r="AL10" i="17" s="1"/>
  <c r="AL12" i="17" s="1"/>
  <c r="AL21" i="17" s="1"/>
  <c r="AL22" i="17" s="1"/>
  <c r="AL18" i="17"/>
  <c r="AC17" i="17"/>
  <c r="AC19" i="17"/>
  <c r="AD17" i="17"/>
  <c r="AD19" i="17" s="1"/>
  <c r="AE17" i="17"/>
  <c r="AE19" i="17" s="1"/>
  <c r="AF17" i="17"/>
  <c r="AF19" i="17" s="1"/>
  <c r="AB17" i="17"/>
  <c r="AB19" i="17"/>
  <c r="AC5" i="17"/>
  <c r="AC6" i="17" s="1"/>
  <c r="AC8" i="17" s="1"/>
  <c r="AC11" i="17" s="1"/>
  <c r="AC13" i="17" s="1"/>
  <c r="AC22" i="17" s="1"/>
  <c r="AD5" i="17"/>
  <c r="AD6" i="17" s="1"/>
  <c r="AD8" i="17" s="1"/>
  <c r="AD11" i="17" s="1"/>
  <c r="AD13" i="17" s="1"/>
  <c r="AD22" i="17" s="1"/>
  <c r="AE5" i="17"/>
  <c r="AE6" i="17" s="1"/>
  <c r="AE8" i="17" s="1"/>
  <c r="AE11" i="17" s="1"/>
  <c r="AE13" i="17" s="1"/>
  <c r="AE22" i="17" s="1"/>
  <c r="AF5" i="17"/>
  <c r="AF6" i="17" s="1"/>
  <c r="AF8" i="17" s="1"/>
  <c r="AF11" i="17" s="1"/>
  <c r="AF13" i="17" s="1"/>
  <c r="AF22" i="17" s="1"/>
  <c r="AB5" i="17"/>
  <c r="AB6" i="17" s="1"/>
  <c r="AB8" i="17" s="1"/>
  <c r="AB11" i="17" s="1"/>
  <c r="AB13" i="17" s="1"/>
  <c r="AB22" i="17" s="1"/>
  <c r="G74" i="15"/>
  <c r="I67" i="15"/>
  <c r="K67" i="15" s="1"/>
  <c r="I69" i="15"/>
  <c r="K69" i="15" s="1"/>
  <c r="I70" i="15"/>
  <c r="K70" i="15" s="1"/>
  <c r="I71" i="15"/>
  <c r="K71" i="15" s="1"/>
  <c r="I74" i="15"/>
  <c r="K74" i="15" s="1"/>
  <c r="L74" i="15" s="1"/>
  <c r="M74" i="15" s="1"/>
  <c r="I77" i="15"/>
  <c r="K77" i="15" s="1"/>
  <c r="I80" i="15"/>
  <c r="K80" i="15" s="1"/>
  <c r="G70" i="15"/>
  <c r="G71" i="15"/>
  <c r="L71" i="15" s="1"/>
  <c r="M71" i="15" s="1"/>
  <c r="U71" i="15" s="1"/>
  <c r="G77" i="15"/>
  <c r="G80" i="15"/>
  <c r="H58" i="15"/>
  <c r="J58" i="15" s="1"/>
  <c r="F54" i="15"/>
  <c r="H54" i="15"/>
  <c r="J54" i="15" s="1"/>
  <c r="F53" i="15"/>
  <c r="D17" i="15"/>
  <c r="D29" i="15" s="1"/>
  <c r="G17" i="15"/>
  <c r="G29" i="15" s="1"/>
  <c r="G18" i="15"/>
  <c r="G30" i="15" s="1"/>
  <c r="G19" i="15"/>
  <c r="G31" i="15" s="1"/>
  <c r="G20" i="15"/>
  <c r="G32" i="15" s="1"/>
  <c r="G21" i="15"/>
  <c r="G33" i="15" s="1"/>
  <c r="G22" i="15"/>
  <c r="G34" i="15" s="1"/>
  <c r="G24" i="15"/>
  <c r="G36" i="15" s="1"/>
  <c r="G25" i="15"/>
  <c r="G37" i="15" s="1"/>
  <c r="G26" i="15"/>
  <c r="G38" i="15" s="1"/>
  <c r="G27" i="15"/>
  <c r="G39" i="15" s="1"/>
  <c r="G28" i="15"/>
  <c r="G40" i="15" s="1"/>
  <c r="F18" i="15"/>
  <c r="F30" i="15" s="1"/>
  <c r="F19" i="15"/>
  <c r="F31" i="15" s="1"/>
  <c r="F20" i="15"/>
  <c r="F32" i="15" s="1"/>
  <c r="F21" i="15"/>
  <c r="F33" i="15" s="1"/>
  <c r="F22" i="15"/>
  <c r="F34" i="15" s="1"/>
  <c r="F24" i="15"/>
  <c r="F36" i="15" s="1"/>
  <c r="F25" i="15"/>
  <c r="F37" i="15" s="1"/>
  <c r="F26" i="15"/>
  <c r="F38" i="15" s="1"/>
  <c r="F27" i="15"/>
  <c r="F39" i="15" s="1"/>
  <c r="F28" i="15"/>
  <c r="F40" i="15" s="1"/>
  <c r="E18" i="15"/>
  <c r="E30" i="15" s="1"/>
  <c r="E19" i="15"/>
  <c r="E31" i="15" s="1"/>
  <c r="E20" i="15"/>
  <c r="E32" i="15" s="1"/>
  <c r="E21" i="15"/>
  <c r="E33" i="15" s="1"/>
  <c r="E22" i="15"/>
  <c r="E34" i="15" s="1"/>
  <c r="E24" i="15"/>
  <c r="E36" i="15" s="1"/>
  <c r="E25" i="15"/>
  <c r="E37" i="15" s="1"/>
  <c r="E26" i="15"/>
  <c r="E38" i="15" s="1"/>
  <c r="E27" i="15"/>
  <c r="E39" i="15" s="1"/>
  <c r="E28" i="15"/>
  <c r="E40" i="15" s="1"/>
  <c r="D18" i="15"/>
  <c r="D30" i="15" s="1"/>
  <c r="D19" i="15"/>
  <c r="D31" i="15" s="1"/>
  <c r="D20" i="15"/>
  <c r="D32" i="15" s="1"/>
  <c r="D21" i="15"/>
  <c r="D33" i="15" s="1"/>
  <c r="D22" i="15"/>
  <c r="D34" i="15" s="1"/>
  <c r="D24" i="15"/>
  <c r="D36" i="15" s="1"/>
  <c r="D25" i="15"/>
  <c r="D37" i="15" s="1"/>
  <c r="D26" i="15"/>
  <c r="D38" i="15" s="1"/>
  <c r="D27" i="15"/>
  <c r="D39" i="15" s="1"/>
  <c r="D28" i="15"/>
  <c r="D40" i="15" s="1"/>
  <c r="E17" i="15"/>
  <c r="E29" i="15"/>
  <c r="F17" i="15"/>
  <c r="F29" i="15" s="1"/>
  <c r="C24" i="15"/>
  <c r="C36" i="15" s="1"/>
  <c r="C25" i="15"/>
  <c r="C37" i="15" s="1"/>
  <c r="C26" i="15"/>
  <c r="C38" i="15" s="1"/>
  <c r="C27" i="15"/>
  <c r="C39" i="15" s="1"/>
  <c r="C28" i="15"/>
  <c r="C40" i="15" s="1"/>
  <c r="R60" i="17"/>
  <c r="J46" i="17"/>
  <c r="K46" i="17" s="1"/>
  <c r="J45" i="17"/>
  <c r="K45" i="17" s="1"/>
  <c r="J43" i="17"/>
  <c r="K43" i="17" s="1"/>
  <c r="J44" i="17"/>
  <c r="K44" i="17" s="1"/>
  <c r="R41" i="17"/>
  <c r="J34" i="17"/>
  <c r="K34" i="17" s="1"/>
  <c r="J33" i="17"/>
  <c r="K33" i="17" s="1"/>
  <c r="J32" i="17"/>
  <c r="K32" i="17" s="1"/>
  <c r="J31" i="17"/>
  <c r="K31" i="17" s="1"/>
  <c r="R22" i="17"/>
  <c r="J22" i="17"/>
  <c r="K22" i="17" s="1"/>
  <c r="J21" i="17"/>
  <c r="J17" i="17"/>
  <c r="J18" i="17"/>
  <c r="K18" i="17" s="1"/>
  <c r="J19" i="17"/>
  <c r="K19" i="17" s="1"/>
  <c r="J20" i="17"/>
  <c r="K20" i="17" s="1"/>
  <c r="R3" i="17"/>
  <c r="J6" i="17"/>
  <c r="K6" i="17" s="1"/>
  <c r="J7" i="17"/>
  <c r="K7" i="17"/>
  <c r="J8" i="17"/>
  <c r="K8" i="17" s="1"/>
  <c r="F20" i="7"/>
  <c r="G20" i="7"/>
  <c r="J27" i="7"/>
  <c r="F21" i="7"/>
  <c r="G21" i="7"/>
  <c r="F22" i="7"/>
  <c r="G22" i="7"/>
  <c r="F23" i="7"/>
  <c r="G23" i="7"/>
  <c r="K21" i="17"/>
  <c r="K17" i="17"/>
  <c r="C26" i="20"/>
  <c r="C22" i="20"/>
  <c r="C17" i="20"/>
  <c r="C15" i="20"/>
  <c r="C12" i="20"/>
  <c r="C9" i="20"/>
  <c r="C6" i="20"/>
  <c r="C4" i="20"/>
  <c r="C3" i="20" s="1"/>
  <c r="K39" i="19"/>
  <c r="K37" i="19"/>
  <c r="K35" i="19"/>
  <c r="K33" i="19"/>
  <c r="K31" i="19"/>
  <c r="K30" i="19"/>
  <c r="K29" i="19"/>
  <c r="K27" i="19"/>
  <c r="K26" i="19"/>
  <c r="K24" i="19"/>
  <c r="K23" i="19"/>
  <c r="K22" i="19"/>
  <c r="K20" i="19"/>
  <c r="K19" i="19"/>
  <c r="K16" i="19"/>
  <c r="K15" i="19"/>
  <c r="K18" i="19"/>
  <c r="K17" i="19"/>
  <c r="K14" i="19"/>
  <c r="K13" i="19"/>
  <c r="K11" i="19"/>
  <c r="K10" i="19"/>
  <c r="K9" i="19"/>
  <c r="K8" i="19"/>
  <c r="K7" i="19"/>
  <c r="K3" i="19"/>
  <c r="J56" i="17"/>
  <c r="K56" i="17" s="1"/>
  <c r="J55" i="17"/>
  <c r="K55" i="17" s="1"/>
  <c r="R78" i="17"/>
  <c r="Y10" i="17"/>
  <c r="Y9" i="17"/>
  <c r="Y8" i="17"/>
  <c r="Y7" i="17"/>
  <c r="Y6" i="17"/>
  <c r="Y5" i="17"/>
  <c r="J5" i="17"/>
  <c r="K5" i="17" s="1"/>
  <c r="AQ153" i="16"/>
  <c r="AP153" i="16"/>
  <c r="AO153" i="16"/>
  <c r="AN153" i="16"/>
  <c r="AM153" i="16"/>
  <c r="AL153" i="16"/>
  <c r="AR153" i="16" s="1"/>
  <c r="AQ152" i="16"/>
  <c r="AP152" i="16"/>
  <c r="AO152" i="16"/>
  <c r="AN152" i="16"/>
  <c r="AM152" i="16"/>
  <c r="AL152" i="16"/>
  <c r="AQ151" i="16"/>
  <c r="AP151" i="16"/>
  <c r="AO151" i="16"/>
  <c r="AN151" i="16"/>
  <c r="AM151" i="16"/>
  <c r="AR151" i="16" s="1"/>
  <c r="AL151" i="16"/>
  <c r="AQ150" i="16"/>
  <c r="AP150" i="16"/>
  <c r="AO150" i="16"/>
  <c r="AN150" i="16"/>
  <c r="AL150" i="16"/>
  <c r="AM150" i="16"/>
  <c r="AQ149" i="16"/>
  <c r="AP149" i="16"/>
  <c r="AO149" i="16"/>
  <c r="AN149" i="16"/>
  <c r="AM149" i="16"/>
  <c r="AL149" i="16"/>
  <c r="AQ148" i="16"/>
  <c r="AP148" i="16"/>
  <c r="AO148" i="16"/>
  <c r="AR148" i="16" s="1"/>
  <c r="AN148" i="16"/>
  <c r="AM148" i="16"/>
  <c r="AL148" i="16"/>
  <c r="AQ147" i="16"/>
  <c r="AP147" i="16"/>
  <c r="AO147" i="16"/>
  <c r="AN147" i="16"/>
  <c r="AM147" i="16"/>
  <c r="AL147" i="16"/>
  <c r="AQ146" i="16"/>
  <c r="AP146" i="16"/>
  <c r="AO146" i="16"/>
  <c r="AN146" i="16"/>
  <c r="AL146" i="16"/>
  <c r="AM146" i="16"/>
  <c r="AQ145" i="16"/>
  <c r="AP145" i="16"/>
  <c r="AO145" i="16"/>
  <c r="AN145" i="16"/>
  <c r="AM145" i="16"/>
  <c r="AL145" i="16"/>
  <c r="AR145" i="16" s="1"/>
  <c r="AQ144" i="16"/>
  <c r="AP144" i="16"/>
  <c r="AO144" i="16"/>
  <c r="AN144" i="16"/>
  <c r="AM144" i="16"/>
  <c r="AL144" i="16"/>
  <c r="AQ143" i="16"/>
  <c r="AP143" i="16"/>
  <c r="AO143" i="16"/>
  <c r="AN143" i="16"/>
  <c r="AM143" i="16"/>
  <c r="AL143" i="16"/>
  <c r="AQ142" i="16"/>
  <c r="AP142" i="16"/>
  <c r="AO142" i="16"/>
  <c r="AN142" i="16"/>
  <c r="AL142" i="16"/>
  <c r="AM142" i="16"/>
  <c r="AQ141" i="16"/>
  <c r="AP141" i="16"/>
  <c r="AO141" i="16"/>
  <c r="AN141" i="16"/>
  <c r="AM141" i="16"/>
  <c r="AL141" i="16"/>
  <c r="AQ140" i="16"/>
  <c r="AP140" i="16"/>
  <c r="AO140" i="16"/>
  <c r="AN140" i="16"/>
  <c r="AM140" i="16"/>
  <c r="AR140" i="16" s="1"/>
  <c r="AL140" i="16"/>
  <c r="AJ5" i="11"/>
  <c r="AJ6" i="11"/>
  <c r="AR6" i="11" s="1"/>
  <c r="AJ7" i="11"/>
  <c r="AJ8" i="11"/>
  <c r="AR8" i="11"/>
  <c r="AJ9" i="11"/>
  <c r="AP5" i="11"/>
  <c r="AP8" i="11"/>
  <c r="AP9" i="11"/>
  <c r="AN8" i="11"/>
  <c r="AL5" i="11"/>
  <c r="AL8" i="11"/>
  <c r="AL9" i="11"/>
  <c r="Z3" i="11"/>
  <c r="Z4" i="11"/>
  <c r="Z5" i="11"/>
  <c r="Z6" i="11"/>
  <c r="Z7" i="11"/>
  <c r="C20" i="10"/>
  <c r="G20" i="10" s="1"/>
  <c r="M20" i="10"/>
  <c r="C21" i="10"/>
  <c r="K21" i="10" s="1"/>
  <c r="C22" i="10"/>
  <c r="K22" i="10" s="1"/>
  <c r="C23" i="10"/>
  <c r="I23" i="10" s="1"/>
  <c r="K20" i="10"/>
  <c r="I20" i="10"/>
  <c r="E20" i="10"/>
  <c r="G3" i="10"/>
  <c r="G4" i="10"/>
  <c r="G5" i="10"/>
  <c r="G6" i="10"/>
  <c r="X21" i="7"/>
  <c r="C21" i="3"/>
  <c r="E21" i="3" s="1"/>
  <c r="C57" i="3" s="1"/>
  <c r="E57" i="3"/>
  <c r="N57" i="3"/>
  <c r="D67" i="3" s="1"/>
  <c r="T57" i="3"/>
  <c r="Q57" i="3"/>
  <c r="U57" i="3"/>
  <c r="L67" i="3" s="1"/>
  <c r="AB57" i="3"/>
  <c r="Y57" i="3"/>
  <c r="AC57" i="3"/>
  <c r="M67" i="3" s="1"/>
  <c r="E8" i="3"/>
  <c r="C20" i="3" s="1"/>
  <c r="E20" i="3" s="1"/>
  <c r="E56" i="3"/>
  <c r="N56" i="3"/>
  <c r="D66" i="3" s="1"/>
  <c r="T56" i="3"/>
  <c r="U56" i="3" s="1"/>
  <c r="L66" i="3" s="1"/>
  <c r="Q56" i="3"/>
  <c r="AB56" i="3"/>
  <c r="AC56" i="3" s="1"/>
  <c r="M66" i="3" s="1"/>
  <c r="Y56" i="3"/>
  <c r="E7" i="3"/>
  <c r="C19" i="3" s="1"/>
  <c r="E19" i="3" s="1"/>
  <c r="E55" i="3"/>
  <c r="N55" i="3"/>
  <c r="D65" i="3"/>
  <c r="T55" i="3"/>
  <c r="Q55" i="3"/>
  <c r="AB55" i="3"/>
  <c r="Y55" i="3"/>
  <c r="E6" i="3"/>
  <c r="C18" i="3" s="1"/>
  <c r="E18" i="3" s="1"/>
  <c r="E54" i="3"/>
  <c r="N54" i="3"/>
  <c r="D64" i="3" s="1"/>
  <c r="T54" i="3"/>
  <c r="U54" i="3" s="1"/>
  <c r="L64" i="3" s="1"/>
  <c r="Q54" i="3"/>
  <c r="AB54" i="3"/>
  <c r="AC54" i="3" s="1"/>
  <c r="M64" i="3" s="1"/>
  <c r="Y54" i="3"/>
  <c r="E5" i="3"/>
  <c r="C17" i="3" s="1"/>
  <c r="E17" i="3" s="1"/>
  <c r="E53" i="3"/>
  <c r="N53" i="3"/>
  <c r="D63" i="3" s="1"/>
  <c r="T53" i="3"/>
  <c r="U53" i="3" s="1"/>
  <c r="L63" i="3" s="1"/>
  <c r="Q53" i="3"/>
  <c r="AB53" i="3"/>
  <c r="Y53" i="3"/>
  <c r="E38" i="3"/>
  <c r="E37" i="3"/>
  <c r="Q23" i="3"/>
  <c r="P23" i="3"/>
  <c r="O23" i="3"/>
  <c r="N23" i="3"/>
  <c r="G77" i="2"/>
  <c r="F88" i="2" s="1"/>
  <c r="H88" i="2" s="1"/>
  <c r="I88" i="2" s="1"/>
  <c r="G76" i="2"/>
  <c r="F87" i="2" s="1"/>
  <c r="H87" i="2" s="1"/>
  <c r="I87" i="2" s="1"/>
  <c r="G75" i="2"/>
  <c r="F86" i="2" s="1"/>
  <c r="H86" i="2" s="1"/>
  <c r="I86" i="2" s="1"/>
  <c r="F85" i="2"/>
  <c r="H85" i="2" s="1"/>
  <c r="I85" i="2" s="1"/>
  <c r="I70" i="2"/>
  <c r="I69" i="2"/>
  <c r="I68" i="2"/>
  <c r="I67" i="2"/>
  <c r="I56" i="2"/>
  <c r="I55" i="2"/>
  <c r="I54" i="2"/>
  <c r="F32" i="2"/>
  <c r="K24" i="2"/>
  <c r="G32" i="2" s="1"/>
  <c r="F40" i="2"/>
  <c r="K16" i="2"/>
  <c r="H8" i="2" s="1"/>
  <c r="J8" i="2" s="1"/>
  <c r="F31" i="2"/>
  <c r="K23" i="2"/>
  <c r="G7" i="2" s="1"/>
  <c r="I7" i="2" s="1"/>
  <c r="F39" i="2"/>
  <c r="K15" i="2"/>
  <c r="G39" i="2" s="1"/>
  <c r="F30" i="2"/>
  <c r="K22" i="2"/>
  <c r="G30" i="2" s="1"/>
  <c r="F38" i="2"/>
  <c r="K14" i="2"/>
  <c r="G38" i="2" s="1"/>
  <c r="F29" i="2"/>
  <c r="K21" i="2"/>
  <c r="G29" i="2" s="1"/>
  <c r="F37" i="2"/>
  <c r="K13" i="2"/>
  <c r="G37" i="2" s="1"/>
  <c r="S24" i="2"/>
  <c r="S23" i="2"/>
  <c r="S22" i="2"/>
  <c r="S21" i="2"/>
  <c r="S16" i="2"/>
  <c r="S15" i="2"/>
  <c r="S14" i="2"/>
  <c r="S13" i="2"/>
  <c r="F8" i="2"/>
  <c r="F7" i="2"/>
  <c r="F6" i="2"/>
  <c r="F5" i="2"/>
  <c r="D51" i="5"/>
  <c r="D53" i="5" s="1"/>
  <c r="Q11" i="5"/>
  <c r="Q12" i="5"/>
  <c r="Q13" i="5"/>
  <c r="Q14" i="5"/>
  <c r="Q15" i="5"/>
  <c r="Q16" i="5"/>
  <c r="Q17" i="5"/>
  <c r="Q18" i="5"/>
  <c r="Q19" i="5"/>
  <c r="Q20" i="5"/>
  <c r="M21" i="5"/>
  <c r="C5" i="5"/>
  <c r="I9" i="5" s="1"/>
  <c r="E9" i="5" s="1"/>
  <c r="H9" i="5"/>
  <c r="F9" i="5"/>
  <c r="D9" i="5"/>
  <c r="C9" i="5"/>
  <c r="I8" i="5"/>
  <c r="L17" i="1"/>
  <c r="L18" i="1"/>
  <c r="L19" i="1"/>
  <c r="L20" i="1"/>
  <c r="L21" i="1"/>
  <c r="L22" i="1"/>
  <c r="L23" i="1"/>
  <c r="L24" i="1"/>
  <c r="L25" i="1"/>
  <c r="L5" i="1"/>
  <c r="L6" i="1"/>
  <c r="L7" i="1"/>
  <c r="L8" i="1"/>
  <c r="L9" i="1"/>
  <c r="L10" i="1"/>
  <c r="L11" i="1"/>
  <c r="L12" i="1"/>
  <c r="L13" i="1"/>
  <c r="H52" i="32" l="1"/>
  <c r="H52" i="36"/>
  <c r="H55" i="36" s="1"/>
  <c r="G52" i="32"/>
  <c r="G55" i="32" s="1"/>
  <c r="G52" i="36"/>
  <c r="G55" i="36" s="1"/>
  <c r="F52" i="32"/>
  <c r="F55" i="32" s="1"/>
  <c r="F52" i="36"/>
  <c r="F55" i="36" s="1"/>
  <c r="E52" i="32"/>
  <c r="E55" i="32" s="1"/>
  <c r="E52" i="36"/>
  <c r="E55" i="36" s="1"/>
  <c r="D52" i="32"/>
  <c r="D55" i="32" s="1"/>
  <c r="D52" i="36"/>
  <c r="D55" i="36" s="1"/>
  <c r="C29" i="3"/>
  <c r="E29" i="3" s="1"/>
  <c r="D55" i="3" s="1"/>
  <c r="C55" i="3"/>
  <c r="C30" i="3"/>
  <c r="E30" i="3" s="1"/>
  <c r="D56" i="3" s="1"/>
  <c r="C56" i="3"/>
  <c r="C27" i="3"/>
  <c r="E27" i="3" s="1"/>
  <c r="D53" i="3" s="1"/>
  <c r="C53" i="3"/>
  <c r="Q21" i="5"/>
  <c r="AC53" i="3"/>
  <c r="M63" i="3" s="1"/>
  <c r="U55" i="3"/>
  <c r="L65" i="3" s="1"/>
  <c r="G23" i="10"/>
  <c r="AP6" i="11"/>
  <c r="AR141" i="16"/>
  <c r="AR144" i="16"/>
  <c r="AQ152" i="25"/>
  <c r="E115" i="30"/>
  <c r="C115" i="30"/>
  <c r="H19" i="30"/>
  <c r="L19" i="30"/>
  <c r="M19" i="30"/>
  <c r="C106" i="30"/>
  <c r="G106" i="30"/>
  <c r="L106" i="30"/>
  <c r="D77" i="30"/>
  <c r="H77" i="30"/>
  <c r="L77" i="30"/>
  <c r="D135" i="30"/>
  <c r="H135" i="30"/>
  <c r="L135" i="30"/>
  <c r="AK32" i="4"/>
  <c r="G19" i="30"/>
  <c r="K19" i="30"/>
  <c r="F106" i="30"/>
  <c r="J106" i="30"/>
  <c r="K106" i="30"/>
  <c r="C77" i="30"/>
  <c r="G77" i="30"/>
  <c r="K77" i="30"/>
  <c r="C135" i="30"/>
  <c r="G135" i="30"/>
  <c r="K135" i="30"/>
  <c r="J19" i="30"/>
  <c r="D106" i="30"/>
  <c r="I106" i="30"/>
  <c r="B77" i="30"/>
  <c r="F77" i="30"/>
  <c r="J77" i="30"/>
  <c r="B135" i="30"/>
  <c r="F135" i="30"/>
  <c r="J135" i="30"/>
  <c r="U195" i="30"/>
  <c r="Y195" i="30" s="1"/>
  <c r="X195" i="30"/>
  <c r="U192" i="30"/>
  <c r="Y192" i="30" s="1"/>
  <c r="X192" i="30"/>
  <c r="N64" i="3"/>
  <c r="R64" i="3" s="1"/>
  <c r="G22" i="10"/>
  <c r="AN6" i="11"/>
  <c r="AR143" i="16"/>
  <c r="Y150" i="25"/>
  <c r="F260" i="30" s="1"/>
  <c r="D191" i="30"/>
  <c r="F191" i="30"/>
  <c r="F192" i="30" s="1"/>
  <c r="D197" i="30" s="1"/>
  <c r="H191" i="30"/>
  <c r="E191" i="30"/>
  <c r="G191" i="30"/>
  <c r="Y77" i="25"/>
  <c r="E135" i="30"/>
  <c r="M106" i="30"/>
  <c r="H106" i="30"/>
  <c r="U181" i="30"/>
  <c r="Y181" i="30" s="1"/>
  <c r="X181" i="30"/>
  <c r="T191" i="30"/>
  <c r="S196" i="30"/>
  <c r="C273" i="30"/>
  <c r="C272" i="30" s="1"/>
  <c r="C280" i="30" s="1"/>
  <c r="E42" i="32" s="1"/>
  <c r="C278" i="30"/>
  <c r="C24" i="10"/>
  <c r="G9" i="5"/>
  <c r="C31" i="3"/>
  <c r="E31" i="3" s="1"/>
  <c r="D57" i="3" s="1"/>
  <c r="F57" i="3" s="1"/>
  <c r="C67" i="3" s="1"/>
  <c r="E67" i="3" s="1"/>
  <c r="Q67" i="3" s="1"/>
  <c r="E22" i="10"/>
  <c r="I22" i="10"/>
  <c r="M22" i="10"/>
  <c r="AL6" i="11"/>
  <c r="AR149" i="16"/>
  <c r="AR152" i="16"/>
  <c r="K54" i="15"/>
  <c r="L54" i="15" s="1"/>
  <c r="L77" i="15"/>
  <c r="M77" i="15" s="1"/>
  <c r="U77" i="15" s="1"/>
  <c r="L102" i="15"/>
  <c r="Y158" i="25"/>
  <c r="F262" i="30" s="1"/>
  <c r="Y110" i="25"/>
  <c r="D260" i="30" s="1"/>
  <c r="I135" i="30"/>
  <c r="C145" i="30"/>
  <c r="J83" i="30"/>
  <c r="E77" i="30"/>
  <c r="K116" i="30"/>
  <c r="F116" i="30"/>
  <c r="D29" i="30"/>
  <c r="F29" i="30"/>
  <c r="J29" i="30"/>
  <c r="I116" i="30"/>
  <c r="J116" i="30"/>
  <c r="B87" i="30"/>
  <c r="F87" i="30"/>
  <c r="J87" i="30"/>
  <c r="B145" i="30"/>
  <c r="F145" i="30"/>
  <c r="J145" i="30"/>
  <c r="I29" i="30"/>
  <c r="H116" i="30"/>
  <c r="M116" i="30"/>
  <c r="E87" i="30"/>
  <c r="I87" i="30"/>
  <c r="M87" i="30"/>
  <c r="E145" i="30"/>
  <c r="I145" i="30"/>
  <c r="M145" i="30"/>
  <c r="E29" i="30"/>
  <c r="H29" i="30"/>
  <c r="M29" i="30"/>
  <c r="G116" i="30"/>
  <c r="L116" i="30"/>
  <c r="D87" i="30"/>
  <c r="H87" i="30"/>
  <c r="L87" i="30"/>
  <c r="D145" i="30"/>
  <c r="H145" i="30"/>
  <c r="L145" i="30"/>
  <c r="I25" i="30"/>
  <c r="H112" i="30"/>
  <c r="M112" i="30"/>
  <c r="E83" i="30"/>
  <c r="I83" i="30"/>
  <c r="M83" i="30"/>
  <c r="E141" i="30"/>
  <c r="I141" i="30"/>
  <c r="M141" i="30"/>
  <c r="E25" i="30"/>
  <c r="H25" i="30"/>
  <c r="L25" i="30"/>
  <c r="M25" i="30"/>
  <c r="G112" i="30"/>
  <c r="L112" i="30"/>
  <c r="D83" i="30"/>
  <c r="H83" i="30"/>
  <c r="L83" i="30"/>
  <c r="D141" i="30"/>
  <c r="H141" i="30"/>
  <c r="L141" i="30"/>
  <c r="G25" i="30"/>
  <c r="K25" i="30"/>
  <c r="F112" i="30"/>
  <c r="J112" i="30"/>
  <c r="K112" i="30"/>
  <c r="C83" i="30"/>
  <c r="G83" i="30"/>
  <c r="K83" i="30"/>
  <c r="C141" i="30"/>
  <c r="G141" i="30"/>
  <c r="K141" i="30"/>
  <c r="S180" i="30"/>
  <c r="R184" i="30"/>
  <c r="U194" i="30"/>
  <c r="Y194" i="30" s="1"/>
  <c r="X194" i="30"/>
  <c r="D271" i="30"/>
  <c r="L96" i="15"/>
  <c r="M96" i="15" s="1"/>
  <c r="Y118" i="25"/>
  <c r="D262" i="30" s="1"/>
  <c r="Y138" i="25"/>
  <c r="E262" i="30" s="1"/>
  <c r="D225" i="30"/>
  <c r="F225" i="30"/>
  <c r="H225" i="30"/>
  <c r="H226" i="30" s="1"/>
  <c r="F249" i="30" s="1"/>
  <c r="C226" i="30"/>
  <c r="Y65" i="25"/>
  <c r="B215" i="30" s="1"/>
  <c r="AK62" i="4"/>
  <c r="M135" i="30"/>
  <c r="G145" i="30"/>
  <c r="B141" i="30"/>
  <c r="I77" i="30"/>
  <c r="C87" i="30"/>
  <c r="E106" i="30"/>
  <c r="J25" i="30"/>
  <c r="D25" i="30"/>
  <c r="U193" i="30"/>
  <c r="Y193" i="30" s="1"/>
  <c r="X193" i="30"/>
  <c r="U189" i="30"/>
  <c r="X189" i="30"/>
  <c r="T196" i="30"/>
  <c r="B271" i="30"/>
  <c r="AQ151" i="25"/>
  <c r="Y131" i="25"/>
  <c r="Y149" i="25"/>
  <c r="Y109" i="25"/>
  <c r="H192" i="30"/>
  <c r="F197" i="30" s="1"/>
  <c r="F271" i="30"/>
  <c r="E271" i="30"/>
  <c r="L106" i="15"/>
  <c r="L155" i="15"/>
  <c r="M155" i="15" s="1"/>
  <c r="J37" i="26"/>
  <c r="Y148" i="25"/>
  <c r="Y113" i="25"/>
  <c r="Y132" i="25"/>
  <c r="Y128" i="25"/>
  <c r="Y88" i="25"/>
  <c r="Y96" i="25"/>
  <c r="C261" i="30" s="1"/>
  <c r="Y90" i="25"/>
  <c r="C260" i="30" s="1"/>
  <c r="Y89" i="25"/>
  <c r="C259" i="30" s="1"/>
  <c r="Y87" i="25"/>
  <c r="C258" i="30" s="1"/>
  <c r="Y136" i="25"/>
  <c r="E261" i="30" s="1"/>
  <c r="D232" i="30"/>
  <c r="Y151" i="25"/>
  <c r="Y91" i="25"/>
  <c r="Y97" i="25"/>
  <c r="Y67" i="25"/>
  <c r="B258" i="30" s="1"/>
  <c r="Y66" i="25"/>
  <c r="B216" i="30" s="1"/>
  <c r="Y72" i="25"/>
  <c r="Y68" i="25"/>
  <c r="B175" i="30" s="1"/>
  <c r="B195" i="30" s="1"/>
  <c r="D82" i="26"/>
  <c r="Y161" i="25"/>
  <c r="F219" i="30" s="1"/>
  <c r="Y159" i="25"/>
  <c r="Y141" i="25"/>
  <c r="E219" i="30" s="1"/>
  <c r="Y119" i="25"/>
  <c r="Y100" i="25"/>
  <c r="L26" i="1"/>
  <c r="M22" i="1" s="1"/>
  <c r="Y140" i="25"/>
  <c r="Y99" i="25"/>
  <c r="G190" i="30"/>
  <c r="G192" i="30" s="1"/>
  <c r="E197" i="30" s="1"/>
  <c r="F190" i="30"/>
  <c r="E190" i="30"/>
  <c r="E192" i="30" s="1"/>
  <c r="C197" i="30" s="1"/>
  <c r="D190" i="30"/>
  <c r="D192" i="30" s="1"/>
  <c r="B197" i="30" s="1"/>
  <c r="C192" i="30"/>
  <c r="Y11" i="17"/>
  <c r="R79" i="17"/>
  <c r="M55" i="17" s="1"/>
  <c r="N55" i="17" s="1"/>
  <c r="O55" i="17" s="1"/>
  <c r="AK22" i="17"/>
  <c r="R42" i="17"/>
  <c r="R43" i="17" s="1"/>
  <c r="R23" i="17"/>
  <c r="R24" i="17" s="1"/>
  <c r="R4" i="17"/>
  <c r="M21" i="17" s="1"/>
  <c r="N21" i="17" s="1"/>
  <c r="O21" i="17" s="1"/>
  <c r="M8" i="17"/>
  <c r="N8" i="17" s="1"/>
  <c r="O8" i="17" s="1"/>
  <c r="L128" i="15"/>
  <c r="M128" i="15" s="1"/>
  <c r="L110" i="15"/>
  <c r="C118" i="15" s="1"/>
  <c r="D118" i="15" s="1"/>
  <c r="L100" i="15"/>
  <c r="L94" i="15"/>
  <c r="L75" i="15"/>
  <c r="M75" i="15" s="1"/>
  <c r="U75" i="15" s="1"/>
  <c r="V75" i="15" s="1"/>
  <c r="K57" i="15"/>
  <c r="L57" i="15" s="1"/>
  <c r="K53" i="15"/>
  <c r="L53" i="15" s="1"/>
  <c r="L69" i="15"/>
  <c r="L67" i="15"/>
  <c r="M67" i="15" s="1"/>
  <c r="U67" i="15" s="1"/>
  <c r="K58" i="15"/>
  <c r="L58" i="15" s="1"/>
  <c r="K56" i="15"/>
  <c r="L56" i="15" s="1"/>
  <c r="L99" i="15"/>
  <c r="M99" i="15" s="1"/>
  <c r="U99" i="15" s="1"/>
  <c r="L104" i="15"/>
  <c r="M104" i="15" s="1"/>
  <c r="L132" i="15"/>
  <c r="L152" i="15"/>
  <c r="L156" i="15"/>
  <c r="M156" i="15" s="1"/>
  <c r="L160" i="15"/>
  <c r="M160" i="15" s="1"/>
  <c r="U160" i="15" s="1"/>
  <c r="V160" i="15" s="1"/>
  <c r="L163" i="15"/>
  <c r="L166" i="15"/>
  <c r="M166" i="15" s="1"/>
  <c r="U166" i="15" s="1"/>
  <c r="V166" i="15" s="1"/>
  <c r="L168" i="15"/>
  <c r="M168" i="15" s="1"/>
  <c r="U168" i="15" s="1"/>
  <c r="V168" i="15" s="1"/>
  <c r="L124" i="15"/>
  <c r="L130" i="15"/>
  <c r="L65" i="15"/>
  <c r="U96" i="15"/>
  <c r="L97" i="15"/>
  <c r="M97" i="15" s="1"/>
  <c r="L98" i="15"/>
  <c r="L129" i="15"/>
  <c r="M129" i="15" s="1"/>
  <c r="U129" i="15" s="1"/>
  <c r="L80" i="15"/>
  <c r="L70" i="15"/>
  <c r="M70" i="15" s="1"/>
  <c r="L72" i="15"/>
  <c r="L127" i="15"/>
  <c r="L135" i="15"/>
  <c r="C146" i="15" s="1"/>
  <c r="D146" i="15" s="1"/>
  <c r="L164" i="15"/>
  <c r="M164" i="15" s="1"/>
  <c r="U164" i="15" s="1"/>
  <c r="L153" i="15"/>
  <c r="M153" i="15" s="1"/>
  <c r="L159" i="15"/>
  <c r="L133" i="15"/>
  <c r="M133" i="15" s="1"/>
  <c r="U133" i="15" s="1"/>
  <c r="V133" i="15" s="1"/>
  <c r="L136" i="15"/>
  <c r="L138" i="15"/>
  <c r="M138" i="15" s="1"/>
  <c r="L76" i="15"/>
  <c r="M80" i="15"/>
  <c r="U80" i="15" s="1"/>
  <c r="V80" i="15" s="1"/>
  <c r="L79" i="15"/>
  <c r="M79" i="15" s="1"/>
  <c r="L73" i="15"/>
  <c r="M73" i="15" s="1"/>
  <c r="U73" i="15" s="1"/>
  <c r="V73" i="15" s="1"/>
  <c r="F10" i="26"/>
  <c r="B63" i="26" s="1"/>
  <c r="D63" i="26" s="1"/>
  <c r="H232" i="30"/>
  <c r="F7" i="30"/>
  <c r="C7" i="30"/>
  <c r="E28" i="36" s="1"/>
  <c r="E31" i="36" s="1"/>
  <c r="E7" i="30"/>
  <c r="D7" i="30"/>
  <c r="B7" i="30"/>
  <c r="D28" i="36" s="1"/>
  <c r="D31" i="36" s="1"/>
  <c r="I29" i="7"/>
  <c r="H23" i="7"/>
  <c r="H21" i="7"/>
  <c r="H20" i="7"/>
  <c r="F53" i="3"/>
  <c r="C63" i="3" s="1"/>
  <c r="E63" i="3" s="1"/>
  <c r="Q63" i="3" s="1"/>
  <c r="H49" i="2"/>
  <c r="K9" i="2"/>
  <c r="H32" i="2"/>
  <c r="F48" i="2" s="1"/>
  <c r="H30" i="2"/>
  <c r="F46" i="2" s="1"/>
  <c r="G6" i="2"/>
  <c r="I6" i="2" s="1"/>
  <c r="G40" i="2"/>
  <c r="H40" i="2" s="1"/>
  <c r="G48" i="2" s="1"/>
  <c r="H38" i="2"/>
  <c r="G46" i="2" s="1"/>
  <c r="H6" i="2"/>
  <c r="J6" i="2" s="1"/>
  <c r="H37" i="2"/>
  <c r="G45" i="2" s="1"/>
  <c r="H29" i="2"/>
  <c r="F45" i="2" s="1"/>
  <c r="H5" i="2"/>
  <c r="J5" i="2" s="1"/>
  <c r="H39" i="2"/>
  <c r="G47" i="2" s="1"/>
  <c r="G5" i="2"/>
  <c r="I5" i="2" s="1"/>
  <c r="N63" i="3"/>
  <c r="R63" i="3" s="1"/>
  <c r="S67" i="3"/>
  <c r="N66" i="3"/>
  <c r="R66" i="3" s="1"/>
  <c r="M20" i="1"/>
  <c r="C54" i="3"/>
  <c r="C28" i="3"/>
  <c r="E28" i="3" s="1"/>
  <c r="D54" i="3" s="1"/>
  <c r="H7" i="2"/>
  <c r="J7" i="2" s="1"/>
  <c r="K7" i="2" s="1"/>
  <c r="G31" i="2"/>
  <c r="H31" i="2" s="1"/>
  <c r="F47" i="2" s="1"/>
  <c r="G7" i="10"/>
  <c r="H3" i="10"/>
  <c r="AR5" i="11"/>
  <c r="AN5" i="11"/>
  <c r="AJ10" i="11"/>
  <c r="AR142" i="16"/>
  <c r="AR147" i="16"/>
  <c r="AR150" i="16"/>
  <c r="AE40" i="29"/>
  <c r="F55" i="3"/>
  <c r="C65" i="3" s="1"/>
  <c r="E65" i="3" s="1"/>
  <c r="Q65" i="3" s="1"/>
  <c r="M21" i="10"/>
  <c r="I21" i="10"/>
  <c r="I24" i="10" s="1"/>
  <c r="G21" i="10"/>
  <c r="AR7" i="11"/>
  <c r="AP7" i="11"/>
  <c r="AP10" i="11" s="1"/>
  <c r="AL7" i="11"/>
  <c r="AL10" i="11" s="1"/>
  <c r="L14" i="1"/>
  <c r="AC55" i="3"/>
  <c r="M65" i="3" s="1"/>
  <c r="N65" i="3" s="1"/>
  <c r="R65" i="3" s="1"/>
  <c r="N67" i="3"/>
  <c r="R67" i="3" s="1"/>
  <c r="M23" i="10"/>
  <c r="E23" i="10"/>
  <c r="K23" i="10"/>
  <c r="K24" i="10" s="1"/>
  <c r="AR9" i="11"/>
  <c r="AN9" i="11"/>
  <c r="AR146" i="16"/>
  <c r="F215" i="30"/>
  <c r="M23" i="1"/>
  <c r="G8" i="2"/>
  <c r="I8" i="2" s="1"/>
  <c r="K8" i="2" s="1"/>
  <c r="E21" i="10"/>
  <c r="E24" i="10" s="1"/>
  <c r="G24" i="10"/>
  <c r="Z8" i="11"/>
  <c r="AA4" i="11" s="1"/>
  <c r="AN7" i="11"/>
  <c r="AF23" i="17"/>
  <c r="AD23" i="17"/>
  <c r="U74" i="15"/>
  <c r="AB23" i="17"/>
  <c r="AE23" i="17"/>
  <c r="AC23" i="17"/>
  <c r="AI22" i="17"/>
  <c r="Y85" i="25"/>
  <c r="Y86" i="25"/>
  <c r="C216" i="30" s="1"/>
  <c r="Y94" i="25"/>
  <c r="C217" i="30" s="1"/>
  <c r="Y101" i="25"/>
  <c r="C219" i="30" s="1"/>
  <c r="Y105" i="25"/>
  <c r="Y135" i="25"/>
  <c r="Y146" i="25"/>
  <c r="F216" i="30" s="1"/>
  <c r="Y154" i="25"/>
  <c r="F217" i="30" s="1"/>
  <c r="Y155" i="25"/>
  <c r="F218" i="30" s="1"/>
  <c r="M94" i="15"/>
  <c r="U94" i="15" s="1"/>
  <c r="V94" i="15" s="1"/>
  <c r="M107" i="15"/>
  <c r="U107" i="15" s="1"/>
  <c r="V107" i="15" s="1"/>
  <c r="M132" i="15"/>
  <c r="U132" i="15" s="1"/>
  <c r="M134" i="15"/>
  <c r="U134" i="15" s="1"/>
  <c r="V134" i="15" s="1"/>
  <c r="M137" i="15"/>
  <c r="U137" i="15" s="1"/>
  <c r="V137" i="15" s="1"/>
  <c r="M139" i="15"/>
  <c r="U139" i="15" s="1"/>
  <c r="V139" i="15" s="1"/>
  <c r="H22" i="7"/>
  <c r="R61" i="17"/>
  <c r="R62" i="17" s="1"/>
  <c r="AJ22" i="17"/>
  <c r="M100" i="15"/>
  <c r="U100" i="15" s="1"/>
  <c r="M106" i="15"/>
  <c r="U106" i="15" s="1"/>
  <c r="M110" i="15"/>
  <c r="U110" i="15" s="1"/>
  <c r="V110" i="15" s="1"/>
  <c r="E215" i="30"/>
  <c r="AC172" i="25"/>
  <c r="M68" i="15"/>
  <c r="U68" i="15"/>
  <c r="V68" i="15" s="1"/>
  <c r="M102" i="15"/>
  <c r="U102" i="15" s="1"/>
  <c r="V102" i="15" s="1"/>
  <c r="M109" i="15"/>
  <c r="U109" i="15" s="1"/>
  <c r="V109" i="15" s="1"/>
  <c r="M135" i="15"/>
  <c r="M66" i="15"/>
  <c r="U66" i="15" s="1"/>
  <c r="V66" i="15" s="1"/>
  <c r="M108" i="15"/>
  <c r="U108" i="15" s="1"/>
  <c r="V108" i="15" s="1"/>
  <c r="M158" i="15"/>
  <c r="U158" i="15" s="1"/>
  <c r="L81" i="15"/>
  <c r="L78" i="15"/>
  <c r="L103" i="15"/>
  <c r="L105" i="15"/>
  <c r="C117" i="15" s="1"/>
  <c r="D117" i="15" s="1"/>
  <c r="L154" i="15"/>
  <c r="M130" i="15"/>
  <c r="U130" i="15" s="1"/>
  <c r="V130" i="15" s="1"/>
  <c r="J20" i="26"/>
  <c r="L95" i="15"/>
  <c r="L101" i="15"/>
  <c r="L125" i="15"/>
  <c r="L157" i="15"/>
  <c r="C173" i="15" s="1"/>
  <c r="D173" i="15" s="1"/>
  <c r="L162" i="15"/>
  <c r="L165" i="15"/>
  <c r="L167" i="15"/>
  <c r="L123" i="15"/>
  <c r="L126" i="15"/>
  <c r="L131" i="15"/>
  <c r="K20" i="26"/>
  <c r="U155" i="15"/>
  <c r="L161" i="15"/>
  <c r="AQ154" i="25"/>
  <c r="D45" i="26"/>
  <c r="Y98" i="25"/>
  <c r="D59" i="26"/>
  <c r="D36" i="26"/>
  <c r="Y160" i="25"/>
  <c r="C230" i="30"/>
  <c r="I41" i="26"/>
  <c r="F115" i="30"/>
  <c r="G115" i="30"/>
  <c r="H115" i="30"/>
  <c r="I115" i="30"/>
  <c r="J115" i="30"/>
  <c r="K115" i="30"/>
  <c r="L115" i="30"/>
  <c r="M115" i="30"/>
  <c r="B86" i="30"/>
  <c r="C86" i="30"/>
  <c r="D86" i="30"/>
  <c r="E86" i="30"/>
  <c r="F86" i="30"/>
  <c r="G86" i="30"/>
  <c r="H86" i="30"/>
  <c r="I86" i="30"/>
  <c r="J86" i="30"/>
  <c r="K86" i="30"/>
  <c r="L86" i="30"/>
  <c r="M86" i="30"/>
  <c r="B144" i="30"/>
  <c r="C144" i="30"/>
  <c r="C153" i="30" s="1"/>
  <c r="D144" i="30"/>
  <c r="E144" i="30"/>
  <c r="F144" i="30"/>
  <c r="G144" i="30"/>
  <c r="H144" i="30"/>
  <c r="I144" i="30"/>
  <c r="J144" i="30"/>
  <c r="K144" i="30"/>
  <c r="L144" i="30"/>
  <c r="M144" i="30"/>
  <c r="B115" i="30"/>
  <c r="D115" i="30"/>
  <c r="G27" i="30"/>
  <c r="H27" i="30"/>
  <c r="I27" i="30"/>
  <c r="J27" i="30"/>
  <c r="L27" i="30"/>
  <c r="F114" i="30"/>
  <c r="F124" i="30" s="1"/>
  <c r="G114" i="30"/>
  <c r="H114" i="30"/>
  <c r="I114" i="30"/>
  <c r="J114" i="30"/>
  <c r="K114" i="30"/>
  <c r="L114" i="30"/>
  <c r="M114" i="30"/>
  <c r="B85" i="30"/>
  <c r="C85" i="30"/>
  <c r="D85" i="30"/>
  <c r="E85" i="30"/>
  <c r="F85" i="30"/>
  <c r="G85" i="30"/>
  <c r="H85" i="30"/>
  <c r="I85" i="30"/>
  <c r="J85" i="30"/>
  <c r="K85" i="30"/>
  <c r="L85" i="30"/>
  <c r="M85" i="30"/>
  <c r="K27" i="30"/>
  <c r="M27" i="30"/>
  <c r="B114" i="30"/>
  <c r="C114" i="30"/>
  <c r="D114" i="30"/>
  <c r="E114" i="30"/>
  <c r="B143" i="30"/>
  <c r="B150" i="30" s="1"/>
  <c r="C143" i="30"/>
  <c r="D143" i="30"/>
  <c r="E143" i="30"/>
  <c r="F143" i="30"/>
  <c r="F150" i="30" s="1"/>
  <c r="G143" i="30"/>
  <c r="H143" i="30"/>
  <c r="I143" i="30"/>
  <c r="J143" i="30"/>
  <c r="J150" i="30" s="1"/>
  <c r="K143" i="30"/>
  <c r="L143" i="30"/>
  <c r="M143" i="30"/>
  <c r="B26" i="30"/>
  <c r="C26" i="30"/>
  <c r="D26" i="30"/>
  <c r="E26" i="30"/>
  <c r="F26" i="30"/>
  <c r="G26" i="30"/>
  <c r="H26" i="30"/>
  <c r="I26" i="30"/>
  <c r="J26" i="30"/>
  <c r="D55" i="30"/>
  <c r="F55" i="30"/>
  <c r="H55" i="30"/>
  <c r="J55" i="30"/>
  <c r="L55" i="30"/>
  <c r="B55" i="30"/>
  <c r="C55" i="30"/>
  <c r="E55" i="30"/>
  <c r="G55" i="30"/>
  <c r="I55" i="30"/>
  <c r="K55" i="30"/>
  <c r="M55" i="30"/>
  <c r="B84" i="30"/>
  <c r="C84" i="30"/>
  <c r="D84" i="30"/>
  <c r="E84" i="30"/>
  <c r="F84" i="30"/>
  <c r="G84" i="30"/>
  <c r="H84" i="30"/>
  <c r="I84" i="30"/>
  <c r="J84" i="30"/>
  <c r="K84" i="30"/>
  <c r="L84" i="30"/>
  <c r="M84" i="30"/>
  <c r="B142" i="30"/>
  <c r="C142" i="30"/>
  <c r="D142" i="30"/>
  <c r="E142" i="30"/>
  <c r="F142" i="30"/>
  <c r="G142" i="30"/>
  <c r="H142" i="30"/>
  <c r="I142" i="30"/>
  <c r="J142" i="30"/>
  <c r="K142" i="30"/>
  <c r="L142" i="30"/>
  <c r="M142" i="30"/>
  <c r="K26" i="30"/>
  <c r="M26" i="30"/>
  <c r="B113" i="30"/>
  <c r="B123" i="30" s="1"/>
  <c r="C113" i="30"/>
  <c r="D113" i="30"/>
  <c r="E113" i="30"/>
  <c r="G113" i="30"/>
  <c r="K113" i="30"/>
  <c r="K122" i="30" s="1"/>
  <c r="H113" i="30"/>
  <c r="L113" i="30"/>
  <c r="I113" i="30"/>
  <c r="M113" i="30"/>
  <c r="B111" i="30"/>
  <c r="C111" i="30"/>
  <c r="D111" i="30"/>
  <c r="E111" i="30"/>
  <c r="F111" i="30"/>
  <c r="G111" i="30"/>
  <c r="H111" i="30"/>
  <c r="H124" i="30" s="1"/>
  <c r="I111" i="30"/>
  <c r="J111" i="30"/>
  <c r="K111" i="30"/>
  <c r="L111" i="30"/>
  <c r="L124" i="30" s="1"/>
  <c r="M111" i="30"/>
  <c r="M124" i="30" s="1"/>
  <c r="B82" i="30"/>
  <c r="C82" i="30"/>
  <c r="D82" i="30"/>
  <c r="E82" i="30"/>
  <c r="F82" i="30"/>
  <c r="G82" i="30"/>
  <c r="H82" i="30"/>
  <c r="I82" i="30"/>
  <c r="J82" i="30"/>
  <c r="K82" i="30"/>
  <c r="L82" i="30"/>
  <c r="M82" i="30"/>
  <c r="B140" i="30"/>
  <c r="C140" i="30"/>
  <c r="D140" i="30"/>
  <c r="D150" i="30" s="1"/>
  <c r="E140" i="30"/>
  <c r="E151" i="30" s="1"/>
  <c r="F140" i="30"/>
  <c r="G140" i="30"/>
  <c r="H140" i="30"/>
  <c r="H150" i="30" s="1"/>
  <c r="I140" i="30"/>
  <c r="I151" i="30" s="1"/>
  <c r="J140" i="30"/>
  <c r="K140" i="30"/>
  <c r="L140" i="30"/>
  <c r="L150" i="30" s="1"/>
  <c r="M140" i="30"/>
  <c r="M151" i="30" s="1"/>
  <c r="AK47" i="4"/>
  <c r="Q11" i="26" s="1"/>
  <c r="E175" i="30"/>
  <c r="E195" i="30" s="1"/>
  <c r="Y129" i="25"/>
  <c r="Y139" i="25"/>
  <c r="Y137" i="25"/>
  <c r="K43" i="26"/>
  <c r="D231" i="30"/>
  <c r="E231" i="30"/>
  <c r="E233" i="30" s="1"/>
  <c r="C250" i="30" s="1"/>
  <c r="H231" i="30"/>
  <c r="G231" i="30"/>
  <c r="G233" i="30" s="1"/>
  <c r="E250" i="30" s="1"/>
  <c r="Y75" i="25"/>
  <c r="B218" i="30" s="1"/>
  <c r="P70" i="26"/>
  <c r="T70" i="26"/>
  <c r="T55" i="26"/>
  <c r="X55" i="26"/>
  <c r="X40" i="26"/>
  <c r="P25" i="26"/>
  <c r="P11" i="26"/>
  <c r="R11" i="26"/>
  <c r="W11" i="26"/>
  <c r="Y11" i="26"/>
  <c r="Z70" i="26"/>
  <c r="R55" i="26"/>
  <c r="R40" i="26"/>
  <c r="V40" i="26"/>
  <c r="V25" i="26"/>
  <c r="F153" i="30"/>
  <c r="H121" i="30"/>
  <c r="F113" i="30"/>
  <c r="Y153" i="25"/>
  <c r="F175" i="30" s="1"/>
  <c r="F195" i="30" s="1"/>
  <c r="Y112" i="25"/>
  <c r="D175" i="30" s="1"/>
  <c r="D195" i="30" s="1"/>
  <c r="Y93" i="25"/>
  <c r="D20" i="26"/>
  <c r="Y120" i="25"/>
  <c r="J42" i="26"/>
  <c r="K42" i="26" s="1"/>
  <c r="T15" i="26"/>
  <c r="D224" i="30"/>
  <c r="F224" i="30"/>
  <c r="F226" i="30" s="1"/>
  <c r="D249" i="30" s="1"/>
  <c r="G224" i="30"/>
  <c r="G226" i="30" s="1"/>
  <c r="E249" i="30" s="1"/>
  <c r="K153" i="30"/>
  <c r="Y69" i="25"/>
  <c r="Q15" i="26" s="1"/>
  <c r="Y74" i="25"/>
  <c r="B217" i="30" s="1"/>
  <c r="B220" i="30" s="1"/>
  <c r="B248" i="30" s="1"/>
  <c r="H123" i="30"/>
  <c r="Y79" i="25"/>
  <c r="O12" i="26" s="1"/>
  <c r="J124" i="30"/>
  <c r="H122" i="30"/>
  <c r="C56" i="30"/>
  <c r="E56" i="30"/>
  <c r="G56" i="30"/>
  <c r="I56" i="30"/>
  <c r="K56" i="30"/>
  <c r="M56" i="30"/>
  <c r="B27" i="30"/>
  <c r="C27" i="30"/>
  <c r="D27" i="30"/>
  <c r="E27" i="30"/>
  <c r="F27" i="30"/>
  <c r="B56" i="30"/>
  <c r="D56" i="30"/>
  <c r="F56" i="30"/>
  <c r="H56" i="30"/>
  <c r="J56" i="30"/>
  <c r="L56" i="30"/>
  <c r="B54" i="30"/>
  <c r="D54" i="30"/>
  <c r="F54" i="30"/>
  <c r="H54" i="30"/>
  <c r="J54" i="30"/>
  <c r="L54" i="30"/>
  <c r="C54" i="30"/>
  <c r="E54" i="30"/>
  <c r="G54" i="30"/>
  <c r="I54" i="30"/>
  <c r="K54" i="30"/>
  <c r="M54" i="30"/>
  <c r="B112" i="30"/>
  <c r="C112" i="30"/>
  <c r="D112" i="30"/>
  <c r="D121" i="30" s="1"/>
  <c r="E112" i="30"/>
  <c r="B25" i="30"/>
  <c r="C25" i="30"/>
  <c r="C48" i="30"/>
  <c r="E48" i="30"/>
  <c r="G48" i="30"/>
  <c r="I48" i="30"/>
  <c r="K48" i="30"/>
  <c r="M48" i="30"/>
  <c r="B19" i="30"/>
  <c r="C19" i="30"/>
  <c r="D19" i="30"/>
  <c r="E19" i="30"/>
  <c r="F19" i="30"/>
  <c r="B48" i="30"/>
  <c r="D48" i="30"/>
  <c r="F48" i="30"/>
  <c r="H48" i="30"/>
  <c r="J48" i="30"/>
  <c r="L48" i="30"/>
  <c r="C58" i="30"/>
  <c r="E58" i="30"/>
  <c r="G58" i="30"/>
  <c r="I58" i="30"/>
  <c r="K58" i="30"/>
  <c r="M58" i="30"/>
  <c r="B116" i="30"/>
  <c r="B121" i="30" s="1"/>
  <c r="C116" i="30"/>
  <c r="D116" i="30"/>
  <c r="E116" i="30"/>
  <c r="B58" i="30"/>
  <c r="D58" i="30"/>
  <c r="F58" i="30"/>
  <c r="H58" i="30"/>
  <c r="J58" i="30"/>
  <c r="L58" i="30"/>
  <c r="B29" i="30"/>
  <c r="C29" i="30"/>
  <c r="B57" i="30"/>
  <c r="C57" i="30"/>
  <c r="D57" i="30"/>
  <c r="E57" i="30"/>
  <c r="F57" i="30"/>
  <c r="G57" i="30"/>
  <c r="H57" i="30"/>
  <c r="I57" i="30"/>
  <c r="J57" i="30"/>
  <c r="K57" i="30"/>
  <c r="L57" i="30"/>
  <c r="M57" i="30"/>
  <c r="B28" i="30"/>
  <c r="C28" i="30"/>
  <c r="D28" i="30"/>
  <c r="E28" i="30"/>
  <c r="F28" i="30"/>
  <c r="G28" i="30"/>
  <c r="H28" i="30"/>
  <c r="I28" i="30"/>
  <c r="J28" i="30"/>
  <c r="K28" i="30"/>
  <c r="L28" i="30"/>
  <c r="M28" i="30"/>
  <c r="B53" i="30"/>
  <c r="C53" i="30"/>
  <c r="D53" i="30"/>
  <c r="E53" i="30"/>
  <c r="F53" i="30"/>
  <c r="G53" i="30"/>
  <c r="H53" i="30"/>
  <c r="I53" i="30"/>
  <c r="J53" i="30"/>
  <c r="K53" i="30"/>
  <c r="L53" i="30"/>
  <c r="M53" i="30"/>
  <c r="B24" i="30"/>
  <c r="C24" i="30"/>
  <c r="D24" i="30"/>
  <c r="E24" i="30"/>
  <c r="F24" i="30"/>
  <c r="G24" i="30"/>
  <c r="H24" i="30"/>
  <c r="I24" i="30"/>
  <c r="J24" i="30"/>
  <c r="K24" i="30"/>
  <c r="K34" i="30" s="1"/>
  <c r="L24" i="30"/>
  <c r="M24" i="30"/>
  <c r="F74" i="26"/>
  <c r="D76" i="26"/>
  <c r="E71" i="26"/>
  <c r="E76" i="26" s="1"/>
  <c r="H29" i="32" s="1"/>
  <c r="F72" i="26"/>
  <c r="E72" i="26"/>
  <c r="H28" i="32" l="1"/>
  <c r="H28" i="36"/>
  <c r="H31" i="36" s="1"/>
  <c r="G28" i="32"/>
  <c r="G31" i="32" s="1"/>
  <c r="G28" i="36"/>
  <c r="G31" i="36" s="1"/>
  <c r="F28" i="32"/>
  <c r="F31" i="32" s="1"/>
  <c r="F28" i="36"/>
  <c r="F31" i="36" s="1"/>
  <c r="AA5" i="11"/>
  <c r="M24" i="10"/>
  <c r="M17" i="17"/>
  <c r="N17" i="17" s="1"/>
  <c r="O17" i="17" s="1"/>
  <c r="M35" i="30"/>
  <c r="E121" i="30"/>
  <c r="B153" i="30"/>
  <c r="J153" i="30"/>
  <c r="K152" i="30"/>
  <c r="G152" i="30"/>
  <c r="C152" i="30"/>
  <c r="K123" i="30"/>
  <c r="G123" i="30"/>
  <c r="C121" i="30"/>
  <c r="L122" i="30"/>
  <c r="E123" i="30"/>
  <c r="L151" i="30"/>
  <c r="H151" i="30"/>
  <c r="D151" i="30"/>
  <c r="J122" i="30"/>
  <c r="M150" i="30"/>
  <c r="I150" i="30"/>
  <c r="E150" i="30"/>
  <c r="M122" i="30"/>
  <c r="I122" i="30"/>
  <c r="J22" i="7"/>
  <c r="M47" i="17"/>
  <c r="N47" i="17" s="1"/>
  <c r="O47" i="17" s="1"/>
  <c r="B122" i="30"/>
  <c r="G124" i="30"/>
  <c r="G153" i="30"/>
  <c r="F123" i="30"/>
  <c r="J151" i="30"/>
  <c r="F151" i="30"/>
  <c r="B151" i="30"/>
  <c r="J123" i="30"/>
  <c r="U128" i="15"/>
  <c r="C143" i="15"/>
  <c r="D143" i="15" s="1"/>
  <c r="C175" i="15"/>
  <c r="D175" i="15" s="1"/>
  <c r="M44" i="17"/>
  <c r="N44" i="17" s="1"/>
  <c r="O44" i="17" s="1"/>
  <c r="M5" i="17"/>
  <c r="N5" i="17" s="1"/>
  <c r="O5" i="17" s="1"/>
  <c r="D259" i="30"/>
  <c r="D263" i="30" s="1"/>
  <c r="D277" i="30" s="1"/>
  <c r="D279" i="30" s="1"/>
  <c r="E9" i="32" s="1"/>
  <c r="Q44" i="26"/>
  <c r="X44" i="26"/>
  <c r="U44" i="26"/>
  <c r="P44" i="26"/>
  <c r="O44" i="26"/>
  <c r="T44" i="26"/>
  <c r="S44" i="26"/>
  <c r="Z44" i="26"/>
  <c r="W44" i="26"/>
  <c r="R44" i="26"/>
  <c r="Y44" i="26"/>
  <c r="V44" i="26"/>
  <c r="B273" i="30"/>
  <c r="B272" i="30" s="1"/>
  <c r="B280" i="30" s="1"/>
  <c r="D42" i="32" s="1"/>
  <c r="B278" i="30"/>
  <c r="S15" i="26"/>
  <c r="E273" i="30"/>
  <c r="E272" i="30" s="1"/>
  <c r="E280" i="30" s="1"/>
  <c r="G42" i="32" s="1"/>
  <c r="E278" i="30"/>
  <c r="F259" i="30"/>
  <c r="F263" i="30" s="1"/>
  <c r="F277" i="30" s="1"/>
  <c r="Y74" i="26"/>
  <c r="S74" i="26"/>
  <c r="P74" i="26"/>
  <c r="X74" i="26"/>
  <c r="W74" i="26"/>
  <c r="R74" i="26"/>
  <c r="O74" i="26"/>
  <c r="V74" i="26"/>
  <c r="Q74" i="26"/>
  <c r="Z74" i="26"/>
  <c r="U74" i="26"/>
  <c r="T74" i="26"/>
  <c r="F56" i="3"/>
  <c r="C66" i="3" s="1"/>
  <c r="E66" i="3" s="1"/>
  <c r="Q66" i="3" s="1"/>
  <c r="S66" i="3" s="1"/>
  <c r="D65" i="30"/>
  <c r="B124" i="30"/>
  <c r="B63" i="30"/>
  <c r="K124" i="30"/>
  <c r="L121" i="30"/>
  <c r="O15" i="26"/>
  <c r="C116" i="15"/>
  <c r="D116" i="15" s="1"/>
  <c r="F273" i="30"/>
  <c r="F272" i="30" s="1"/>
  <c r="F280" i="30" s="1"/>
  <c r="H42" i="32" s="1"/>
  <c r="F278" i="30"/>
  <c r="U191" i="30"/>
  <c r="Y191" i="30" s="1"/>
  <c r="X191" i="30"/>
  <c r="X196" i="30" s="1"/>
  <c r="Y189" i="30"/>
  <c r="Y196" i="30" s="1"/>
  <c r="V73" i="26" s="1"/>
  <c r="U196" i="30"/>
  <c r="D273" i="30"/>
  <c r="D272" i="30" s="1"/>
  <c r="D280" i="30" s="1"/>
  <c r="F42" i="32" s="1"/>
  <c r="D278" i="30"/>
  <c r="T180" i="30"/>
  <c r="S184" i="30"/>
  <c r="M17" i="1"/>
  <c r="M21" i="1"/>
  <c r="M18" i="1"/>
  <c r="M24" i="1"/>
  <c r="M19" i="1"/>
  <c r="M25" i="1"/>
  <c r="R26" i="26"/>
  <c r="Y26" i="26"/>
  <c r="O26" i="26"/>
  <c r="P26" i="26"/>
  <c r="Z26" i="26"/>
  <c r="V26" i="26"/>
  <c r="T26" i="26"/>
  <c r="Q26" i="26"/>
  <c r="S26" i="26"/>
  <c r="X26" i="26"/>
  <c r="U26" i="26"/>
  <c r="W26" i="26"/>
  <c r="C168" i="30"/>
  <c r="C205" i="30" s="1"/>
  <c r="M33" i="17"/>
  <c r="N33" i="17" s="1"/>
  <c r="O33" i="17" s="1"/>
  <c r="M34" i="17"/>
  <c r="N34" i="17" s="1"/>
  <c r="O34" i="17" s="1"/>
  <c r="R80" i="17"/>
  <c r="M56" i="17"/>
  <c r="N56" i="17" s="1"/>
  <c r="O56" i="17" s="1"/>
  <c r="M57" i="17"/>
  <c r="N57" i="17" s="1"/>
  <c r="O57" i="17" s="1"/>
  <c r="M43" i="17"/>
  <c r="N43" i="17" s="1"/>
  <c r="O43" i="17" s="1"/>
  <c r="R5" i="17"/>
  <c r="M9" i="17"/>
  <c r="N9" i="17" s="1"/>
  <c r="O9" i="17" s="1"/>
  <c r="M18" i="17"/>
  <c r="N18" i="17" s="1"/>
  <c r="O18" i="17" s="1"/>
  <c r="M46" i="17"/>
  <c r="N46" i="17" s="1"/>
  <c r="O46" i="17" s="1"/>
  <c r="M31" i="17"/>
  <c r="N31" i="17" s="1"/>
  <c r="O31" i="17" s="1"/>
  <c r="M32" i="17"/>
  <c r="N32" i="17" s="1"/>
  <c r="O32" i="17" s="1"/>
  <c r="M22" i="17"/>
  <c r="N22" i="17" s="1"/>
  <c r="O22" i="17" s="1"/>
  <c r="M6" i="17"/>
  <c r="N6" i="17" s="1"/>
  <c r="O6" i="17" s="1"/>
  <c r="M20" i="17"/>
  <c r="N20" i="17" s="1"/>
  <c r="O20" i="17" s="1"/>
  <c r="M19" i="17"/>
  <c r="N19" i="17" s="1"/>
  <c r="O19" i="17" s="1"/>
  <c r="M23" i="17"/>
  <c r="N23" i="17" s="1"/>
  <c r="O23" i="17" s="1"/>
  <c r="M45" i="17"/>
  <c r="N45" i="17" s="1"/>
  <c r="O45" i="17" s="1"/>
  <c r="M35" i="17"/>
  <c r="N35" i="17" s="1"/>
  <c r="O35" i="17" s="1"/>
  <c r="M7" i="17"/>
  <c r="N7" i="17" s="1"/>
  <c r="O7" i="17" s="1"/>
  <c r="C176" i="15"/>
  <c r="D176" i="15" s="1"/>
  <c r="M163" i="15"/>
  <c r="U163" i="15" s="1"/>
  <c r="V163" i="15" s="1"/>
  <c r="M159" i="15"/>
  <c r="U159" i="15" s="1"/>
  <c r="V159" i="15" s="1"/>
  <c r="C174" i="15"/>
  <c r="D174" i="15" s="1"/>
  <c r="U153" i="15"/>
  <c r="V153" i="15" s="1"/>
  <c r="C172" i="15"/>
  <c r="D172" i="15" s="1"/>
  <c r="M152" i="15"/>
  <c r="U152" i="15" s="1"/>
  <c r="V152" i="15" s="1"/>
  <c r="C147" i="15"/>
  <c r="D147" i="15" s="1"/>
  <c r="U138" i="15"/>
  <c r="V138" i="15" s="1"/>
  <c r="M136" i="15"/>
  <c r="U136" i="15" s="1"/>
  <c r="V136" i="15" s="1"/>
  <c r="U135" i="15"/>
  <c r="C145" i="15"/>
  <c r="D145" i="15" s="1"/>
  <c r="M127" i="15"/>
  <c r="C144" i="15"/>
  <c r="D144" i="15" s="1"/>
  <c r="U127" i="15"/>
  <c r="M98" i="15"/>
  <c r="U98" i="15" s="1"/>
  <c r="C115" i="15"/>
  <c r="D115" i="15" s="1"/>
  <c r="C114" i="15"/>
  <c r="D114" i="15" s="1"/>
  <c r="C89" i="15"/>
  <c r="D89" i="15" s="1"/>
  <c r="M76" i="15"/>
  <c r="C88" i="15"/>
  <c r="D88" i="15" s="1"/>
  <c r="C87" i="15"/>
  <c r="D87" i="15" s="1"/>
  <c r="M72" i="15"/>
  <c r="U72" i="15" s="1"/>
  <c r="V72" i="15" s="1"/>
  <c r="M69" i="15"/>
  <c r="U69" i="15" s="1"/>
  <c r="C86" i="15"/>
  <c r="D86" i="15" s="1"/>
  <c r="M65" i="15"/>
  <c r="U65" i="15" s="1"/>
  <c r="V65" i="15" s="1"/>
  <c r="C85" i="15"/>
  <c r="D85" i="15" s="1"/>
  <c r="U104" i="15"/>
  <c r="V104" i="15" s="1"/>
  <c r="M124" i="15"/>
  <c r="U124" i="15" s="1"/>
  <c r="V124" i="15" s="1"/>
  <c r="U156" i="15"/>
  <c r="V156" i="15" s="1"/>
  <c r="U70" i="15"/>
  <c r="U97" i="15"/>
  <c r="V97" i="15" s="1"/>
  <c r="U76" i="15"/>
  <c r="V76" i="15" s="1"/>
  <c r="U79" i="15"/>
  <c r="V79" i="15" s="1"/>
  <c r="H233" i="30"/>
  <c r="F250" i="30" s="1"/>
  <c r="F8" i="30"/>
  <c r="E28" i="32"/>
  <c r="E31" i="32" s="1"/>
  <c r="C8" i="30"/>
  <c r="E8" i="30"/>
  <c r="D8" i="30"/>
  <c r="D28" i="32"/>
  <c r="D31" i="32" s="1"/>
  <c r="B8" i="30"/>
  <c r="I30" i="7"/>
  <c r="I22" i="7" s="1"/>
  <c r="I21" i="7"/>
  <c r="J21" i="7" s="1"/>
  <c r="J20" i="7"/>
  <c r="B5" i="12" s="1"/>
  <c r="Y5" i="22" s="1"/>
  <c r="Z5" i="22" s="1"/>
  <c r="S63" i="3"/>
  <c r="K6" i="2"/>
  <c r="H45" i="2"/>
  <c r="H48" i="2"/>
  <c r="H46" i="2"/>
  <c r="H47" i="2"/>
  <c r="K5" i="2"/>
  <c r="I35" i="30"/>
  <c r="I37" i="30"/>
  <c r="I36" i="30"/>
  <c r="I34" i="30"/>
  <c r="L63" i="30"/>
  <c r="L65" i="30"/>
  <c r="L64" i="30"/>
  <c r="L66" i="30"/>
  <c r="K64" i="30"/>
  <c r="K66" i="30"/>
  <c r="K63" i="30"/>
  <c r="K65" i="30"/>
  <c r="P41" i="26"/>
  <c r="Q41" i="26"/>
  <c r="S41" i="26"/>
  <c r="X41" i="26"/>
  <c r="R41" i="26"/>
  <c r="V41" i="26"/>
  <c r="W41" i="26"/>
  <c r="U41" i="26"/>
  <c r="O41" i="26"/>
  <c r="T41" i="26"/>
  <c r="Y41" i="26"/>
  <c r="Z41" i="26"/>
  <c r="G92" i="30"/>
  <c r="G94" i="30"/>
  <c r="G93" i="30"/>
  <c r="G95" i="30"/>
  <c r="G122" i="30"/>
  <c r="M162" i="15"/>
  <c r="U162" i="15" s="1"/>
  <c r="V162" i="15" s="1"/>
  <c r="E124" i="30"/>
  <c r="L35" i="30"/>
  <c r="L37" i="30"/>
  <c r="L36" i="30"/>
  <c r="L34" i="30"/>
  <c r="B64" i="30"/>
  <c r="B66" i="30"/>
  <c r="J35" i="30"/>
  <c r="J37" i="30"/>
  <c r="J36" i="30"/>
  <c r="J34" i="30"/>
  <c r="F63" i="30"/>
  <c r="F65" i="30"/>
  <c r="F64" i="30"/>
  <c r="F66" i="30"/>
  <c r="E34" i="30"/>
  <c r="E36" i="30"/>
  <c r="E37" i="30"/>
  <c r="E35" i="30"/>
  <c r="M64" i="30"/>
  <c r="M66" i="30"/>
  <c r="M63" i="30"/>
  <c r="M65" i="30"/>
  <c r="E64" i="30"/>
  <c r="E66" i="30"/>
  <c r="E63" i="30"/>
  <c r="E65" i="30"/>
  <c r="D124" i="30"/>
  <c r="C122" i="30"/>
  <c r="D123" i="30"/>
  <c r="I121" i="30"/>
  <c r="M121" i="30"/>
  <c r="F121" i="30"/>
  <c r="J121" i="30"/>
  <c r="C123" i="30"/>
  <c r="G121" i="30"/>
  <c r="K121" i="30"/>
  <c r="I124" i="30"/>
  <c r="C150" i="30"/>
  <c r="G150" i="30"/>
  <c r="K150" i="30"/>
  <c r="M36" i="30"/>
  <c r="B152" i="30"/>
  <c r="F152" i="30"/>
  <c r="J152" i="30"/>
  <c r="Z40" i="26"/>
  <c r="V55" i="26"/>
  <c r="R70" i="26"/>
  <c r="S11" i="26"/>
  <c r="T25" i="26"/>
  <c r="P40" i="26"/>
  <c r="X70" i="26"/>
  <c r="L92" i="30"/>
  <c r="L94" i="30"/>
  <c r="L95" i="30"/>
  <c r="L93" i="30"/>
  <c r="H92" i="30"/>
  <c r="H94" i="30"/>
  <c r="H95" i="30"/>
  <c r="H93" i="30"/>
  <c r="D92" i="30"/>
  <c r="D94" i="30"/>
  <c r="D95" i="30"/>
  <c r="D93" i="30"/>
  <c r="D153" i="30"/>
  <c r="H153" i="30"/>
  <c r="L153" i="30"/>
  <c r="J41" i="26"/>
  <c r="J44" i="26" s="1"/>
  <c r="C35" i="32" s="1"/>
  <c r="I44" i="26"/>
  <c r="U15" i="26"/>
  <c r="P71" i="26"/>
  <c r="Z71" i="26"/>
  <c r="S71" i="26"/>
  <c r="Q71" i="26"/>
  <c r="O71" i="26"/>
  <c r="T71" i="26"/>
  <c r="U71" i="26"/>
  <c r="V71" i="26"/>
  <c r="X71" i="26"/>
  <c r="Y71" i="26"/>
  <c r="R71" i="26"/>
  <c r="W71" i="26"/>
  <c r="E59" i="26"/>
  <c r="C67" i="26" s="1"/>
  <c r="B67" i="26"/>
  <c r="E45" i="26"/>
  <c r="C66" i="26" s="1"/>
  <c r="B66" i="26"/>
  <c r="D66" i="26" s="1"/>
  <c r="E152" i="30"/>
  <c r="I152" i="30"/>
  <c r="M152" i="30"/>
  <c r="M131" i="15"/>
  <c r="U131" i="15" s="1"/>
  <c r="V131" i="15" s="1"/>
  <c r="M165" i="15"/>
  <c r="U165" i="15" s="1"/>
  <c r="V165" i="15" s="1"/>
  <c r="M101" i="15"/>
  <c r="U101" i="15" s="1"/>
  <c r="V101" i="15" s="1"/>
  <c r="M154" i="15"/>
  <c r="U154" i="15" s="1"/>
  <c r="M81" i="15"/>
  <c r="U81" i="15" s="1"/>
  <c r="V81" i="15" s="1"/>
  <c r="Y162" i="25"/>
  <c r="Q73" i="26"/>
  <c r="D64" i="30"/>
  <c r="D66" i="30"/>
  <c r="M34" i="30"/>
  <c r="E168" i="30"/>
  <c r="P56" i="26"/>
  <c r="Q56" i="26"/>
  <c r="S56" i="26"/>
  <c r="U56" i="26"/>
  <c r="O56" i="26"/>
  <c r="T56" i="26"/>
  <c r="Y56" i="26"/>
  <c r="V56" i="26"/>
  <c r="X56" i="26"/>
  <c r="R56" i="26"/>
  <c r="Z56" i="26"/>
  <c r="W56" i="26"/>
  <c r="D230" i="30"/>
  <c r="C233" i="30"/>
  <c r="C262" i="30"/>
  <c r="C263" i="30" s="1"/>
  <c r="C277" i="30" s="1"/>
  <c r="C279" i="30" s="1"/>
  <c r="T29" i="26"/>
  <c r="P29" i="26"/>
  <c r="X29" i="26"/>
  <c r="V29" i="26"/>
  <c r="R29" i="26"/>
  <c r="U29" i="26"/>
  <c r="O29" i="26"/>
  <c r="S29" i="26"/>
  <c r="Z29" i="26"/>
  <c r="W29" i="26"/>
  <c r="Q29" i="26"/>
  <c r="Y29" i="26"/>
  <c r="M95" i="15"/>
  <c r="U95" i="15" s="1"/>
  <c r="V95" i="15" s="1"/>
  <c r="E218" i="30"/>
  <c r="E220" i="30" s="1"/>
  <c r="E248" i="30" s="1"/>
  <c r="Q58" i="26"/>
  <c r="X58" i="26"/>
  <c r="S73" i="26"/>
  <c r="M8" i="1"/>
  <c r="M13" i="1"/>
  <c r="M9" i="1"/>
  <c r="M5" i="1"/>
  <c r="M10" i="1"/>
  <c r="M12" i="1"/>
  <c r="S65" i="3"/>
  <c r="AE41" i="29"/>
  <c r="C64" i="30"/>
  <c r="C66" i="30"/>
  <c r="C63" i="30"/>
  <c r="C65" i="30"/>
  <c r="D122" i="30"/>
  <c r="T12" i="26"/>
  <c r="V12" i="26"/>
  <c r="X12" i="26"/>
  <c r="Z12" i="26"/>
  <c r="B168" i="30"/>
  <c r="Q12" i="26"/>
  <c r="P12" i="26"/>
  <c r="R12" i="26"/>
  <c r="S12" i="26"/>
  <c r="U12" i="26"/>
  <c r="W12" i="26"/>
  <c r="Y12" i="26"/>
  <c r="K92" i="30"/>
  <c r="K94" i="30"/>
  <c r="K93" i="30"/>
  <c r="K95" i="30"/>
  <c r="M126" i="15"/>
  <c r="U126" i="15" s="1"/>
  <c r="V126" i="15" s="1"/>
  <c r="M105" i="15"/>
  <c r="U105" i="15" s="1"/>
  <c r="V105" i="15" s="1"/>
  <c r="J63" i="30"/>
  <c r="J65" i="30"/>
  <c r="J64" i="30"/>
  <c r="J66" i="30"/>
  <c r="I64" i="30"/>
  <c r="I66" i="30"/>
  <c r="I63" i="30"/>
  <c r="I65" i="30"/>
  <c r="D63" i="30"/>
  <c r="E122" i="30"/>
  <c r="L123" i="30"/>
  <c r="I123" i="30"/>
  <c r="M123" i="30"/>
  <c r="B259" i="30"/>
  <c r="B263" i="30" s="1"/>
  <c r="B277" i="30" s="1"/>
  <c r="B279" i="30" s="1"/>
  <c r="Z15" i="26"/>
  <c r="V15" i="26"/>
  <c r="X15" i="26"/>
  <c r="Y82" i="25"/>
  <c r="C151" i="30"/>
  <c r="G151" i="30"/>
  <c r="K151" i="30"/>
  <c r="E20" i="26"/>
  <c r="C64" i="26" s="1"/>
  <c r="B64" i="26"/>
  <c r="Z11" i="26"/>
  <c r="Q70" i="26"/>
  <c r="Y70" i="26"/>
  <c r="U55" i="26"/>
  <c r="Q40" i="26"/>
  <c r="Y40" i="26"/>
  <c r="U25" i="26"/>
  <c r="O25" i="26"/>
  <c r="X11" i="26"/>
  <c r="S70" i="26"/>
  <c r="O70" i="26"/>
  <c r="W55" i="26"/>
  <c r="S40" i="26"/>
  <c r="O40" i="26"/>
  <c r="W25" i="26"/>
  <c r="T11" i="26"/>
  <c r="W70" i="26"/>
  <c r="S55" i="26"/>
  <c r="O55" i="26"/>
  <c r="W40" i="26"/>
  <c r="S25" i="26"/>
  <c r="Z25" i="26"/>
  <c r="U70" i="26"/>
  <c r="Q25" i="26"/>
  <c r="Y55" i="26"/>
  <c r="Q55" i="26"/>
  <c r="V11" i="26"/>
  <c r="U40" i="26"/>
  <c r="Y25" i="26"/>
  <c r="J92" i="30"/>
  <c r="J94" i="30"/>
  <c r="J95" i="30"/>
  <c r="J93" i="30"/>
  <c r="F92" i="30"/>
  <c r="F94" i="30"/>
  <c r="F95" i="30"/>
  <c r="F93" i="30"/>
  <c r="B92" i="30"/>
  <c r="B94" i="30"/>
  <c r="B95" i="30"/>
  <c r="B93" i="30"/>
  <c r="D152" i="30"/>
  <c r="H152" i="30"/>
  <c r="L152" i="30"/>
  <c r="Y15" i="26"/>
  <c r="R15" i="26"/>
  <c r="M161" i="15"/>
  <c r="U161" i="15" s="1"/>
  <c r="E153" i="30"/>
  <c r="I153" i="30"/>
  <c r="M153" i="30"/>
  <c r="M123" i="15"/>
  <c r="U123" i="15" s="1"/>
  <c r="V123" i="15" s="1"/>
  <c r="M157" i="15"/>
  <c r="U157" i="15" s="1"/>
  <c r="M103" i="15"/>
  <c r="U103" i="15" s="1"/>
  <c r="T58" i="26"/>
  <c r="D215" i="30"/>
  <c r="D220" i="30" s="1"/>
  <c r="D248" i="30" s="1"/>
  <c r="Y122" i="25"/>
  <c r="R43" i="26"/>
  <c r="T43" i="26"/>
  <c r="Q28" i="26"/>
  <c r="R28" i="26"/>
  <c r="C215" i="30"/>
  <c r="C220" i="30" s="1"/>
  <c r="C248" i="30" s="1"/>
  <c r="Y102" i="25"/>
  <c r="O28" i="26"/>
  <c r="AF24" i="17"/>
  <c r="AO5" i="17" s="1"/>
  <c r="AA3" i="11"/>
  <c r="AA6" i="11"/>
  <c r="AA7" i="11"/>
  <c r="F220" i="30"/>
  <c r="F248" i="30" s="1"/>
  <c r="M7" i="1"/>
  <c r="AN10" i="11"/>
  <c r="H4" i="10"/>
  <c r="H5" i="10"/>
  <c r="F54" i="3"/>
  <c r="C64" i="3" s="1"/>
  <c r="E64" i="3" s="1"/>
  <c r="Q64" i="3" s="1"/>
  <c r="S64" i="3" s="1"/>
  <c r="H6" i="10"/>
  <c r="D34" i="30"/>
  <c r="D36" i="30"/>
  <c r="D37" i="30"/>
  <c r="D35" i="30"/>
  <c r="C92" i="30"/>
  <c r="C94" i="30"/>
  <c r="C93" i="30"/>
  <c r="C95" i="30"/>
  <c r="H35" i="30"/>
  <c r="H37" i="30"/>
  <c r="H36" i="30"/>
  <c r="H34" i="30"/>
  <c r="C34" i="30"/>
  <c r="C36" i="30"/>
  <c r="C35" i="30"/>
  <c r="C37" i="30"/>
  <c r="F71" i="26"/>
  <c r="F76" i="26" s="1"/>
  <c r="H53" i="32" s="1"/>
  <c r="D238" i="30"/>
  <c r="D242" i="30" s="1"/>
  <c r="C238" i="30"/>
  <c r="C242" i="30" s="1"/>
  <c r="K37" i="30"/>
  <c r="K35" i="30"/>
  <c r="G35" i="30"/>
  <c r="G37" i="30"/>
  <c r="G34" i="30"/>
  <c r="G36" i="30"/>
  <c r="B65" i="30"/>
  <c r="H63" i="30"/>
  <c r="H65" i="30"/>
  <c r="H64" i="30"/>
  <c r="H66" i="30"/>
  <c r="F34" i="30"/>
  <c r="F36" i="30"/>
  <c r="F37" i="30"/>
  <c r="F35" i="30"/>
  <c r="B34" i="30"/>
  <c r="B36" i="30"/>
  <c r="B35" i="30"/>
  <c r="B37" i="30"/>
  <c r="G64" i="30"/>
  <c r="G66" i="30"/>
  <c r="G63" i="30"/>
  <c r="G65" i="30"/>
  <c r="C124" i="30"/>
  <c r="K36" i="30"/>
  <c r="F122" i="30"/>
  <c r="M37" i="30"/>
  <c r="D226" i="30"/>
  <c r="B249" i="30" s="1"/>
  <c r="C175" i="30"/>
  <c r="C195" i="30" s="1"/>
  <c r="R25" i="26"/>
  <c r="Z55" i="26"/>
  <c r="V70" i="26"/>
  <c r="U11" i="26"/>
  <c r="X25" i="26"/>
  <c r="T40" i="26"/>
  <c r="P55" i="26"/>
  <c r="O11" i="26"/>
  <c r="E259" i="30"/>
  <c r="E263" i="30" s="1"/>
  <c r="E277" i="30" s="1"/>
  <c r="E279" i="30" s="1"/>
  <c r="X59" i="26"/>
  <c r="Y59" i="26"/>
  <c r="P59" i="26"/>
  <c r="O59" i="26"/>
  <c r="V59" i="26"/>
  <c r="Q59" i="26"/>
  <c r="Z59" i="26"/>
  <c r="U59" i="26"/>
  <c r="T59" i="26"/>
  <c r="S59" i="26"/>
  <c r="Y142" i="25"/>
  <c r="W59" i="26"/>
  <c r="R59" i="26"/>
  <c r="E7" i="31"/>
  <c r="M92" i="30"/>
  <c r="M94" i="30"/>
  <c r="M95" i="30"/>
  <c r="M93" i="30"/>
  <c r="I92" i="30"/>
  <c r="I94" i="30"/>
  <c r="I95" i="30"/>
  <c r="I93" i="30"/>
  <c r="E92" i="30"/>
  <c r="E94" i="30"/>
  <c r="E95" i="30"/>
  <c r="E93" i="30"/>
  <c r="T14" i="26"/>
  <c r="W15" i="26"/>
  <c r="P15" i="26"/>
  <c r="D168" i="30"/>
  <c r="E36" i="26"/>
  <c r="C65" i="26" s="1"/>
  <c r="B65" i="26"/>
  <c r="F168" i="30"/>
  <c r="M167" i="15"/>
  <c r="U167" i="15" s="1"/>
  <c r="V167" i="15" s="1"/>
  <c r="M125" i="15"/>
  <c r="U125" i="15" s="1"/>
  <c r="M78" i="15"/>
  <c r="U78" i="15" s="1"/>
  <c r="V78" i="15" s="1"/>
  <c r="P14" i="26"/>
  <c r="P58" i="26"/>
  <c r="AL23" i="17"/>
  <c r="O73" i="26"/>
  <c r="U73" i="26"/>
  <c r="M11" i="1"/>
  <c r="AR10" i="11"/>
  <c r="M6" i="1"/>
  <c r="G5" i="32" l="1"/>
  <c r="G5" i="36"/>
  <c r="F5" i="32"/>
  <c r="F5" i="36"/>
  <c r="E5" i="32"/>
  <c r="E5" i="36"/>
  <c r="D5" i="32"/>
  <c r="D5" i="36"/>
  <c r="C5" i="32"/>
  <c r="C5" i="36"/>
  <c r="L11" i="32"/>
  <c r="D281" i="30"/>
  <c r="B13" i="30"/>
  <c r="B238" i="30"/>
  <c r="B242" i="30" s="1"/>
  <c r="F238" i="30"/>
  <c r="F242" i="30" s="1"/>
  <c r="R73" i="26"/>
  <c r="U28" i="26"/>
  <c r="V28" i="26"/>
  <c r="Y28" i="26"/>
  <c r="P28" i="26"/>
  <c r="W43" i="26"/>
  <c r="Y43" i="26"/>
  <c r="V43" i="26"/>
  <c r="U58" i="26"/>
  <c r="U14" i="26"/>
  <c r="T73" i="26"/>
  <c r="W58" i="26"/>
  <c r="F45" i="26"/>
  <c r="P73" i="26"/>
  <c r="U180" i="30"/>
  <c r="T184" i="30"/>
  <c r="X180" i="30"/>
  <c r="X184" i="30" s="1"/>
  <c r="Z73" i="26"/>
  <c r="R58" i="26"/>
  <c r="S14" i="26"/>
  <c r="E238" i="30"/>
  <c r="E242" i="30" s="1"/>
  <c r="H7" i="10"/>
  <c r="W73" i="26"/>
  <c r="W28" i="26"/>
  <c r="X28" i="26"/>
  <c r="T28" i="26"/>
  <c r="O43" i="26"/>
  <c r="Q43" i="26"/>
  <c r="X43" i="26"/>
  <c r="Z43" i="26"/>
  <c r="R14" i="26"/>
  <c r="Q14" i="26"/>
  <c r="V14" i="26"/>
  <c r="X14" i="26"/>
  <c r="X73" i="26"/>
  <c r="Y58" i="26"/>
  <c r="Z58" i="26"/>
  <c r="O14" i="26"/>
  <c r="Y73" i="26"/>
  <c r="G28" i="7"/>
  <c r="O58" i="26"/>
  <c r="Z28" i="26"/>
  <c r="C255" i="30"/>
  <c r="S28" i="26"/>
  <c r="U43" i="26"/>
  <c r="S43" i="26"/>
  <c r="P43" i="26"/>
  <c r="V58" i="26"/>
  <c r="S58" i="26"/>
  <c r="W14" i="26"/>
  <c r="F279" i="30"/>
  <c r="D4" i="31"/>
  <c r="M26" i="1"/>
  <c r="O48" i="17"/>
  <c r="O58" i="17"/>
  <c r="O10" i="17"/>
  <c r="O24" i="17"/>
  <c r="O36" i="17"/>
  <c r="Z14" i="26"/>
  <c r="F28" i="7"/>
  <c r="I31" i="7"/>
  <c r="I23" i="7" s="1"/>
  <c r="J23" i="7" s="1"/>
  <c r="G30" i="7"/>
  <c r="F29" i="7"/>
  <c r="D5" i="12"/>
  <c r="E5" i="12" s="1"/>
  <c r="F5" i="12" s="1"/>
  <c r="G5" i="12" s="1"/>
  <c r="J5" i="12" s="1"/>
  <c r="M5" i="12" s="1"/>
  <c r="B6" i="12"/>
  <c r="D6" i="12" s="1"/>
  <c r="E6" i="12" s="1"/>
  <c r="F6" i="12" s="1"/>
  <c r="G6" i="12" s="1"/>
  <c r="J6" i="12" s="1"/>
  <c r="G29" i="7"/>
  <c r="D126" i="30"/>
  <c r="D127" i="30" s="1"/>
  <c r="I155" i="30"/>
  <c r="I156" i="30" s="1"/>
  <c r="B155" i="30"/>
  <c r="B156" i="30" s="1"/>
  <c r="L126" i="30"/>
  <c r="L127" i="30" s="1"/>
  <c r="K39" i="30"/>
  <c r="K40" i="30" s="1"/>
  <c r="D155" i="30"/>
  <c r="D156" i="30" s="1"/>
  <c r="C126" i="30"/>
  <c r="C127" i="30" s="1"/>
  <c r="B68" i="30"/>
  <c r="B69" i="30" s="1"/>
  <c r="E155" i="30"/>
  <c r="E156" i="30" s="1"/>
  <c r="L155" i="30"/>
  <c r="L156" i="30" s="1"/>
  <c r="H155" i="30"/>
  <c r="H156" i="30" s="1"/>
  <c r="E126" i="30"/>
  <c r="E127" i="30" s="1"/>
  <c r="M155" i="30"/>
  <c r="M156" i="30" s="1"/>
  <c r="F155" i="30"/>
  <c r="F156" i="30" s="1"/>
  <c r="G39" i="30"/>
  <c r="G40" i="30" s="1"/>
  <c r="B281" i="30"/>
  <c r="C7" i="31"/>
  <c r="C9" i="32"/>
  <c r="M68" i="30"/>
  <c r="M69" i="30" s="1"/>
  <c r="F205" i="30"/>
  <c r="G4" i="31"/>
  <c r="D205" i="30"/>
  <c r="E4" i="31"/>
  <c r="B244" i="30"/>
  <c r="B243" i="30" s="1"/>
  <c r="B253" i="30" s="1"/>
  <c r="D41" i="32" s="1"/>
  <c r="B251" i="30"/>
  <c r="F244" i="30"/>
  <c r="F243" i="30" s="1"/>
  <c r="F253" i="30" s="1"/>
  <c r="H41" i="32" s="1"/>
  <c r="F251" i="30"/>
  <c r="F252" i="30" s="1"/>
  <c r="AA8" i="11"/>
  <c r="K13" i="32"/>
  <c r="D233" i="30"/>
  <c r="B250" i="30" s="1"/>
  <c r="Y14" i="26"/>
  <c r="K126" i="30"/>
  <c r="K127" i="30" s="1"/>
  <c r="C68" i="26"/>
  <c r="C34" i="32" s="1"/>
  <c r="M14" i="1"/>
  <c r="J126" i="30"/>
  <c r="J127" i="30" s="1"/>
  <c r="E68" i="30"/>
  <c r="E69" i="30" s="1"/>
  <c r="F36" i="26"/>
  <c r="E244" i="30"/>
  <c r="E243" i="30" s="1"/>
  <c r="E253" i="30" s="1"/>
  <c r="G41" i="32" s="1"/>
  <c r="E251" i="30"/>
  <c r="E252" i="30" s="1"/>
  <c r="B126" i="30"/>
  <c r="B127" i="30" s="1"/>
  <c r="F20" i="26"/>
  <c r="B205" i="30"/>
  <c r="C4" i="31"/>
  <c r="AE42" i="29"/>
  <c r="J155" i="30"/>
  <c r="J156" i="30" s="1"/>
  <c r="F59" i="26"/>
  <c r="H126" i="30"/>
  <c r="H127" i="30" s="1"/>
  <c r="G126" i="30"/>
  <c r="G127" i="30" s="1"/>
  <c r="L39" i="30"/>
  <c r="L40" i="30" s="1"/>
  <c r="K68" i="30"/>
  <c r="K69" i="30" s="1"/>
  <c r="D244" i="30"/>
  <c r="D243" i="30" s="1"/>
  <c r="D253" i="30" s="1"/>
  <c r="F41" i="32" s="1"/>
  <c r="D251" i="30"/>
  <c r="D252" i="30" s="1"/>
  <c r="E281" i="30"/>
  <c r="F9" i="32"/>
  <c r="F7" i="31"/>
  <c r="D65" i="26"/>
  <c r="C244" i="30"/>
  <c r="C243" i="30" s="1"/>
  <c r="C253" i="30" s="1"/>
  <c r="E41" i="32" s="1"/>
  <c r="C251" i="30"/>
  <c r="C252" i="30" s="1"/>
  <c r="D64" i="26"/>
  <c r="B68" i="26"/>
  <c r="D7" i="31"/>
  <c r="C281" i="30"/>
  <c r="D9" i="32"/>
  <c r="E205" i="30"/>
  <c r="F4" i="31"/>
  <c r="AA5" i="22"/>
  <c r="AB5" i="22" s="1"/>
  <c r="AC5" i="22" s="1"/>
  <c r="D67" i="26"/>
  <c r="K41" i="26"/>
  <c r="K44" i="26" s="1"/>
  <c r="AD8" i="26" s="1"/>
  <c r="L13" i="32" l="1"/>
  <c r="M13" i="32" s="1"/>
  <c r="N13" i="32" s="1"/>
  <c r="O13" i="32" s="1"/>
  <c r="C11" i="32"/>
  <c r="M11" i="32"/>
  <c r="D255" i="30"/>
  <c r="E255" i="30"/>
  <c r="F255" i="30"/>
  <c r="B252" i="30"/>
  <c r="B255" i="30"/>
  <c r="F281" i="30"/>
  <c r="G7" i="31"/>
  <c r="G9" i="32"/>
  <c r="Y180" i="30"/>
  <c r="Y184" i="30" s="1"/>
  <c r="U184" i="30"/>
  <c r="AO4" i="17"/>
  <c r="L5" i="12"/>
  <c r="Y6" i="22"/>
  <c r="B7" i="12"/>
  <c r="D7" i="12" s="1"/>
  <c r="E7" i="12" s="1"/>
  <c r="F7" i="12" s="1"/>
  <c r="G7" i="12" s="1"/>
  <c r="J7" i="12" s="1"/>
  <c r="K7" i="12" s="1"/>
  <c r="I32" i="7"/>
  <c r="I24" i="7" s="1"/>
  <c r="J24" i="7" s="1"/>
  <c r="B8" i="12"/>
  <c r="D8" i="12" s="1"/>
  <c r="E8" i="12" s="1"/>
  <c r="F8" i="12" s="1"/>
  <c r="G8" i="12" s="1"/>
  <c r="J8" i="12" s="1"/>
  <c r="K5" i="12"/>
  <c r="F30" i="7"/>
  <c r="J12" i="12"/>
  <c r="N5" i="12"/>
  <c r="C254" i="30"/>
  <c r="D6" i="31"/>
  <c r="D8" i="32"/>
  <c r="E254" i="30"/>
  <c r="F8" i="32"/>
  <c r="F6" i="31"/>
  <c r="C8" i="32"/>
  <c r="C6" i="31"/>
  <c r="B254" i="30"/>
  <c r="C155" i="30"/>
  <c r="C156" i="30" s="1"/>
  <c r="E8" i="32"/>
  <c r="E6" i="31"/>
  <c r="D254" i="30"/>
  <c r="J39" i="30"/>
  <c r="J40" i="30" s="1"/>
  <c r="L12" i="32"/>
  <c r="J12" i="32"/>
  <c r="M12" i="32"/>
  <c r="N12" i="32"/>
  <c r="O12" i="32"/>
  <c r="K12" i="32"/>
  <c r="C2" i="29"/>
  <c r="M39" i="30"/>
  <c r="M40" i="30" s="1"/>
  <c r="F68" i="30"/>
  <c r="F69" i="30" s="1"/>
  <c r="D160" i="30"/>
  <c r="B97" i="30"/>
  <c r="B98" i="30" s="1"/>
  <c r="G8" i="32"/>
  <c r="G6" i="31"/>
  <c r="F254" i="30"/>
  <c r="C39" i="30"/>
  <c r="C40" i="30" s="1"/>
  <c r="G97" i="30"/>
  <c r="G98" i="30" s="1"/>
  <c r="C68" i="30"/>
  <c r="C69" i="30" s="1"/>
  <c r="B160" i="30"/>
  <c r="B39" i="30"/>
  <c r="B40" i="30" s="1"/>
  <c r="I97" i="30"/>
  <c r="I98" i="30" s="1"/>
  <c r="L68" i="30"/>
  <c r="L69" i="30" s="1"/>
  <c r="I126" i="30"/>
  <c r="I127" i="30" s="1"/>
  <c r="D68" i="26"/>
  <c r="AD7" i="26" s="1"/>
  <c r="E39" i="30"/>
  <c r="E40" i="30" s="1"/>
  <c r="G155" i="30"/>
  <c r="G156" i="30" s="1"/>
  <c r="J13" i="12"/>
  <c r="K6" i="12"/>
  <c r="M6" i="12"/>
  <c r="N6" i="12"/>
  <c r="L6" i="12"/>
  <c r="L97" i="30"/>
  <c r="L98" i="30" s="1"/>
  <c r="J68" i="30"/>
  <c r="J69" i="30" s="1"/>
  <c r="E97" i="30"/>
  <c r="E98" i="30" s="1"/>
  <c r="K97" i="30"/>
  <c r="K98" i="30" s="1"/>
  <c r="G68" i="30"/>
  <c r="G69" i="30" s="1"/>
  <c r="M126" i="30"/>
  <c r="M127" i="30" s="1"/>
  <c r="AE43" i="29"/>
  <c r="J97" i="30"/>
  <c r="J98" i="30" s="1"/>
  <c r="E160" i="30"/>
  <c r="K155" i="30"/>
  <c r="K156" i="30" s="1"/>
  <c r="H97" i="30"/>
  <c r="H98" i="30" s="1"/>
  <c r="D68" i="30"/>
  <c r="D69" i="30" s="1"/>
  <c r="H68" i="30"/>
  <c r="H69" i="30" s="1"/>
  <c r="I68" i="30"/>
  <c r="I69" i="30" s="1"/>
  <c r="H39" i="30"/>
  <c r="H40" i="30" s="1"/>
  <c r="F97" i="30"/>
  <c r="F98" i="30" s="1"/>
  <c r="D39" i="30"/>
  <c r="D40" i="30" s="1"/>
  <c r="C97" i="30"/>
  <c r="C98" i="30" s="1"/>
  <c r="I39" i="30"/>
  <c r="I40" i="30" s="1"/>
  <c r="F126" i="30"/>
  <c r="F127" i="30" s="1"/>
  <c r="D97" i="30"/>
  <c r="D98" i="30" s="1"/>
  <c r="F39" i="30"/>
  <c r="F40" i="30" s="1"/>
  <c r="M97" i="30"/>
  <c r="M98" i="30" s="1"/>
  <c r="C160" i="30"/>
  <c r="F160" i="30"/>
  <c r="E11" i="32" l="1"/>
  <c r="D11" i="32"/>
  <c r="H60" i="36"/>
  <c r="H60" i="32"/>
  <c r="G60" i="36"/>
  <c r="G60" i="32"/>
  <c r="F60" i="36"/>
  <c r="F60" i="32"/>
  <c r="E60" i="36"/>
  <c r="E60" i="32"/>
  <c r="D60" i="36"/>
  <c r="D60" i="32"/>
  <c r="N11" i="32"/>
  <c r="F11" i="32" s="1"/>
  <c r="Z6" i="22"/>
  <c r="AA6" i="22" s="1"/>
  <c r="AB6" i="22" s="1"/>
  <c r="AC6" i="22" s="1"/>
  <c r="Q13" i="26"/>
  <c r="Q10" i="26" s="1"/>
  <c r="Q16" i="26" s="1"/>
  <c r="D180" i="30"/>
  <c r="D183" i="30" s="1"/>
  <c r="W13" i="26"/>
  <c r="W10" i="26" s="1"/>
  <c r="W16" i="26" s="1"/>
  <c r="Q57" i="26"/>
  <c r="Q54" i="26" s="1"/>
  <c r="Q60" i="26" s="1"/>
  <c r="U57" i="26"/>
  <c r="U54" i="26" s="1"/>
  <c r="U60" i="26" s="1"/>
  <c r="Z57" i="26"/>
  <c r="Z54" i="26" s="1"/>
  <c r="Z60" i="26" s="1"/>
  <c r="T27" i="26"/>
  <c r="T24" i="26" s="1"/>
  <c r="T30" i="26" s="1"/>
  <c r="Z27" i="26"/>
  <c r="Z24" i="26" s="1"/>
  <c r="Z30" i="26" s="1"/>
  <c r="O27" i="26"/>
  <c r="O24" i="26" s="1"/>
  <c r="O30" i="26" s="1"/>
  <c r="X13" i="26"/>
  <c r="X10" i="26" s="1"/>
  <c r="X16" i="26" s="1"/>
  <c r="Q42" i="26"/>
  <c r="Q39" i="26" s="1"/>
  <c r="Q45" i="26" s="1"/>
  <c r="O42" i="26"/>
  <c r="O39" i="26" s="1"/>
  <c r="O45" i="26" s="1"/>
  <c r="S42" i="26"/>
  <c r="S39" i="26" s="1"/>
  <c r="S45" i="26" s="1"/>
  <c r="Z72" i="26"/>
  <c r="Z69" i="26" s="1"/>
  <c r="Z75" i="26" s="1"/>
  <c r="R72" i="26"/>
  <c r="R69" i="26" s="1"/>
  <c r="R75" i="26" s="1"/>
  <c r="T72" i="26"/>
  <c r="T69" i="26" s="1"/>
  <c r="T75" i="26" s="1"/>
  <c r="T13" i="26"/>
  <c r="T10" i="26" s="1"/>
  <c r="T16" i="26" s="1"/>
  <c r="V13" i="26"/>
  <c r="V10" i="26" s="1"/>
  <c r="V16" i="26" s="1"/>
  <c r="B180" i="30"/>
  <c r="B183" i="30" s="1"/>
  <c r="S13" i="26"/>
  <c r="S10" i="26" s="1"/>
  <c r="S16" i="26" s="1"/>
  <c r="S57" i="26"/>
  <c r="S54" i="26" s="1"/>
  <c r="S60" i="26" s="1"/>
  <c r="O57" i="26"/>
  <c r="O54" i="26" s="1"/>
  <c r="O60" i="26" s="1"/>
  <c r="X57" i="26"/>
  <c r="X54" i="26" s="1"/>
  <c r="X60" i="26" s="1"/>
  <c r="P27" i="26"/>
  <c r="P24" i="26" s="1"/>
  <c r="P30" i="26" s="1"/>
  <c r="Y27" i="26"/>
  <c r="Y24" i="26" s="1"/>
  <c r="Y30" i="26" s="1"/>
  <c r="V27" i="26"/>
  <c r="V24" i="26" s="1"/>
  <c r="V30" i="26" s="1"/>
  <c r="P13" i="26"/>
  <c r="P10" i="26" s="1"/>
  <c r="P16" i="26" s="1"/>
  <c r="P42" i="26"/>
  <c r="P39" i="26" s="1"/>
  <c r="P45" i="26" s="1"/>
  <c r="W42" i="26"/>
  <c r="W39" i="26" s="1"/>
  <c r="W45" i="26" s="1"/>
  <c r="X42" i="26"/>
  <c r="X39" i="26" s="1"/>
  <c r="X45" i="26" s="1"/>
  <c r="V72" i="26"/>
  <c r="V69" i="26" s="1"/>
  <c r="V75" i="26" s="1"/>
  <c r="S72" i="26"/>
  <c r="S69" i="26" s="1"/>
  <c r="S75" i="26" s="1"/>
  <c r="U72" i="26"/>
  <c r="U69" i="26" s="1"/>
  <c r="U75" i="26" s="1"/>
  <c r="Z13" i="26"/>
  <c r="Z10" i="26" s="1"/>
  <c r="Z16" i="26" s="1"/>
  <c r="W57" i="26"/>
  <c r="W54" i="26" s="1"/>
  <c r="W60" i="26" s="1"/>
  <c r="X27" i="26"/>
  <c r="X24" i="26" s="1"/>
  <c r="X30" i="26" s="1"/>
  <c r="U42" i="26"/>
  <c r="U39" i="26" s="1"/>
  <c r="U45" i="26" s="1"/>
  <c r="W72" i="26"/>
  <c r="W69" i="26" s="1"/>
  <c r="W75" i="26" s="1"/>
  <c r="C180" i="30"/>
  <c r="C183" i="30" s="1"/>
  <c r="F180" i="30"/>
  <c r="F183" i="30" s="1"/>
  <c r="U13" i="26"/>
  <c r="U10" i="26" s="1"/>
  <c r="U16" i="26" s="1"/>
  <c r="R57" i="26"/>
  <c r="R54" i="26" s="1"/>
  <c r="R60" i="26" s="1"/>
  <c r="T57" i="26"/>
  <c r="T54" i="26" s="1"/>
  <c r="T60" i="26" s="1"/>
  <c r="V57" i="26"/>
  <c r="V54" i="26" s="1"/>
  <c r="V60" i="26" s="1"/>
  <c r="Q27" i="26"/>
  <c r="Q24" i="26" s="1"/>
  <c r="Q30" i="26" s="1"/>
  <c r="R27" i="26"/>
  <c r="R24" i="26" s="1"/>
  <c r="R30" i="26" s="1"/>
  <c r="W27" i="26"/>
  <c r="W24" i="26" s="1"/>
  <c r="W30" i="26" s="1"/>
  <c r="V42" i="26"/>
  <c r="V39" i="26" s="1"/>
  <c r="V45" i="26" s="1"/>
  <c r="T42" i="26"/>
  <c r="T39" i="26" s="1"/>
  <c r="T45" i="26" s="1"/>
  <c r="Y42" i="26"/>
  <c r="Y39" i="26" s="1"/>
  <c r="Y45" i="26" s="1"/>
  <c r="X72" i="26"/>
  <c r="X69" i="26" s="1"/>
  <c r="X75" i="26" s="1"/>
  <c r="Q72" i="26"/>
  <c r="Q69" i="26" s="1"/>
  <c r="Q75" i="26" s="1"/>
  <c r="O72" i="26"/>
  <c r="O69" i="26" s="1"/>
  <c r="O75" i="26" s="1"/>
  <c r="R13" i="26"/>
  <c r="R10" i="26" s="1"/>
  <c r="R16" i="26" s="1"/>
  <c r="Y13" i="26"/>
  <c r="Y10" i="26" s="1"/>
  <c r="Y16" i="26" s="1"/>
  <c r="Y57" i="26"/>
  <c r="Y54" i="26" s="1"/>
  <c r="Y60" i="26" s="1"/>
  <c r="U27" i="26"/>
  <c r="U24" i="26" s="1"/>
  <c r="U30" i="26" s="1"/>
  <c r="Z42" i="26"/>
  <c r="Z39" i="26" s="1"/>
  <c r="Z45" i="26" s="1"/>
  <c r="P72" i="26"/>
  <c r="P69" i="26" s="1"/>
  <c r="P75" i="26" s="1"/>
  <c r="O13" i="26"/>
  <c r="O10" i="26" s="1"/>
  <c r="O16" i="26" s="1"/>
  <c r="O17" i="26" s="1"/>
  <c r="P17" i="26" s="1"/>
  <c r="Q17" i="26" s="1"/>
  <c r="E180" i="30"/>
  <c r="E183" i="30" s="1"/>
  <c r="P57" i="26"/>
  <c r="P54" i="26" s="1"/>
  <c r="P60" i="26" s="1"/>
  <c r="S27" i="26"/>
  <c r="S24" i="26" s="1"/>
  <c r="S30" i="26" s="1"/>
  <c r="R42" i="26"/>
  <c r="R39" i="26" s="1"/>
  <c r="R45" i="26" s="1"/>
  <c r="Y72" i="26"/>
  <c r="Y69" i="26" s="1"/>
  <c r="Y75" i="26" s="1"/>
  <c r="B9" i="12"/>
  <c r="G32" i="7"/>
  <c r="J14" i="12"/>
  <c r="Y8" i="22"/>
  <c r="Z8" i="22" s="1"/>
  <c r="G31" i="7"/>
  <c r="M7" i="12"/>
  <c r="L7" i="12"/>
  <c r="N7" i="12"/>
  <c r="Y7" i="22"/>
  <c r="F31" i="7"/>
  <c r="J15" i="12"/>
  <c r="K8" i="12"/>
  <c r="N8" i="12"/>
  <c r="M8" i="12"/>
  <c r="L8" i="12"/>
  <c r="AA8" i="22"/>
  <c r="AB8" i="22" s="1"/>
  <c r="AC8" i="22" s="1"/>
  <c r="C161" i="30"/>
  <c r="E161" i="30"/>
  <c r="L10" i="32"/>
  <c r="K10" i="32"/>
  <c r="K14" i="32" s="1"/>
  <c r="J10" i="32"/>
  <c r="N10" i="32"/>
  <c r="C1" i="29"/>
  <c r="O10" i="32"/>
  <c r="M10" i="32"/>
  <c r="B161" i="30"/>
  <c r="F161" i="30"/>
  <c r="H38" i="36" s="1"/>
  <c r="H43" i="36" s="1"/>
  <c r="H44" i="36" s="1"/>
  <c r="H46" i="36" s="1"/>
  <c r="H65" i="36" s="1"/>
  <c r="H67" i="36" s="1"/>
  <c r="D161" i="30"/>
  <c r="H68" i="36" l="1"/>
  <c r="H76" i="36"/>
  <c r="E162" i="30"/>
  <c r="E204" i="30" s="1"/>
  <c r="G38" i="36"/>
  <c r="G43" i="36" s="1"/>
  <c r="G44" i="36" s="1"/>
  <c r="G46" i="36" s="1"/>
  <c r="G65" i="36" s="1"/>
  <c r="G67" i="36" s="1"/>
  <c r="D162" i="30"/>
  <c r="F38" i="36"/>
  <c r="F43" i="36" s="1"/>
  <c r="F44" i="36" s="1"/>
  <c r="F46" i="36" s="1"/>
  <c r="F65" i="36" s="1"/>
  <c r="F67" i="36" s="1"/>
  <c r="C162" i="30"/>
  <c r="D11" i="31" s="1"/>
  <c r="D12" i="31" s="1"/>
  <c r="E38" i="36"/>
  <c r="E43" i="36" s="1"/>
  <c r="E44" i="36" s="1"/>
  <c r="E46" i="36" s="1"/>
  <c r="E65" i="36" s="1"/>
  <c r="E67" i="36" s="1"/>
  <c r="B162" i="30"/>
  <c r="C11" i="31" s="1"/>
  <c r="C12" i="31" s="1"/>
  <c r="D38" i="36"/>
  <c r="D43" i="36" s="1"/>
  <c r="D44" i="36" s="1"/>
  <c r="D46" i="36" s="1"/>
  <c r="D65" i="36" s="1"/>
  <c r="D67" i="36" s="1"/>
  <c r="L14" i="32"/>
  <c r="O11" i="32"/>
  <c r="M14" i="32"/>
  <c r="N14" i="32"/>
  <c r="J14" i="32"/>
  <c r="E185" i="30"/>
  <c r="E184" i="30" s="1"/>
  <c r="E199" i="30" s="1"/>
  <c r="G40" i="32" s="1"/>
  <c r="E196" i="30"/>
  <c r="D185" i="30"/>
  <c r="D184" i="30" s="1"/>
  <c r="D199" i="30" s="1"/>
  <c r="F40" i="32" s="1"/>
  <c r="D196" i="30"/>
  <c r="R17" i="26"/>
  <c r="S17" i="26" s="1"/>
  <c r="T17" i="26" s="1"/>
  <c r="U17" i="26" s="1"/>
  <c r="V17" i="26" s="1"/>
  <c r="W17" i="26" s="1"/>
  <c r="X17" i="26" s="1"/>
  <c r="Y17" i="26" s="1"/>
  <c r="Z17" i="26" s="1"/>
  <c r="F196" i="30"/>
  <c r="F185" i="30"/>
  <c r="F184" i="30" s="1"/>
  <c r="F199" i="30" s="1"/>
  <c r="H40" i="32" s="1"/>
  <c r="AA7" i="22"/>
  <c r="AB7" i="22" s="1"/>
  <c r="AC7" i="22" s="1"/>
  <c r="Z7" i="22"/>
  <c r="D9" i="12"/>
  <c r="E9" i="12" s="1"/>
  <c r="F9" i="12" s="1"/>
  <c r="G9" i="12" s="1"/>
  <c r="J9" i="12" s="1"/>
  <c r="Y9" i="22"/>
  <c r="C185" i="30"/>
  <c r="C184" i="30" s="1"/>
  <c r="C199" i="30" s="1"/>
  <c r="E40" i="32" s="1"/>
  <c r="C196" i="30"/>
  <c r="B196" i="30"/>
  <c r="B185" i="30"/>
  <c r="B184" i="30" s="1"/>
  <c r="B199" i="30" s="1"/>
  <c r="D40" i="32" s="1"/>
  <c r="E8" i="29"/>
  <c r="AL4" i="29" s="1"/>
  <c r="E7" i="29"/>
  <c r="D204" i="30"/>
  <c r="E11" i="31"/>
  <c r="E12" i="31" s="1"/>
  <c r="E208" i="30"/>
  <c r="G38" i="32"/>
  <c r="G43" i="32" s="1"/>
  <c r="F208" i="30"/>
  <c r="H38" i="32"/>
  <c r="H43" i="32" s="1"/>
  <c r="F38" i="32"/>
  <c r="F162" i="30"/>
  <c r="D38" i="32"/>
  <c r="E38" i="32"/>
  <c r="B204" i="30" l="1"/>
  <c r="F11" i="31"/>
  <c r="F12" i="31" s="1"/>
  <c r="C204" i="30"/>
  <c r="G68" i="36"/>
  <c r="G76" i="36"/>
  <c r="F68" i="36"/>
  <c r="F76" i="36"/>
  <c r="E68" i="36"/>
  <c r="E76" i="36"/>
  <c r="D68" i="36"/>
  <c r="D76" i="36"/>
  <c r="G11" i="32"/>
  <c r="D43" i="32"/>
  <c r="D44" i="32" s="1"/>
  <c r="O14" i="32"/>
  <c r="D198" i="30"/>
  <c r="D201" i="30"/>
  <c r="Z9" i="22"/>
  <c r="AA9" i="22" s="1"/>
  <c r="AB9" i="22" s="1"/>
  <c r="AC9" i="22" s="1"/>
  <c r="E43" i="32"/>
  <c r="E44" i="32" s="1"/>
  <c r="E46" i="32" s="1"/>
  <c r="E65" i="32" s="1"/>
  <c r="E67" i="32" s="1"/>
  <c r="B208" i="30"/>
  <c r="D208" i="30"/>
  <c r="B198" i="30"/>
  <c r="B201" i="30"/>
  <c r="J16" i="12"/>
  <c r="K9" i="12"/>
  <c r="L9" i="12"/>
  <c r="M9" i="12"/>
  <c r="N9" i="12"/>
  <c r="F198" i="30"/>
  <c r="F201" i="30"/>
  <c r="E198" i="30"/>
  <c r="E201" i="30"/>
  <c r="C208" i="30"/>
  <c r="F43" i="32"/>
  <c r="F44" i="32" s="1"/>
  <c r="F46" i="32" s="1"/>
  <c r="F65" i="32" s="1"/>
  <c r="C198" i="30"/>
  <c r="C201" i="30"/>
  <c r="AD9" i="26"/>
  <c r="O31" i="26"/>
  <c r="P31" i="26" s="1"/>
  <c r="Q31" i="26" s="1"/>
  <c r="R31" i="26" s="1"/>
  <c r="S31" i="26" s="1"/>
  <c r="T31" i="26" s="1"/>
  <c r="U31" i="26" s="1"/>
  <c r="V31" i="26" s="1"/>
  <c r="W31" i="26" s="1"/>
  <c r="X31" i="26" s="1"/>
  <c r="Y31" i="26" s="1"/>
  <c r="Z31" i="26" s="1"/>
  <c r="O46" i="26" s="1"/>
  <c r="P46" i="26" s="1"/>
  <c r="Q46" i="26" s="1"/>
  <c r="R46" i="26" s="1"/>
  <c r="S46" i="26" s="1"/>
  <c r="T46" i="26" s="1"/>
  <c r="U46" i="26" s="1"/>
  <c r="V46" i="26" s="1"/>
  <c r="W46" i="26" s="1"/>
  <c r="X46" i="26" s="1"/>
  <c r="Y46" i="26" s="1"/>
  <c r="Z46" i="26" s="1"/>
  <c r="O61" i="26" s="1"/>
  <c r="P61" i="26" s="1"/>
  <c r="Q61" i="26" s="1"/>
  <c r="R61" i="26" s="1"/>
  <c r="S61" i="26" s="1"/>
  <c r="T61" i="26" s="1"/>
  <c r="U61" i="26" s="1"/>
  <c r="V61" i="26" s="1"/>
  <c r="W61" i="26" s="1"/>
  <c r="X61" i="26" s="1"/>
  <c r="Y61" i="26" s="1"/>
  <c r="Z61" i="26" s="1"/>
  <c r="O76" i="26" s="1"/>
  <c r="P76" i="26" s="1"/>
  <c r="Q76" i="26" s="1"/>
  <c r="R76" i="26" s="1"/>
  <c r="S76" i="26" s="1"/>
  <c r="T76" i="26" s="1"/>
  <c r="U76" i="26" s="1"/>
  <c r="V76" i="26" s="1"/>
  <c r="W76" i="26" s="1"/>
  <c r="X76" i="26" s="1"/>
  <c r="Y76" i="26" s="1"/>
  <c r="Z76" i="26" s="1"/>
  <c r="G44" i="32"/>
  <c r="G46" i="32" s="1"/>
  <c r="G65" i="32" s="1"/>
  <c r="F204" i="30"/>
  <c r="G11" i="31"/>
  <c r="G12" i="31" s="1"/>
  <c r="E9" i="29"/>
  <c r="F200" i="30" l="1"/>
  <c r="G5" i="31"/>
  <c r="F206" i="30"/>
  <c r="AD10" i="26"/>
  <c r="AE9" i="26"/>
  <c r="C68" i="32"/>
  <c r="C3" i="29"/>
  <c r="F207" i="30"/>
  <c r="E206" i="30"/>
  <c r="E207" i="30" s="1"/>
  <c r="F6" i="36" s="1"/>
  <c r="F7" i="36" s="1"/>
  <c r="F10" i="36" s="1"/>
  <c r="F5" i="31"/>
  <c r="E200" i="30"/>
  <c r="D5" i="31"/>
  <c r="C206" i="30"/>
  <c r="C207" i="30" s="1"/>
  <c r="D6" i="36" s="1"/>
  <c r="D7" i="36" s="1"/>
  <c r="D10" i="36" s="1"/>
  <c r="C200" i="30"/>
  <c r="C5" i="31"/>
  <c r="B200" i="30"/>
  <c r="B206" i="30"/>
  <c r="B207" i="30" s="1"/>
  <c r="C6" i="36" s="1"/>
  <c r="C7" i="36" s="1"/>
  <c r="C10" i="36" s="1"/>
  <c r="C12" i="36" s="1"/>
  <c r="C14" i="36" s="1"/>
  <c r="C16" i="36" s="1"/>
  <c r="C20" i="36" s="1"/>
  <c r="D206" i="30"/>
  <c r="D207" i="30" s="1"/>
  <c r="E6" i="36" s="1"/>
  <c r="E7" i="36" s="1"/>
  <c r="E10" i="36" s="1"/>
  <c r="D200" i="30"/>
  <c r="E5" i="31"/>
  <c r="E68" i="32"/>
  <c r="AQ15" i="29"/>
  <c r="AP15" i="29"/>
  <c r="AP12" i="29"/>
  <c r="AQ14" i="29"/>
  <c r="AP14" i="29"/>
  <c r="AS10" i="29"/>
  <c r="AQ13" i="29"/>
  <c r="AQ12" i="29"/>
  <c r="AP13" i="29"/>
  <c r="AQ11" i="29"/>
  <c r="AP11" i="29"/>
  <c r="G6" i="32" l="1"/>
  <c r="G7" i="32" s="1"/>
  <c r="G10" i="32" s="1"/>
  <c r="G6" i="36"/>
  <c r="G7" i="36" s="1"/>
  <c r="G10" i="36" s="1"/>
  <c r="F12" i="36"/>
  <c r="F14" i="36" s="1"/>
  <c r="F15" i="36" s="1"/>
  <c r="F16" i="36" s="1"/>
  <c r="G66" i="36"/>
  <c r="E12" i="36"/>
  <c r="E14" i="36" s="1"/>
  <c r="E15" i="36" s="1"/>
  <c r="E16" i="36" s="1"/>
  <c r="E18" i="36" s="1"/>
  <c r="F66" i="36"/>
  <c r="D12" i="36"/>
  <c r="D14" i="36" s="1"/>
  <c r="D15" i="36" s="1"/>
  <c r="D16" i="36" s="1"/>
  <c r="D18" i="36" s="1"/>
  <c r="E66" i="36"/>
  <c r="L27" i="36"/>
  <c r="L47" i="36"/>
  <c r="L53" i="36" s="1"/>
  <c r="L63" i="36" s="1"/>
  <c r="L66" i="36" s="1"/>
  <c r="C4" i="29"/>
  <c r="F8" i="29"/>
  <c r="F7" i="29"/>
  <c r="D3" i="29"/>
  <c r="AE8" i="26"/>
  <c r="AE7" i="26"/>
  <c r="AE10" i="26" s="1"/>
  <c r="F209" i="30"/>
  <c r="E6" i="32"/>
  <c r="E7" i="32" s="1"/>
  <c r="E10" i="32" s="1"/>
  <c r="D209" i="30"/>
  <c r="B209" i="30"/>
  <c r="C6" i="32"/>
  <c r="C7" i="32" s="1"/>
  <c r="C10" i="32" s="1"/>
  <c r="C209" i="30"/>
  <c r="D6" i="32"/>
  <c r="F6" i="32"/>
  <c r="F7" i="32" s="1"/>
  <c r="F10" i="32" s="1"/>
  <c r="E209" i="30"/>
  <c r="AR15" i="29"/>
  <c r="AE51" i="29" s="1"/>
  <c r="AR13" i="29"/>
  <c r="AR11" i="29"/>
  <c r="AR12" i="29"/>
  <c r="AL11" i="29"/>
  <c r="AR14" i="29"/>
  <c r="AE50" i="29" s="1"/>
  <c r="D20" i="36" l="1"/>
  <c r="M47" i="36" s="1"/>
  <c r="M53" i="36" s="1"/>
  <c r="M63" i="36" s="1"/>
  <c r="C12" i="32"/>
  <c r="H66" i="36"/>
  <c r="G12" i="36"/>
  <c r="G14" i="36" s="1"/>
  <c r="G15" i="36" s="1"/>
  <c r="G16" i="36" s="1"/>
  <c r="G12" i="32"/>
  <c r="L6" i="36"/>
  <c r="L8" i="36" s="1"/>
  <c r="L15" i="36" s="1"/>
  <c r="L32" i="36" s="1"/>
  <c r="M65" i="36"/>
  <c r="L28" i="36"/>
  <c r="F12" i="32"/>
  <c r="E12" i="32"/>
  <c r="D7" i="32"/>
  <c r="D10" i="32" s="1"/>
  <c r="G7" i="29"/>
  <c r="F9" i="29"/>
  <c r="AB19" i="29"/>
  <c r="C70" i="32"/>
  <c r="C76" i="32" s="1"/>
  <c r="G8" i="29"/>
  <c r="H30" i="32"/>
  <c r="E3" i="29"/>
  <c r="H54" i="32" s="1"/>
  <c r="H55" i="32" s="1"/>
  <c r="D15" i="33" s="1"/>
  <c r="AM11" i="29"/>
  <c r="AE49" i="29"/>
  <c r="M27" i="36" l="1"/>
  <c r="M28" i="36" s="1"/>
  <c r="E20" i="36"/>
  <c r="N47" i="36" s="1"/>
  <c r="N53" i="36" s="1"/>
  <c r="N63" i="36" s="1"/>
  <c r="M66" i="36"/>
  <c r="N65" i="36" s="1"/>
  <c r="L34" i="36"/>
  <c r="L37" i="36" s="1"/>
  <c r="L29" i="36"/>
  <c r="L30" i="36" s="1"/>
  <c r="D12" i="32"/>
  <c r="C36" i="32"/>
  <c r="C43" i="32" s="1"/>
  <c r="C44" i="32" s="1"/>
  <c r="C45" i="32" s="1"/>
  <c r="D46" i="32" s="1"/>
  <c r="D65" i="32" s="1"/>
  <c r="D67" i="32" s="1"/>
  <c r="H31" i="32"/>
  <c r="H44" i="32" s="1"/>
  <c r="H46" i="32" s="1"/>
  <c r="H65" i="32" s="1"/>
  <c r="D22" i="33"/>
  <c r="AG38" i="29"/>
  <c r="AF31" i="29"/>
  <c r="AF40" i="29"/>
  <c r="AH40" i="29" s="1"/>
  <c r="AF39" i="29"/>
  <c r="AG30" i="29"/>
  <c r="AF43" i="29"/>
  <c r="AH43" i="29" s="1"/>
  <c r="AG28" i="29"/>
  <c r="AF27" i="29"/>
  <c r="AF38" i="29"/>
  <c r="AH38" i="29" s="1"/>
  <c r="AF37" i="29"/>
  <c r="AG37" i="29"/>
  <c r="AF29" i="29"/>
  <c r="AG36" i="29"/>
  <c r="AF26" i="29"/>
  <c r="AG26" i="29"/>
  <c r="AF32" i="29"/>
  <c r="AF30" i="29"/>
  <c r="AH30" i="29" s="1"/>
  <c r="AG34" i="29"/>
  <c r="AF42" i="29"/>
  <c r="AH42" i="29" s="1"/>
  <c r="AG39" i="29"/>
  <c r="AF35" i="29"/>
  <c r="AH35" i="29" s="1"/>
  <c r="AG35" i="29"/>
  <c r="AF36" i="29"/>
  <c r="AH36" i="29" s="1"/>
  <c r="AG43" i="29"/>
  <c r="AF33" i="29"/>
  <c r="AI25" i="29"/>
  <c r="AB26" i="29" s="1"/>
  <c r="AC26" i="29" s="1"/>
  <c r="AD26" i="29" s="1"/>
  <c r="AI26" i="29" s="1"/>
  <c r="AB27" i="29" s="1"/>
  <c r="AC27" i="29" s="1"/>
  <c r="AD27" i="29" s="1"/>
  <c r="AI27" i="29" s="1"/>
  <c r="AB28" i="29" s="1"/>
  <c r="AC28" i="29" s="1"/>
  <c r="AD28" i="29" s="1"/>
  <c r="AI28" i="29" s="1"/>
  <c r="AG27" i="29"/>
  <c r="AG42" i="29"/>
  <c r="AG40" i="29"/>
  <c r="AF34" i="29"/>
  <c r="AH34" i="29" s="1"/>
  <c r="AG29" i="29"/>
  <c r="AF28" i="29"/>
  <c r="AG33" i="29"/>
  <c r="AF41" i="29"/>
  <c r="AH41" i="29" s="1"/>
  <c r="AG31" i="29"/>
  <c r="AG41" i="29"/>
  <c r="AG32" i="29"/>
  <c r="R7" i="29"/>
  <c r="Y3" i="29"/>
  <c r="Y12" i="29"/>
  <c r="J25" i="32"/>
  <c r="G9" i="29"/>
  <c r="H37" i="33"/>
  <c r="F37" i="33"/>
  <c r="Y4" i="29"/>
  <c r="E37" i="33"/>
  <c r="G37" i="33"/>
  <c r="Y17" i="29"/>
  <c r="Y19" i="29" s="1"/>
  <c r="AN11" i="29"/>
  <c r="AS11" i="29" s="1"/>
  <c r="AL12" i="29" s="1"/>
  <c r="AM12" i="29" s="1"/>
  <c r="AN12" i="29" s="1"/>
  <c r="AS12" i="29" s="1"/>
  <c r="AL13" i="29" s="1"/>
  <c r="AM13" i="29" s="1"/>
  <c r="F20" i="36" l="1"/>
  <c r="G20" i="36" s="1"/>
  <c r="P47" i="36" s="1"/>
  <c r="P53" i="36" s="1"/>
  <c r="P63" i="36" s="1"/>
  <c r="N27" i="36"/>
  <c r="M6" i="36"/>
  <c r="M8" i="36" s="1"/>
  <c r="M15" i="36" s="1"/>
  <c r="M32" i="36" s="1"/>
  <c r="N66" i="36"/>
  <c r="N6" i="36" s="1"/>
  <c r="N8" i="36" s="1"/>
  <c r="N15" i="36" s="1"/>
  <c r="N32" i="36" s="1"/>
  <c r="D68" i="32"/>
  <c r="M29" i="36"/>
  <c r="M34" i="36"/>
  <c r="M37" i="36" s="1"/>
  <c r="J28" i="32"/>
  <c r="H8" i="29"/>
  <c r="H7" i="29"/>
  <c r="H9" i="29" s="1"/>
  <c r="R11" i="29"/>
  <c r="Q25" i="29" s="1"/>
  <c r="U25" i="29" s="1"/>
  <c r="AH26" i="29"/>
  <c r="AH37" i="29"/>
  <c r="AH31" i="29"/>
  <c r="AH33" i="29"/>
  <c r="D37" i="33"/>
  <c r="AH28" i="29"/>
  <c r="AH32" i="29"/>
  <c r="AH29" i="29"/>
  <c r="AH27" i="29"/>
  <c r="AH39" i="29"/>
  <c r="AE48" i="29" s="1"/>
  <c r="AN13" i="29"/>
  <c r="AS13" i="29" s="1"/>
  <c r="AL14" i="29" s="1"/>
  <c r="AM14" i="29" s="1"/>
  <c r="AB49" i="29"/>
  <c r="AB29" i="29"/>
  <c r="O47" i="36" l="1"/>
  <c r="O53" i="36" s="1"/>
  <c r="O63" i="36" s="1"/>
  <c r="O27" i="36"/>
  <c r="P27" i="36" s="1"/>
  <c r="P28" i="36" s="1"/>
  <c r="N28" i="36"/>
  <c r="N34" i="36" s="1"/>
  <c r="N37" i="36" s="1"/>
  <c r="O65" i="36"/>
  <c r="M30" i="36"/>
  <c r="J9" i="35"/>
  <c r="Y7" i="29"/>
  <c r="Y8" i="29" s="1"/>
  <c r="AE47" i="29"/>
  <c r="AN14" i="29"/>
  <c r="AS14" i="29" s="1"/>
  <c r="AL15" i="29" s="1"/>
  <c r="AM15" i="29" s="1"/>
  <c r="AB50" i="29"/>
  <c r="AC29" i="29"/>
  <c r="N29" i="36" l="1"/>
  <c r="N30" i="36" s="1"/>
  <c r="O28" i="36"/>
  <c r="O34" i="36" s="1"/>
  <c r="O37" i="36" s="1"/>
  <c r="O66" i="36"/>
  <c r="P65" i="36" s="1"/>
  <c r="P66" i="36" s="1"/>
  <c r="P6" i="36" s="1"/>
  <c r="P8" i="36" s="1"/>
  <c r="P15" i="36" s="1"/>
  <c r="P32" i="36" s="1"/>
  <c r="P29" i="36"/>
  <c r="P34" i="36"/>
  <c r="P37" i="36" s="1"/>
  <c r="AN15" i="29"/>
  <c r="AS15" i="29" s="1"/>
  <c r="AB51" i="29"/>
  <c r="AD29" i="29"/>
  <c r="O6" i="36" l="1"/>
  <c r="O8" i="36" s="1"/>
  <c r="O15" i="36" s="1"/>
  <c r="O32" i="36" s="1"/>
  <c r="O29" i="36"/>
  <c r="P30" i="36"/>
  <c r="AI29" i="29"/>
  <c r="O30" i="36" l="1"/>
  <c r="AB30" i="29"/>
  <c r="AC30" i="29" l="1"/>
  <c r="AD30" i="29" l="1"/>
  <c r="AC49" i="29" l="1"/>
  <c r="D285" i="30" s="1"/>
  <c r="AI30" i="29"/>
  <c r="AB31" i="29" l="1"/>
  <c r="E13" i="32"/>
  <c r="E14" i="32" s="1"/>
  <c r="E8" i="31"/>
  <c r="E9" i="31" s="1"/>
  <c r="AD49" i="29"/>
  <c r="L19" i="32" l="1"/>
  <c r="AC31" i="29"/>
  <c r="AF49" i="29"/>
  <c r="E16" i="31"/>
  <c r="E17" i="31" s="1"/>
  <c r="E13" i="31"/>
  <c r="AD31" i="29" l="1"/>
  <c r="AC50" i="29" l="1"/>
  <c r="E285" i="30" s="1"/>
  <c r="AI31" i="29"/>
  <c r="F13" i="32" l="1"/>
  <c r="F14" i="32" s="1"/>
  <c r="F8" i="31"/>
  <c r="F9" i="31" s="1"/>
  <c r="AD50" i="29"/>
  <c r="AB32" i="29"/>
  <c r="AC32" i="29" s="1"/>
  <c r="F13" i="31" l="1"/>
  <c r="F16" i="31"/>
  <c r="F17" i="31" s="1"/>
  <c r="M19" i="32"/>
  <c r="AD32" i="29"/>
  <c r="AF50" i="29"/>
  <c r="AI32" i="29" l="1"/>
  <c r="AC51" i="29" l="1"/>
  <c r="F285" i="30" s="1"/>
  <c r="AB33" i="29"/>
  <c r="AC33" i="29" s="1"/>
  <c r="AD33" i="29" s="1"/>
  <c r="AI33" i="29" s="1"/>
  <c r="AB34" i="29" l="1"/>
  <c r="AC34" i="29" s="1"/>
  <c r="AD34" i="29" s="1"/>
  <c r="AI34" i="29" s="1"/>
  <c r="AD51" i="29"/>
  <c r="AF51" i="29"/>
  <c r="G13" i="32"/>
  <c r="G14" i="32" s="1"/>
  <c r="G8" i="31"/>
  <c r="G9" i="31" s="1"/>
  <c r="AB35" i="29" l="1"/>
  <c r="AC35" i="29" s="1"/>
  <c r="AD35" i="29" s="1"/>
  <c r="AI35" i="29" s="1"/>
  <c r="N19" i="32"/>
  <c r="G13" i="31"/>
  <c r="G16" i="31"/>
  <c r="G17" i="31" s="1"/>
  <c r="AB36" i="29" l="1"/>
  <c r="AC36" i="29" s="1"/>
  <c r="AD36" i="29" s="1"/>
  <c r="AI36" i="29" s="1"/>
  <c r="AB37" i="29" l="1"/>
  <c r="AB47" i="29" s="1"/>
  <c r="AC37" i="29" l="1"/>
  <c r="AC47" i="29" s="1"/>
  <c r="AD37" i="29" l="1"/>
  <c r="B285" i="30"/>
  <c r="C8" i="31" l="1"/>
  <c r="C9" i="31" s="1"/>
  <c r="C13" i="32"/>
  <c r="C14" i="32" s="1"/>
  <c r="C16" i="32" s="1"/>
  <c r="AD47" i="29"/>
  <c r="AI37" i="29"/>
  <c r="D76" i="32" l="1"/>
  <c r="D29" i="33"/>
  <c r="C20" i="32"/>
  <c r="AB38" i="29"/>
  <c r="AF47" i="29"/>
  <c r="C16" i="31"/>
  <c r="C17" i="31" s="1"/>
  <c r="C13" i="31"/>
  <c r="K27" i="32" l="1"/>
  <c r="J19" i="32"/>
  <c r="D36" i="33"/>
  <c r="D38" i="33" s="1"/>
  <c r="AC38" i="29"/>
  <c r="E22" i="33"/>
  <c r="J21" i="32"/>
  <c r="K28" i="32" l="1"/>
  <c r="AD38" i="29"/>
  <c r="J22" i="32"/>
  <c r="J23" i="32" s="1"/>
  <c r="E24" i="33"/>
  <c r="E23" i="33"/>
  <c r="J8" i="32" l="1"/>
  <c r="J15" i="32" s="1"/>
  <c r="J29" i="32"/>
  <c r="AI38" i="29"/>
  <c r="AB39" i="29" l="1"/>
  <c r="AC39" i="29" l="1"/>
  <c r="AD39" i="29" l="1"/>
  <c r="AI39" i="29" l="1"/>
  <c r="AB40" i="29" l="1"/>
  <c r="AC40" i="29" l="1"/>
  <c r="AD40" i="29" l="1"/>
  <c r="AI40" i="29" l="1"/>
  <c r="AB41" i="29" l="1"/>
  <c r="AC41" i="29" l="1"/>
  <c r="AD41" i="29" l="1"/>
  <c r="AI41" i="29" l="1"/>
  <c r="AB42" i="29" l="1"/>
  <c r="AC42" i="29" s="1"/>
  <c r="AD42" i="29" s="1"/>
  <c r="AI42" i="29" s="1"/>
  <c r="AB43" i="29" l="1"/>
  <c r="AB48" i="29" s="1"/>
  <c r="AC43" i="29" l="1"/>
  <c r="AD43" i="29" l="1"/>
  <c r="AC48" i="29"/>
  <c r="C285" i="30" s="1"/>
  <c r="D8" i="31" l="1"/>
  <c r="D9" i="31" s="1"/>
  <c r="D13" i="32"/>
  <c r="D14" i="32" s="1"/>
  <c r="D16" i="32" s="1"/>
  <c r="AD48" i="29"/>
  <c r="AI43" i="29"/>
  <c r="AF48" i="29" s="1"/>
  <c r="D20" i="32" l="1"/>
  <c r="E22" i="32" s="1"/>
  <c r="E15" i="32" s="1"/>
  <c r="L27" i="32"/>
  <c r="E76" i="32"/>
  <c r="D13" i="31"/>
  <c r="D16" i="31"/>
  <c r="D17" i="31" s="1"/>
  <c r="F66" i="32" l="1"/>
  <c r="F67" i="32" s="1"/>
  <c r="E16" i="32"/>
  <c r="K19" i="32"/>
  <c r="E29" i="33"/>
  <c r="K21" i="32"/>
  <c r="F22" i="33"/>
  <c r="F68" i="32" l="1"/>
  <c r="F76" i="32"/>
  <c r="G22" i="33" s="1"/>
  <c r="G23" i="33" s="1"/>
  <c r="L26" i="32"/>
  <c r="D18" i="32"/>
  <c r="F23" i="33"/>
  <c r="G24" i="33"/>
  <c r="F24" i="33"/>
  <c r="L21" i="32"/>
  <c r="K22" i="32"/>
  <c r="K23" i="32" s="1"/>
  <c r="E20" i="32" l="1"/>
  <c r="M27" i="32"/>
  <c r="K8" i="32"/>
  <c r="K29" i="32"/>
  <c r="E18" i="32"/>
  <c r="M26" i="32"/>
  <c r="F29" i="33"/>
  <c r="M21" i="32"/>
  <c r="L22" i="32"/>
  <c r="L23" i="32" s="1"/>
  <c r="F22" i="32" l="1"/>
  <c r="F15" i="32" s="1"/>
  <c r="G66" i="32" s="1"/>
  <c r="G67" i="32" s="1"/>
  <c r="L8" i="32"/>
  <c r="L15" i="32" s="1"/>
  <c r="L28" i="32"/>
  <c r="K15" i="32"/>
  <c r="D30" i="33" s="1"/>
  <c r="D31" i="33" s="1"/>
  <c r="E36" i="33"/>
  <c r="E38" i="33" s="1"/>
  <c r="N26" i="32"/>
  <c r="M22" i="32"/>
  <c r="M23" i="32" s="1"/>
  <c r="N21" i="32"/>
  <c r="F16" i="32" l="1"/>
  <c r="M28" i="32"/>
  <c r="L29" i="32"/>
  <c r="E30" i="33"/>
  <c r="E31" i="33" s="1"/>
  <c r="F36" i="33"/>
  <c r="F38" i="33" s="1"/>
  <c r="O26" i="32"/>
  <c r="N22" i="32"/>
  <c r="N23" i="32" s="1"/>
  <c r="O21" i="32"/>
  <c r="N27" i="32" l="1"/>
  <c r="N28" i="32" s="1"/>
  <c r="N29" i="32" s="1"/>
  <c r="G29" i="33"/>
  <c r="F20" i="32"/>
  <c r="G22" i="32" s="1"/>
  <c r="G15" i="32" s="1"/>
  <c r="H66" i="32" s="1"/>
  <c r="H67" i="32" s="1"/>
  <c r="D16" i="33" s="1"/>
  <c r="G68" i="32"/>
  <c r="G76" i="32"/>
  <c r="M29" i="32"/>
  <c r="O22" i="32"/>
  <c r="O23" i="32" s="1"/>
  <c r="G36" i="33" l="1"/>
  <c r="G38" i="33" s="1"/>
  <c r="G16" i="32"/>
  <c r="O27" i="32" s="1"/>
  <c r="O28" i="32" s="1"/>
  <c r="O29" i="32" s="1"/>
  <c r="H22" i="33"/>
  <c r="M8" i="32"/>
  <c r="M15" i="32" s="1"/>
  <c r="G20" i="32" l="1"/>
  <c r="H36" i="33" s="1"/>
  <c r="H38" i="33" s="1"/>
  <c r="H29" i="33"/>
  <c r="H68" i="32"/>
  <c r="C2" i="33" s="1"/>
  <c r="H76" i="32"/>
  <c r="G2" i="33" s="1"/>
  <c r="D17" i="33"/>
  <c r="J7" i="35" s="1"/>
  <c r="H23" i="33"/>
  <c r="H24" i="33"/>
  <c r="N8" i="32"/>
  <c r="N15" i="32" s="1"/>
  <c r="F30" i="33"/>
  <c r="F31" i="33" s="1"/>
  <c r="O8" i="32"/>
  <c r="O15" i="32" s="1"/>
  <c r="I22" i="33" l="1"/>
  <c r="E5" i="33"/>
  <c r="J3" i="35" s="1"/>
  <c r="G8" i="33"/>
  <c r="E11" i="33" s="1"/>
  <c r="J6" i="35" s="1"/>
  <c r="C8" i="33"/>
  <c r="E10" i="33" s="1"/>
  <c r="J5" i="35" s="1"/>
  <c r="E4" i="33"/>
  <c r="J2" i="35" s="1"/>
  <c r="G30" i="33"/>
  <c r="G31" i="33" s="1"/>
  <c r="H30" i="33"/>
  <c r="H31" i="33" s="1"/>
  <c r="I23" i="33" l="1"/>
  <c r="I24" i="33"/>
</calcChain>
</file>

<file path=xl/sharedStrings.xml><?xml version="1.0" encoding="utf-8"?>
<sst xmlns="http://schemas.openxmlformats.org/spreadsheetml/2006/main" count="5084" uniqueCount="1966">
  <si>
    <t>F1</t>
  </si>
  <si>
    <t>F2</t>
  </si>
  <si>
    <t>F3</t>
  </si>
  <si>
    <t>F4</t>
  </si>
  <si>
    <t>D1</t>
  </si>
  <si>
    <t>D2</t>
  </si>
  <si>
    <t>D3</t>
  </si>
  <si>
    <t>D4</t>
  </si>
  <si>
    <t>D5</t>
  </si>
  <si>
    <t>Cantidad</t>
  </si>
  <si>
    <t>Total</t>
  </si>
  <si>
    <t>Peso</t>
  </si>
  <si>
    <t>O1</t>
  </si>
  <si>
    <t>O2</t>
  </si>
  <si>
    <t>O3</t>
  </si>
  <si>
    <t>O4</t>
  </si>
  <si>
    <t>O5</t>
  </si>
  <si>
    <t>A1</t>
  </si>
  <si>
    <t>A2</t>
  </si>
  <si>
    <t>A3</t>
  </si>
  <si>
    <t>A4</t>
  </si>
  <si>
    <t>Personas</t>
  </si>
  <si>
    <t>Año</t>
  </si>
  <si>
    <t>Jesus María</t>
  </si>
  <si>
    <t>Lince</t>
  </si>
  <si>
    <t>Pueblo Libre</t>
  </si>
  <si>
    <t>San Miguel</t>
  </si>
  <si>
    <t>Miraflores</t>
  </si>
  <si>
    <t>San Isidro</t>
  </si>
  <si>
    <t>San Borja</t>
  </si>
  <si>
    <t>Surco</t>
  </si>
  <si>
    <t>La Molina</t>
  </si>
  <si>
    <t>Magdalena del Mar</t>
  </si>
  <si>
    <t>Zona 6</t>
  </si>
  <si>
    <t>NSE A</t>
  </si>
  <si>
    <t>NSE B</t>
  </si>
  <si>
    <t>NSE C</t>
  </si>
  <si>
    <t>NSE D</t>
  </si>
  <si>
    <t>NSE E</t>
  </si>
  <si>
    <t>Zona 7</t>
  </si>
  <si>
    <t>Fuentes:</t>
  </si>
  <si>
    <t>INEI y APEIM</t>
  </si>
  <si>
    <t xml:space="preserve">NSE A </t>
  </si>
  <si>
    <t>?</t>
  </si>
  <si>
    <t>NSE A, B y C - Zona 6</t>
  </si>
  <si>
    <t>NSE A, B y C - Zona 7</t>
  </si>
  <si>
    <t>Fuente:</t>
  </si>
  <si>
    <t>IPSOS PERÚ</t>
  </si>
  <si>
    <t>NSE A, B y C</t>
  </si>
  <si>
    <t>Años</t>
  </si>
  <si>
    <t>Litros / Persona</t>
  </si>
  <si>
    <t>Litros</t>
  </si>
  <si>
    <t>Millones de Litros</t>
  </si>
  <si>
    <t>Tipo de Regresión</t>
  </si>
  <si>
    <t>Lineal</t>
  </si>
  <si>
    <t>Exponencial</t>
  </si>
  <si>
    <t>Logarítmica</t>
  </si>
  <si>
    <t>Polinómica</t>
  </si>
  <si>
    <t>Potencial</t>
  </si>
  <si>
    <t xml:space="preserve">Año </t>
  </si>
  <si>
    <t>Demanda Proyectada</t>
  </si>
  <si>
    <t>Producción de bebidas no alcohólicas</t>
  </si>
  <si>
    <t>Exportación Nacional de Néctares (Miles de Dólares)</t>
  </si>
  <si>
    <t>Exportación Nacional de Bebidas No Alcohólicas(Miles de dólares)</t>
  </si>
  <si>
    <t xml:space="preserve">% Participación de Néctares respecto al total de Bebidas No Alcohólicas </t>
  </si>
  <si>
    <t>Oferta Proyectada</t>
  </si>
  <si>
    <t>Z</t>
  </si>
  <si>
    <t>P</t>
  </si>
  <si>
    <t>Q = 1-P</t>
  </si>
  <si>
    <t>n</t>
  </si>
  <si>
    <t>Lima Norte</t>
  </si>
  <si>
    <t>Lima Sur</t>
  </si>
  <si>
    <t>Lima Este</t>
  </si>
  <si>
    <t>Lima Centro</t>
  </si>
  <si>
    <t>Lima Moderna</t>
  </si>
  <si>
    <t>Callao</t>
  </si>
  <si>
    <t>Habitantes</t>
  </si>
  <si>
    <t>% Zona</t>
  </si>
  <si>
    <t>Lima</t>
  </si>
  <si>
    <t>Distrito</t>
  </si>
  <si>
    <t>Habitantes NSE A,B y C</t>
  </si>
  <si>
    <t>Ajegroup</t>
  </si>
  <si>
    <t>Pulp</t>
  </si>
  <si>
    <t>Cifrut</t>
  </si>
  <si>
    <t>Laive</t>
  </si>
  <si>
    <t>Watts</t>
  </si>
  <si>
    <t>Grupo Gloria</t>
  </si>
  <si>
    <t>Néctar de Gloria</t>
  </si>
  <si>
    <t>Tampico</t>
  </si>
  <si>
    <t>Lindley</t>
  </si>
  <si>
    <t>Frugos</t>
  </si>
  <si>
    <t>Néctar de Laive</t>
  </si>
  <si>
    <t>Empresa</t>
  </si>
  <si>
    <t>Producto</t>
  </si>
  <si>
    <t>Compuesto</t>
  </si>
  <si>
    <t>Calorías</t>
  </si>
  <si>
    <t>Grasa</t>
  </si>
  <si>
    <t>Sodio</t>
  </si>
  <si>
    <t>Carbohidratos</t>
  </si>
  <si>
    <t>Azúcar</t>
  </si>
  <si>
    <t>Proteínas</t>
  </si>
  <si>
    <t>170 cal.</t>
  </si>
  <si>
    <t>0 gr.</t>
  </si>
  <si>
    <t>110 mgr.</t>
  </si>
  <si>
    <t>43 gr.</t>
  </si>
  <si>
    <t>41 gr.</t>
  </si>
  <si>
    <t>Información Nutricional - Néctar de la marca Sappé</t>
  </si>
  <si>
    <t>Descripción</t>
  </si>
  <si>
    <t>Color</t>
  </si>
  <si>
    <t>Capacidad</t>
  </si>
  <si>
    <t>300 ml.</t>
  </si>
  <si>
    <t>165 gr.</t>
  </si>
  <si>
    <t>Diámetro</t>
  </si>
  <si>
    <t>61.54 mm.</t>
  </si>
  <si>
    <t>Altura</t>
  </si>
  <si>
    <t>166. 06 mm.</t>
  </si>
  <si>
    <t>FLINT</t>
  </si>
  <si>
    <t>Material</t>
  </si>
  <si>
    <t>Vidrio</t>
  </si>
  <si>
    <t>Detalle de Envase</t>
  </si>
  <si>
    <t>Medida</t>
  </si>
  <si>
    <t>Cantidad x Caja</t>
  </si>
  <si>
    <t>38 mm.</t>
  </si>
  <si>
    <t>Dorado</t>
  </si>
  <si>
    <t>Tapas Twist off</t>
  </si>
  <si>
    <t>Detalle de las Tapas</t>
  </si>
  <si>
    <t>Aloe Vera</t>
  </si>
  <si>
    <t>Frutas</t>
  </si>
  <si>
    <t>Envase</t>
  </si>
  <si>
    <t>Etiqueta</t>
  </si>
  <si>
    <t>Tapas</t>
  </si>
  <si>
    <t>Camposol</t>
  </si>
  <si>
    <t>Aymuray S.A.C.</t>
  </si>
  <si>
    <t>Envases del Perú Wildor E.I.R.L.</t>
  </si>
  <si>
    <t>EuroPlast</t>
  </si>
  <si>
    <t>Envases y Envolturas</t>
  </si>
  <si>
    <t>Proveedor</t>
  </si>
  <si>
    <t>Materia Prima</t>
  </si>
  <si>
    <t>Ubicación</t>
  </si>
  <si>
    <t>Surco, Lima - Perú</t>
  </si>
  <si>
    <t>San Luis, Lima - Perú</t>
  </si>
  <si>
    <t>Chorrillos, Lima - Perú</t>
  </si>
  <si>
    <t>Ate, Lima - Perú</t>
  </si>
  <si>
    <t>Santa Anita, Lima - Perú</t>
  </si>
  <si>
    <t>Mango</t>
  </si>
  <si>
    <t>Maracuya</t>
  </si>
  <si>
    <t>Mandarina</t>
  </si>
  <si>
    <t>Durazno</t>
  </si>
  <si>
    <t>Manzana</t>
  </si>
  <si>
    <t>Otro</t>
  </si>
  <si>
    <t>Sabor</t>
  </si>
  <si>
    <t>Preferencia</t>
  </si>
  <si>
    <t>Supermercados</t>
  </si>
  <si>
    <t>Bodegas</t>
  </si>
  <si>
    <t>Restaurantes</t>
  </si>
  <si>
    <t>Mercados</t>
  </si>
  <si>
    <t># Personas en LM</t>
  </si>
  <si>
    <t>Demanda Proyectada (A)</t>
  </si>
  <si>
    <t>Oferta Proyectada (B)</t>
  </si>
  <si>
    <t>Demanda del Proyecto</t>
  </si>
  <si>
    <t>Porcentaje de Crecimiento</t>
  </si>
  <si>
    <t>-</t>
  </si>
  <si>
    <t>Población</t>
  </si>
  <si>
    <t>Lima Metropolitana</t>
  </si>
  <si>
    <t>Magdalena</t>
  </si>
  <si>
    <t>Marca</t>
  </si>
  <si>
    <t>Sappé</t>
  </si>
  <si>
    <t>Four &amp; Nat</t>
  </si>
  <si>
    <t>Plástico</t>
  </si>
  <si>
    <t>475 ml.</t>
  </si>
  <si>
    <t>Precio</t>
  </si>
  <si>
    <t>1 litro</t>
  </si>
  <si>
    <t>Aloe NatuVera</t>
  </si>
  <si>
    <t>Sábila Perú / Aloe Vera Las Coronas</t>
  </si>
  <si>
    <t>Perú / Córdoba - España</t>
  </si>
  <si>
    <t>Ecoferias en Lima</t>
  </si>
  <si>
    <t>Características</t>
  </si>
  <si>
    <t>Bioferia de Miraflores</t>
  </si>
  <si>
    <t>Eco Feria de Cieneguilla</t>
  </si>
  <si>
    <t>Mercado Saludable de La Molina</t>
  </si>
  <si>
    <t>Eco Feria Pachakamaq</t>
  </si>
  <si>
    <t>Bioferia de Surquillo</t>
  </si>
  <si>
    <t>Feria Agropecuaria Mistura</t>
  </si>
  <si>
    <t>Eco Market San Borja</t>
  </si>
  <si>
    <t>Eco Market San Isidro</t>
  </si>
  <si>
    <t>Comida Saludable</t>
  </si>
  <si>
    <t>Insumos del sureste y este de la capital</t>
  </si>
  <si>
    <t>Promueve el bienestar</t>
  </si>
  <si>
    <t>Ofrece alimentos saludables</t>
  </si>
  <si>
    <t>Ofrece vegetales orgánicos</t>
  </si>
  <si>
    <t>Organizado por Apega</t>
  </si>
  <si>
    <t>Ofrece variedad de 40 productos</t>
  </si>
  <si>
    <t>Alimentos orgánicos</t>
  </si>
  <si>
    <t>C = N° de personas en la zona 7 de Lima Metropolitana</t>
  </si>
  <si>
    <t>B = N° de personas en la zona 6 de Lima Metropolitana</t>
  </si>
  <si>
    <t>A= N° Personas en LM</t>
  </si>
  <si>
    <t>D = Proporción de habitantes en los NSE A, B y C de la zona 6</t>
  </si>
  <si>
    <t>E = Proporción de habitantes en los NSE A, B y C de la zona 7</t>
  </si>
  <si>
    <t>B = N° de Personas en LM de la Zona 6</t>
  </si>
  <si>
    <t>C = N° de Personas en LM de la Zona 7</t>
  </si>
  <si>
    <t>K = Suma de proporciones de personas en LM de los NSE A, B y C que consumen néctares frecuentemente</t>
  </si>
  <si>
    <t>N = Demanda Histórica</t>
  </si>
  <si>
    <t>D = Prop. de hab. NSE A, B y C de la zona 6</t>
  </si>
  <si>
    <t>F = N° de Per. de NSE A, B y C en la Zona 6 de LM</t>
  </si>
  <si>
    <t>G = N° de Per. de NSE A, B y C en la Zona 7 de LM</t>
  </si>
  <si>
    <t>E = Prop. de hab. NSE A, B y C de la zona 7</t>
  </si>
  <si>
    <t>G = N° de Per. NSE A, B y C en la Zona 7 de LM</t>
  </si>
  <si>
    <t>H = N° Per. NSE A, B y C en las zonas 6 y 7 de LM</t>
  </si>
  <si>
    <t>A = Producción Anual de Bebidas No Alcohólicas en el Perú (Millones de Litros)</t>
  </si>
  <si>
    <t>B = % Participación de Néctares</t>
  </si>
  <si>
    <t>C = Producción Anual de Néctares en el Perú (Millones de Litros)</t>
  </si>
  <si>
    <t>A = Producción Anual de Néctares en el Perú (Millones de Litros)</t>
  </si>
  <si>
    <t>D = % Exportaciones de Néctares respecto a su producción</t>
  </si>
  <si>
    <t>E = Exportación Anual de Néctares en el Perú (Millones de Litros)</t>
  </si>
  <si>
    <t>F = Importación de Néctares en el Perú (Millones de Litros)</t>
  </si>
  <si>
    <t>F = Importación Anual de Néctares en el Perú (Millones de Litros)</t>
  </si>
  <si>
    <t>G = Oferta Anual de Néctares en el Perú (Millones de Litros)</t>
  </si>
  <si>
    <t>Demanda Insatisfecha (C = A-B)</t>
  </si>
  <si>
    <t>Factor</t>
  </si>
  <si>
    <t>A</t>
  </si>
  <si>
    <t>B</t>
  </si>
  <si>
    <t>C</t>
  </si>
  <si>
    <t>D</t>
  </si>
  <si>
    <t>Calificación númerica</t>
  </si>
  <si>
    <t>Excelente</t>
  </si>
  <si>
    <t>Bueno</t>
  </si>
  <si>
    <t>Regular</t>
  </si>
  <si>
    <t>Malo</t>
  </si>
  <si>
    <t>Muy Malo</t>
  </si>
  <si>
    <t>Puntuación</t>
  </si>
  <si>
    <t>Peso (A)</t>
  </si>
  <si>
    <t>Calificación (B)</t>
  </si>
  <si>
    <t>Puntaje (AxB)</t>
  </si>
  <si>
    <t>Moquegua</t>
  </si>
  <si>
    <t>Ica</t>
  </si>
  <si>
    <t>Arequipa</t>
  </si>
  <si>
    <t>Ate</t>
  </si>
  <si>
    <t xml:space="preserve">Comas </t>
  </si>
  <si>
    <t>La Victoria</t>
  </si>
  <si>
    <t>Chorrillos</t>
  </si>
  <si>
    <t>Los Olivos</t>
  </si>
  <si>
    <t>Puente Piedra</t>
  </si>
  <si>
    <t>Villa El Salvador</t>
  </si>
  <si>
    <t>Ventanilla</t>
  </si>
  <si>
    <t>SJL</t>
  </si>
  <si>
    <t>SMP</t>
  </si>
  <si>
    <t>Lurín</t>
  </si>
  <si>
    <t>Punta Hermosa</t>
  </si>
  <si>
    <t>San Bartolo</t>
  </si>
  <si>
    <t>Pachacamac</t>
  </si>
  <si>
    <t>Punta Negra</t>
  </si>
  <si>
    <t>Pucusana</t>
  </si>
  <si>
    <t>Santa Rosa</t>
  </si>
  <si>
    <t>La Punta</t>
  </si>
  <si>
    <t>Santa María</t>
  </si>
  <si>
    <t>N°</t>
  </si>
  <si>
    <t># Denuncias</t>
  </si>
  <si>
    <t>Miraflores, San Isidro, La Molina, Surco, San Borja y Barranco</t>
  </si>
  <si>
    <t>Jesús María, Lince, Magdalena, San Miguel, Pueblo Libre y Surquillo</t>
  </si>
  <si>
    <t>Carabayllo, Comas, Independencia, Los Olivos, Puente Piedra, SMP, Ancón y Santa Rosa</t>
  </si>
  <si>
    <t>Bellavista, Callao, Carmen de La Legua, La Perla, La Punta y Ventanilla</t>
  </si>
  <si>
    <t>Distritos</t>
  </si>
  <si>
    <t>Ate, Cieneguilla, Chaclacayo, Lurigancho, Santa Anita, El Agustino y SJL</t>
  </si>
  <si>
    <t>Chorrillos, Lurín, Pachacamac, SJM, VES, VMT, Pucusana, P. Hermosa, P. Negra, San Bartolo y S. María del Mar</t>
  </si>
  <si>
    <t>Cercado de Lima, Breña, La Victoria, Rímac y San Luis</t>
  </si>
  <si>
    <t>Zona</t>
  </si>
  <si>
    <t>Centro</t>
  </si>
  <si>
    <t>Cercado de Lima</t>
  </si>
  <si>
    <t>Local</t>
  </si>
  <si>
    <t>Terreno</t>
  </si>
  <si>
    <t>Precio de Venta (US$/m2)</t>
  </si>
  <si>
    <t>Precio de Renta (US$/m2)</t>
  </si>
  <si>
    <t>850-900</t>
  </si>
  <si>
    <t>500-600</t>
  </si>
  <si>
    <t>Norte 1</t>
  </si>
  <si>
    <t>800-1,600</t>
  </si>
  <si>
    <t>900-1,690</t>
  </si>
  <si>
    <t>Norte 2</t>
  </si>
  <si>
    <t>325-980</t>
  </si>
  <si>
    <t>165-450</t>
  </si>
  <si>
    <t>230-640</t>
  </si>
  <si>
    <t>200-560</t>
  </si>
  <si>
    <t>Este 1</t>
  </si>
  <si>
    <t>520-1,088</t>
  </si>
  <si>
    <t>416-850</t>
  </si>
  <si>
    <t>1,000-1,700</t>
  </si>
  <si>
    <t>650-1,100</t>
  </si>
  <si>
    <t>Trapiche</t>
  </si>
  <si>
    <t>Naranjal</t>
  </si>
  <si>
    <t>Lugar</t>
  </si>
  <si>
    <t>Este 2</t>
  </si>
  <si>
    <t>Cajamarquilla</t>
  </si>
  <si>
    <t>Huachipa</t>
  </si>
  <si>
    <t>Campoy</t>
  </si>
  <si>
    <t>200-580</t>
  </si>
  <si>
    <t>450-750</t>
  </si>
  <si>
    <t>600-900</t>
  </si>
  <si>
    <t>110-450</t>
  </si>
  <si>
    <t>200-500</t>
  </si>
  <si>
    <t>300-600</t>
  </si>
  <si>
    <t>Av. Argentina</t>
  </si>
  <si>
    <t>Av. Nicolás Ayllón</t>
  </si>
  <si>
    <t>Av. Gambetta</t>
  </si>
  <si>
    <t>Oeste</t>
  </si>
  <si>
    <t>6.00-10.00</t>
  </si>
  <si>
    <t>4.00-9.09</t>
  </si>
  <si>
    <t>3.00-6.00</t>
  </si>
  <si>
    <t>450-650</t>
  </si>
  <si>
    <t>350-500</t>
  </si>
  <si>
    <t>400-700</t>
  </si>
  <si>
    <t>280-300</t>
  </si>
  <si>
    <t>350-600</t>
  </si>
  <si>
    <t>150-320</t>
  </si>
  <si>
    <t>Sur 1</t>
  </si>
  <si>
    <t>500-1,200</t>
  </si>
  <si>
    <t>400-600</t>
  </si>
  <si>
    <t>150-550</t>
  </si>
  <si>
    <t>580-650</t>
  </si>
  <si>
    <t>120-380</t>
  </si>
  <si>
    <t>150-350</t>
  </si>
  <si>
    <t>3.77-7.40</t>
  </si>
  <si>
    <t>2.00-6.00</t>
  </si>
  <si>
    <t>4.00-7.00</t>
  </si>
  <si>
    <t>2.23-2.23</t>
  </si>
  <si>
    <t>2.00-3.00</t>
  </si>
  <si>
    <t>1.50-2.50</t>
  </si>
  <si>
    <t>Sur 2</t>
  </si>
  <si>
    <t>Chilca</t>
  </si>
  <si>
    <t>120-250</t>
  </si>
  <si>
    <t>50-200</t>
  </si>
  <si>
    <t>2.00-2.00</t>
  </si>
  <si>
    <t>0.60-1.82</t>
  </si>
  <si>
    <t>Precio de Venta (S/./m2)</t>
  </si>
  <si>
    <t>E</t>
  </si>
  <si>
    <t>Opciones</t>
  </si>
  <si>
    <t>Dirección</t>
  </si>
  <si>
    <t>Área Disponible (m2)</t>
  </si>
  <si>
    <t>Opción 1</t>
  </si>
  <si>
    <t>Opción 2</t>
  </si>
  <si>
    <t>Opción 3</t>
  </si>
  <si>
    <t>Opción 4</t>
  </si>
  <si>
    <t>Gloria</t>
  </si>
  <si>
    <t>Otros</t>
  </si>
  <si>
    <t>Marcas</t>
  </si>
  <si>
    <t>Demanda del Proyecto (Litros)</t>
  </si>
  <si>
    <t>Stock de Seguridad</t>
  </si>
  <si>
    <t>Anual</t>
  </si>
  <si>
    <t>Mensual</t>
  </si>
  <si>
    <t>Diaria</t>
  </si>
  <si>
    <t>Botellas (300 ml)</t>
  </si>
  <si>
    <t>Demanda de la Planta</t>
  </si>
  <si>
    <t>Capacidad de la Planta (Unid./Día)</t>
  </si>
  <si>
    <t>Capacidad de Línea de Producción (Unid./Batch)</t>
  </si>
  <si>
    <t>Utilización de Capacidad Anual</t>
  </si>
  <si>
    <t>Dilución Pulpa: Agua</t>
  </si>
  <si>
    <t>Ph</t>
  </si>
  <si>
    <t>̊Brix</t>
  </si>
  <si>
    <t>12.5-13</t>
  </si>
  <si>
    <t>Operación</t>
  </si>
  <si>
    <t>Factor de Eficiencia</t>
  </si>
  <si>
    <t>Factor de Utilización</t>
  </si>
  <si>
    <t>Botellas</t>
  </si>
  <si>
    <t>Botellas / año (300 ml.)</t>
  </si>
  <si>
    <t>Botellas / mes (300 ml.)</t>
  </si>
  <si>
    <t>Botellas / día (300 ml.)</t>
  </si>
  <si>
    <t>SS a Producir</t>
  </si>
  <si>
    <t>1 : 2.5-3.5</t>
  </si>
  <si>
    <t>1 : 4.0-5.0</t>
  </si>
  <si>
    <t>Máquina</t>
  </si>
  <si>
    <t>Dimensiones</t>
  </si>
  <si>
    <t>Capacidad Máxima</t>
  </si>
  <si>
    <t>Equipo de Planta Requerido</t>
  </si>
  <si>
    <t>Refractómetro</t>
  </si>
  <si>
    <t>Termómetro</t>
  </si>
  <si>
    <t>Potenciómetro</t>
  </si>
  <si>
    <t>Cronómetro</t>
  </si>
  <si>
    <t>Calculadora</t>
  </si>
  <si>
    <t>Equipo</t>
  </si>
  <si>
    <t>Especificaciones</t>
  </si>
  <si>
    <t>Laptops</t>
  </si>
  <si>
    <t>Impresora</t>
  </si>
  <si>
    <t>Elemento</t>
  </si>
  <si>
    <t>Área</t>
  </si>
  <si>
    <t>Escritorio</t>
  </si>
  <si>
    <t>Áreas de Planta de Producción</t>
  </si>
  <si>
    <t>Almacén de Materia Prima</t>
  </si>
  <si>
    <t>Almacén de Productos Terminados</t>
  </si>
  <si>
    <t>Vestuario y baños del personal administrativo</t>
  </si>
  <si>
    <t>Zona de Recepción y Despacho</t>
  </si>
  <si>
    <t>Zona de etiquetado y empaquetado</t>
  </si>
  <si>
    <t>Vestuario y baños del personal de planta</t>
  </si>
  <si>
    <t>Zona de Control de Calidad</t>
  </si>
  <si>
    <t>Oficinas administrativas</t>
  </si>
  <si>
    <t>Comedor</t>
  </si>
  <si>
    <t>Código de tipo relacional</t>
  </si>
  <si>
    <t>I</t>
  </si>
  <si>
    <t>O</t>
  </si>
  <si>
    <t>U</t>
  </si>
  <si>
    <t>X</t>
  </si>
  <si>
    <t>Absolutamente necesaria</t>
  </si>
  <si>
    <t>Especialmente importante</t>
  </si>
  <si>
    <t>Importante</t>
  </si>
  <si>
    <t>Ordinaria, no vital</t>
  </si>
  <si>
    <t>Última prioridad, no importante</t>
  </si>
  <si>
    <t>Indeseable</t>
  </si>
  <si>
    <t>Importancia de la relación</t>
  </si>
  <si>
    <t>Estacionamiento</t>
  </si>
  <si>
    <t>Ilustración por tipo de letra</t>
  </si>
  <si>
    <t>Áreas</t>
  </si>
  <si>
    <t>Tipo de Relación</t>
  </si>
  <si>
    <t>Ratio de Cercanía Total (RCT)</t>
  </si>
  <si>
    <t>Orden</t>
  </si>
  <si>
    <t>Motivo</t>
  </si>
  <si>
    <t>1 ̊</t>
  </si>
  <si>
    <t>2 ̊</t>
  </si>
  <si>
    <t>3 ̊</t>
  </si>
  <si>
    <t>4 ̊</t>
  </si>
  <si>
    <t>5 ̊</t>
  </si>
  <si>
    <t>6 ̊</t>
  </si>
  <si>
    <t>7 ̊</t>
  </si>
  <si>
    <t>8 ̊</t>
  </si>
  <si>
    <t>9 ̊</t>
  </si>
  <si>
    <t>10 ̊</t>
  </si>
  <si>
    <t>11 ̊</t>
  </si>
  <si>
    <t>12 ̊</t>
  </si>
  <si>
    <t>13 ̊</t>
  </si>
  <si>
    <t>14 ̊</t>
  </si>
  <si>
    <t>Mayor RCT</t>
  </si>
  <si>
    <t>2A</t>
  </si>
  <si>
    <t>VPP</t>
  </si>
  <si>
    <t>2,4,6,8</t>
  </si>
  <si>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,3,5,7</t>
    </r>
  </si>
  <si>
    <t>2U</t>
  </si>
  <si>
    <t>1X</t>
  </si>
  <si>
    <r>
      <t>1,2,3,4,5,</t>
    </r>
    <r>
      <rPr>
        <b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>,7,8,9,10</t>
    </r>
  </si>
  <si>
    <t>1U</t>
  </si>
  <si>
    <t>6U</t>
  </si>
  <si>
    <t>3,5,9,11</t>
  </si>
  <si>
    <t>1,2,6,7,8,12</t>
  </si>
  <si>
    <r>
      <rPr>
        <b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,10</t>
    </r>
  </si>
  <si>
    <t>12U</t>
  </si>
  <si>
    <t>3O</t>
  </si>
  <si>
    <t>3,7</t>
  </si>
  <si>
    <t>11,13</t>
  </si>
  <si>
    <t>4,6</t>
  </si>
  <si>
    <t>1,2,8,9,10,14</t>
  </si>
  <si>
    <t>4U</t>
  </si>
  <si>
    <t>11,15</t>
  </si>
  <si>
    <t>1,2,8,9,10,12,13,14</t>
  </si>
  <si>
    <r>
      <rPr>
        <b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>,7</t>
    </r>
  </si>
  <si>
    <t>4O</t>
  </si>
  <si>
    <t>5O</t>
  </si>
  <si>
    <t>3U</t>
  </si>
  <si>
    <t>2,4,13</t>
  </si>
  <si>
    <t>1,3,5,12,14</t>
  </si>
  <si>
    <t>6,8,9,10,16</t>
  </si>
  <si>
    <r>
      <rPr>
        <b/>
        <sz val="10"/>
        <color theme="1"/>
        <rFont val="Arial"/>
        <family val="2"/>
      </rPr>
      <t>11</t>
    </r>
    <r>
      <rPr>
        <sz val="10"/>
        <color theme="1"/>
        <rFont val="Arial"/>
        <family val="2"/>
      </rPr>
      <t>,15</t>
    </r>
  </si>
  <si>
    <t>4I</t>
  </si>
  <si>
    <t>6I</t>
  </si>
  <si>
    <t>2I</t>
  </si>
  <si>
    <t>12X</t>
  </si>
  <si>
    <t>5I</t>
  </si>
  <si>
    <t>3I</t>
  </si>
  <si>
    <t>2,10</t>
  </si>
  <si>
    <t>1,3,6,9,11,14</t>
  </si>
  <si>
    <t>8,16</t>
  </si>
  <si>
    <r>
      <rPr>
        <b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,5,7,12,13,15</t>
    </r>
  </si>
  <si>
    <t>3E</t>
  </si>
  <si>
    <t>5E</t>
  </si>
  <si>
    <t>6E</t>
  </si>
  <si>
    <t>4E</t>
  </si>
  <si>
    <t>10I</t>
  </si>
  <si>
    <t>14,15</t>
  </si>
  <si>
    <t>9,12,17</t>
  </si>
  <si>
    <t>1,8,11,13,16</t>
  </si>
  <si>
    <t>10,18</t>
  </si>
  <si>
    <t>1O</t>
  </si>
  <si>
    <t>7I</t>
  </si>
  <si>
    <t>3,8</t>
  </si>
  <si>
    <t>11,13,16</t>
  </si>
  <si>
    <t>5,6</t>
  </si>
  <si>
    <t>4,7</t>
  </si>
  <si>
    <t>1I</t>
  </si>
  <si>
    <t>5U</t>
  </si>
  <si>
    <t>7E</t>
  </si>
  <si>
    <t>8I</t>
  </si>
  <si>
    <t>12I</t>
  </si>
  <si>
    <t>5,9</t>
  </si>
  <si>
    <t>1,2,3,11,12,13,15,17,19</t>
  </si>
  <si>
    <t>10,14,16,20</t>
  </si>
  <si>
    <t>4,8</t>
  </si>
  <si>
    <t>2O</t>
  </si>
  <si>
    <t>7O</t>
  </si>
  <si>
    <t>8O</t>
  </si>
  <si>
    <t>9O</t>
  </si>
  <si>
    <t>10U</t>
  </si>
  <si>
    <t>5,9,10</t>
  </si>
  <si>
    <t>7,15,17,19</t>
  </si>
  <si>
    <t>6,8,16,18,21</t>
  </si>
  <si>
    <t>1,2,3,4,20,22</t>
  </si>
  <si>
    <t>7U</t>
  </si>
  <si>
    <t>8U</t>
  </si>
  <si>
    <t>9U</t>
  </si>
  <si>
    <t>11U</t>
  </si>
  <si>
    <t>1,21</t>
  </si>
  <si>
    <t>2,22</t>
  </si>
  <si>
    <t>3,4,5,6,7,8,9,10,11,12</t>
  </si>
  <si>
    <t>13,14,15,16,17,18,19,20</t>
  </si>
  <si>
    <t>10O</t>
  </si>
  <si>
    <t>11O</t>
  </si>
  <si>
    <t>12O</t>
  </si>
  <si>
    <t>14O</t>
  </si>
  <si>
    <t>11,22</t>
  </si>
  <si>
    <t>2,5,7,9,12,17,19,24</t>
  </si>
  <si>
    <t>1,4,8,15,16,18,20</t>
  </si>
  <si>
    <t>3,10,13,14,23</t>
  </si>
  <si>
    <t>Control de Calidad</t>
  </si>
  <si>
    <t>Recepción y Despacho</t>
  </si>
  <si>
    <t>Almacén de MP</t>
  </si>
  <si>
    <t>Vestuario y baños de personal administrativo</t>
  </si>
  <si>
    <t>Vestuario y baños de personal de planta</t>
  </si>
  <si>
    <t>Almacén de PT</t>
  </si>
  <si>
    <t>N</t>
  </si>
  <si>
    <t>SS</t>
  </si>
  <si>
    <t>SG</t>
  </si>
  <si>
    <t>K</t>
  </si>
  <si>
    <t>SE</t>
  </si>
  <si>
    <t>Cantidad de elementos requeridos</t>
  </si>
  <si>
    <t>Número de lados de operación</t>
  </si>
  <si>
    <t>Superficie estática : SS = Largo x Ancho</t>
  </si>
  <si>
    <t>Superficie gravitacional : SG = N x SS</t>
  </si>
  <si>
    <t>Coeficiente de superficie evolutiva = 0.5 x (hm/hf)</t>
  </si>
  <si>
    <t xml:space="preserve">Superficie evolutiva : SE = k (SS + SG) </t>
  </si>
  <si>
    <t>ST</t>
  </si>
  <si>
    <t>Superficie Total : SS + SG + SE</t>
  </si>
  <si>
    <t>Máquinas y Equipos</t>
  </si>
  <si>
    <t>Largo (L)</t>
  </si>
  <si>
    <t>Ancho (A)</t>
  </si>
  <si>
    <t>Altura (h)</t>
  </si>
  <si>
    <t>Jabas de plástico</t>
  </si>
  <si>
    <t>Lavadora de frutas</t>
  </si>
  <si>
    <t>Balanza de plataforma</t>
  </si>
  <si>
    <t>Mesa de trabajo de acero</t>
  </si>
  <si>
    <t>Lavadora de frutas por aspersión e inmersión</t>
  </si>
  <si>
    <t>Despulpadora de frutas</t>
  </si>
  <si>
    <t>(Manzana)</t>
  </si>
  <si>
    <t>1  ̊ Pesado</t>
  </si>
  <si>
    <t>2  ̊ Seleccionado</t>
  </si>
  <si>
    <t>3  ̊ Lavado</t>
  </si>
  <si>
    <t>4  ̊ Escaldado</t>
  </si>
  <si>
    <t>(Pulpa de Manzana)</t>
  </si>
  <si>
    <t>(agua)</t>
  </si>
  <si>
    <t>(cloro)</t>
  </si>
  <si>
    <t>(Sábila)</t>
  </si>
  <si>
    <t>4  ̊ Acondicionado</t>
  </si>
  <si>
    <t>(Pulpa de Sábila)</t>
  </si>
  <si>
    <t>(Pulpa de manzana)</t>
  </si>
  <si>
    <t>(Pulpa de sábila)</t>
  </si>
  <si>
    <t>sorbato de potasio</t>
  </si>
  <si>
    <t>CMC</t>
  </si>
  <si>
    <t>(Néctar de aloe vera sabor a manzana)</t>
  </si>
  <si>
    <t>(Botellas de 300 ml de Néctar de aloe vera sabor a manzana)</t>
  </si>
  <si>
    <t>Néctar de Aloe Vera sabor a Durazno</t>
  </si>
  <si>
    <t>Néctar de Aloe Vera sabor a Manzana</t>
  </si>
  <si>
    <t>(Pulpa de Durazno)</t>
  </si>
  <si>
    <t>(Pulpa de durazno)</t>
  </si>
  <si>
    <t>(Néctar de aloe vera sabor a durazno)</t>
  </si>
  <si>
    <t>(Botellas de 300 ml de Néctar de aloe vera sabor a durazno)</t>
  </si>
  <si>
    <t>(Durazno)</t>
  </si>
  <si>
    <t>Néctar de Aloe Vera sabor a Piña</t>
  </si>
  <si>
    <t>(Piña)</t>
  </si>
  <si>
    <t>5  ̊ Escaldado</t>
  </si>
  <si>
    <t>8  ̊ Pesado</t>
  </si>
  <si>
    <t>9  ̊ Seleccionado</t>
  </si>
  <si>
    <t>10  ̊ Lavado</t>
  </si>
  <si>
    <t>11  ̊ Acondicionado</t>
  </si>
  <si>
    <t>(Pulpa de piña)</t>
  </si>
  <si>
    <t>(Néctar de aloe vera sabor a piña)</t>
  </si>
  <si>
    <t>(Botellas de 300 ml de Néctar de aloe vera sabor a piña)</t>
  </si>
  <si>
    <t>Néctar de Aloe Vera sabor a Mango</t>
  </si>
  <si>
    <t>(Mango)</t>
  </si>
  <si>
    <t>(Pulpa de mango)</t>
  </si>
  <si>
    <t>(Néctar de aloe vera sabor a mango)</t>
  </si>
  <si>
    <t>(Botellas de 300 ml de Néctar de aloe vera sabor a mango)</t>
  </si>
  <si>
    <t>12  ̊ Mezclado</t>
  </si>
  <si>
    <t>Despulpador de frutas</t>
  </si>
  <si>
    <t>Envasadora</t>
  </si>
  <si>
    <t>Balanza de Plataforma</t>
  </si>
  <si>
    <t>Balanza gramera</t>
  </si>
  <si>
    <t>Tablas de picar</t>
  </si>
  <si>
    <t>Cuchillo</t>
  </si>
  <si>
    <t>Maquinaria requerida</t>
  </si>
  <si>
    <t>Balde comercial</t>
  </si>
  <si>
    <t>Grupo electrógeno</t>
  </si>
  <si>
    <t>Equipo de Oficina Requerido</t>
  </si>
  <si>
    <t>Computadoras de escritorio</t>
  </si>
  <si>
    <t>Muebles y enseres requeridos</t>
  </si>
  <si>
    <t>Zona de elaboración de néctar de aloe vera sabor a durazno</t>
  </si>
  <si>
    <t>Zona de elaboración de néctar de aloe vera sabor a manzana</t>
  </si>
  <si>
    <t>Zona de elaboración de néctar de aloe vera sabor a piña</t>
  </si>
  <si>
    <t>Zona de elaboración de néctar de aloe vera sabor a mango</t>
  </si>
  <si>
    <t>Lockers</t>
  </si>
  <si>
    <t>Banca para vestidores</t>
  </si>
  <si>
    <t>Oficinas Administrativas</t>
  </si>
  <si>
    <t>Estante</t>
  </si>
  <si>
    <t>Mesa de reuniones</t>
  </si>
  <si>
    <t>Silla de oficina</t>
  </si>
  <si>
    <t>Silla de visitas</t>
  </si>
  <si>
    <t>Juego de comedor</t>
  </si>
  <si>
    <t>Juego de cocina</t>
  </si>
  <si>
    <t>Zona de control de calidad</t>
  </si>
  <si>
    <t>Néctar de Aloe vera sabor a durazno</t>
  </si>
  <si>
    <t>Néctar de Aloe vera sabor a manzana</t>
  </si>
  <si>
    <t>Néctar de Aloe vera sabor a piña</t>
  </si>
  <si>
    <t>Néctar de Aloe vera sabor a mango</t>
  </si>
  <si>
    <t>Alto: 1.30 m</t>
  </si>
  <si>
    <t>http://www.comek.com.co/productos/equipos-para-frutas/despulpadora-ref-200-detail.html</t>
  </si>
  <si>
    <t>http://www.comek.com.co/productos/equipos-para-frutas/marmita-20-gal-detail.html</t>
  </si>
  <si>
    <t>Marmita 20 gal</t>
  </si>
  <si>
    <t>Lavadora por aspersión e inmersión</t>
  </si>
  <si>
    <t>https://logismarketmx.cdnwm.com/ip/maquinaria-jersa-lavadoras-ficha-tecnica-lavadora-tipo-inmersion-834717.pdf</t>
  </si>
  <si>
    <t>http://www.astimec.net/llenadora-de-botellas.html</t>
  </si>
  <si>
    <t>Largo: 1.5 m</t>
  </si>
  <si>
    <t>Ancho: 1 m</t>
  </si>
  <si>
    <t>Alto: 1.5 m</t>
  </si>
  <si>
    <t>JERSA</t>
  </si>
  <si>
    <t>COMEK</t>
  </si>
  <si>
    <t>Precio unitario</t>
  </si>
  <si>
    <t>Marmita 20 galones</t>
  </si>
  <si>
    <t>Largo: 1.10 m</t>
  </si>
  <si>
    <t>Ancho: 0.9 m</t>
  </si>
  <si>
    <t>Astimec</t>
  </si>
  <si>
    <t>Largo: 1 m</t>
  </si>
  <si>
    <t>Alto: 2 m</t>
  </si>
  <si>
    <t>Ancho: 2.40 m</t>
  </si>
  <si>
    <t>http://www.tipsac.pe/ph-metro/medidor-de-ph-para-laboratorio-detlle</t>
  </si>
  <si>
    <t>http://articulo.mercadolibre.com.pe/MPE-419170960-balanza-digital-gramera-electronica-cocina-5kg-pantalla-luz-_JM</t>
  </si>
  <si>
    <t>Capacidad máxima para 150 kilogramos</t>
  </si>
  <si>
    <t>Modelo SF - 400 A</t>
  </si>
  <si>
    <t>Capacidad máxima para 5 kilogramos</t>
  </si>
  <si>
    <t>Posee un rango de 0 a 32% Brix</t>
  </si>
  <si>
    <t>Hanna Instruments</t>
  </si>
  <si>
    <t>Medidor digital con un rango de -2,000 a 20,000 PH</t>
  </si>
  <si>
    <t>Casio</t>
  </si>
  <si>
    <t>Perkins</t>
  </si>
  <si>
    <t>REY</t>
  </si>
  <si>
    <t>Tramontina</t>
  </si>
  <si>
    <t>Balde de 23.1 litros para transportar líquidos</t>
  </si>
  <si>
    <t>Jabas para transporte de frutas y sábila</t>
  </si>
  <si>
    <t>Tablas de apoyo para corte de frutas</t>
  </si>
  <si>
    <t>Capacidad de 25 kW</t>
  </si>
  <si>
    <t xml:space="preserve">Calculadora científica </t>
  </si>
  <si>
    <t>HP</t>
  </si>
  <si>
    <t>Epson</t>
  </si>
  <si>
    <t>Intelbras</t>
  </si>
  <si>
    <t>Pantalla 19.5’’ procesador Intel Core i3 Windows 10 Home memoria de 4 GB disco duro de 1TB</t>
  </si>
  <si>
    <t>Pantalla 15.6’’ procesador Intel Core i3-500 5U Windows 10 memoria 4 GB disco duro de 500 GB</t>
  </si>
  <si>
    <t>Expression XP241 multifuncional inalámbrica (Imprime, copia y escanea)</t>
  </si>
  <si>
    <t>Central telefónica Intelbras 2 líneas / 4 anexos</t>
  </si>
  <si>
    <t>Identificador de llamadas incorporado</t>
  </si>
  <si>
    <t>Central telefónica</t>
  </si>
  <si>
    <t>Anexos</t>
  </si>
  <si>
    <t>Baxtran</t>
  </si>
  <si>
    <t>Zuzi</t>
  </si>
  <si>
    <t>BBQ Thermometer</t>
  </si>
  <si>
    <r>
      <t xml:space="preserve">Posee un rango de -50  </t>
    </r>
    <r>
      <rPr>
        <sz val="10"/>
        <color theme="1"/>
        <rFont val="Calibri"/>
        <family val="2"/>
      </rPr>
      <t>̊</t>
    </r>
    <r>
      <rPr>
        <sz val="10"/>
        <color theme="1"/>
        <rFont val="Arial"/>
        <family val="2"/>
      </rPr>
      <t>C a 300  ̊C</t>
    </r>
  </si>
  <si>
    <t>Cronómetro para tomar tiempos en el proceso</t>
  </si>
  <si>
    <t>http://articulo.mercadolibre.com.mx/MLM-556348359-termometro-digital-de-sonda-para-cocina-alimentos-liquidos-_JM</t>
  </si>
  <si>
    <t>https://www.balanzasdigitales.com/plataformas/124-balanza-plataforma-multiusos-tkm150m.html</t>
  </si>
  <si>
    <t>http://www.labotienda.com/es/productos-laboratorio/refractometro-atc-0-32-brix/</t>
  </si>
  <si>
    <t>Av. María Parado de Bellido, Comas</t>
  </si>
  <si>
    <t>Calle Nevado Antaccasa, Chorrillos</t>
  </si>
  <si>
    <t>Av. Nicolas de Pierola cuadra 302, Ate</t>
  </si>
  <si>
    <t>Urb. Barrios Altos Jr. Conchucos 489, Cercado de Lima</t>
  </si>
  <si>
    <t>Precio x m2 (S/.)</t>
  </si>
  <si>
    <t>Venta de terreno industrial cercado</t>
  </si>
  <si>
    <t>Venta de terreno industrial cercado con paredes altas de 7 m de altura y con portón de fierro de 11 m de largo</t>
  </si>
  <si>
    <t>Venta de terreno industrial cercado con material noble y con puertas de metal</t>
  </si>
  <si>
    <t>Venta de terreno industrial para comercio, industria o condominios residencial</t>
  </si>
  <si>
    <t>Proximidad a los proveedores</t>
  </si>
  <si>
    <t>Indice de progreso social</t>
  </si>
  <si>
    <t>Proximidad a los clientes potenciales</t>
  </si>
  <si>
    <t>Competitividad regional</t>
  </si>
  <si>
    <t>FA</t>
  </si>
  <si>
    <t>FB</t>
  </si>
  <si>
    <t>FC</t>
  </si>
  <si>
    <t>FD</t>
  </si>
  <si>
    <t>Obtuvó el puntaje más alto con 0.7</t>
  </si>
  <si>
    <t>Obtuvó el 2do lugar (buen puntaje en evolución sectorial)</t>
  </si>
  <si>
    <t>Obtuvó el 3er lugar (buen puntaje en evolución sectorial)</t>
  </si>
  <si>
    <t>Obtuvó el 4to lugar en competitividad regional</t>
  </si>
  <si>
    <t>No figuró entre las 8 primeras regiones</t>
  </si>
  <si>
    <t>El público objetivo se encuentra ubicado en Lima</t>
  </si>
  <si>
    <t>Se encuentra ubicada a 15 km de Lima</t>
  </si>
  <si>
    <t>Se encuentra ubicada a 300 km de Lima</t>
  </si>
  <si>
    <t>Se encuentra ubicada a 1003 km de Lima</t>
  </si>
  <si>
    <t>Se encuentra ubicada a 1146 km de Lima</t>
  </si>
  <si>
    <t>Obtuvo el puntaje más alto con un IPS de 65.37</t>
  </si>
  <si>
    <t>Obtuvó el 2do puntaje más alto con un IPS de 65.01</t>
  </si>
  <si>
    <t>Obtuvó el 3er puntaje más alto con un IPS de 64.22</t>
  </si>
  <si>
    <t>Obtuvó el 4to puntaje más alto con un IPS de 61.86</t>
  </si>
  <si>
    <t>No figuró entre las 6 primeras regiones</t>
  </si>
  <si>
    <t>Camposol tiene una sede en el departamento de Arequipa</t>
  </si>
  <si>
    <t>Todos nuestros proveedores se encuentran ubicados en Lima</t>
  </si>
  <si>
    <t>Seguridad Ciudadana</t>
  </si>
  <si>
    <t>Cercanía a los proveedores</t>
  </si>
  <si>
    <t>Mercado objetivo</t>
  </si>
  <si>
    <t>Costo del metro cuadrado de viviendas o edificios</t>
  </si>
  <si>
    <t>Costo del metro cuadrado en zonas industriales</t>
  </si>
  <si>
    <t>FE</t>
  </si>
  <si>
    <t>Seguridad ciudadana</t>
  </si>
  <si>
    <t>Precio promedio (venta de terreno): 615 US$/m2</t>
  </si>
  <si>
    <t>Precio promedio (venta de terreno): 380 US$/m2</t>
  </si>
  <si>
    <t>Precio promedio (venta de terreno): 550 US$/m2</t>
  </si>
  <si>
    <t>Precio promedio (venta de terreno): 633 US$/m2</t>
  </si>
  <si>
    <t>Precio de venta: 2,140 S/./m2</t>
  </si>
  <si>
    <t>Precio de venta: 3,770 S/./m2</t>
  </si>
  <si>
    <t>Precio de venta: 4,210 S/./m2</t>
  </si>
  <si>
    <t>Precio de venta: 3,130 S/./m2</t>
  </si>
  <si>
    <t># de Denuncias: 7,280</t>
  </si>
  <si>
    <t># de Denuncias: 7,587</t>
  </si>
  <si>
    <t># de Denuncias: 5,775</t>
  </si>
  <si>
    <t># de Denuncias: 7,147</t>
  </si>
  <si>
    <t>Se encuentra a 21 km de Pueblo Libre (distrito más cercano)</t>
  </si>
  <si>
    <t>Limita con Santiago de Surco (distrito más cercano)</t>
  </si>
  <si>
    <t>Limita con La Molina y San Borja (distritos más cercanos)</t>
  </si>
  <si>
    <t>Limita con San Miguel y Pueblo Libre (distritos más cercanos)</t>
  </si>
  <si>
    <t>Tiene cercanía a 2 proveedores (Santa Anita y Ate)</t>
  </si>
  <si>
    <t>Tiene cercanía a 2 proveedores (Chorrillos y Surco)</t>
  </si>
  <si>
    <t>No tiene proveedores cercanos</t>
  </si>
  <si>
    <t>Piña</t>
  </si>
  <si>
    <t>Cuchillo para cortar frutas y sábila</t>
  </si>
  <si>
    <t>Balde Comercial</t>
  </si>
  <si>
    <t>Operarios</t>
  </si>
  <si>
    <t>hm</t>
  </si>
  <si>
    <t>hf</t>
  </si>
  <si>
    <t>elementos móviles</t>
  </si>
  <si>
    <t>elementos fijos</t>
  </si>
  <si>
    <t>S total de un elemento</t>
  </si>
  <si>
    <t>S total</t>
  </si>
  <si>
    <t>Superficie total (m2)</t>
  </si>
  <si>
    <t>k</t>
  </si>
  <si>
    <t>coeficiente de superficie evolutiva</t>
  </si>
  <si>
    <t>I = Proporción de personas en LM de los NSE A, B y C que consumen néctares frecuentemente</t>
  </si>
  <si>
    <t>J = Proporción de personas en LM de los NSE A, B y C que consumen néctares frecuentemente</t>
  </si>
  <si>
    <t>L = N° de Personas que consumen néctares en LM de NSE A, B y C de las zonas 6 y 7</t>
  </si>
  <si>
    <t>M = Consumo per cápita anual de néctar en el Perú</t>
  </si>
  <si>
    <r>
      <t>R</t>
    </r>
    <r>
      <rPr>
        <sz val="10"/>
        <color theme="0"/>
        <rFont val="Arial"/>
        <family val="2"/>
      </rPr>
      <t>²</t>
    </r>
  </si>
  <si>
    <t>Ambiente</t>
  </si>
  <si>
    <t>Largo (m)</t>
  </si>
  <si>
    <t>Ancho (m)</t>
  </si>
  <si>
    <t>Área asignada (m2)</t>
  </si>
  <si>
    <t>Vestuarios y baños de personal de planta</t>
  </si>
  <si>
    <t>Vestuarios y baños de personal administrativo</t>
  </si>
  <si>
    <t>Zona de recepción y despacho</t>
  </si>
  <si>
    <t>Etiquetadora</t>
  </si>
  <si>
    <t>http://www.jmcubillas.com/maquinariaenologica/etiquetadoras-manuales.html</t>
  </si>
  <si>
    <t>Flexlabeller</t>
  </si>
  <si>
    <t>Alto: 0.255 m</t>
  </si>
  <si>
    <t>Ancho: 0.360 m</t>
  </si>
  <si>
    <t>Largo: 0.500 m</t>
  </si>
  <si>
    <t>ASPECTO AMBIENTAL</t>
  </si>
  <si>
    <t>IMPACTO AMBIENTAL</t>
  </si>
  <si>
    <t>Evaluación del Riesgo Ambiental</t>
  </si>
  <si>
    <t>AL: Alcance</t>
  </si>
  <si>
    <t>IS: Severidad</t>
  </si>
  <si>
    <t>IF: Frecuencia</t>
  </si>
  <si>
    <t>PROCESOS</t>
  </si>
  <si>
    <t>ENTRADAS</t>
  </si>
  <si>
    <t>SALIDAS</t>
  </si>
  <si>
    <t>Recepción</t>
  </si>
  <si>
    <t>Selección</t>
  </si>
  <si>
    <t>Lavado</t>
  </si>
  <si>
    <t>Acondicionado</t>
  </si>
  <si>
    <t>Escaldado</t>
  </si>
  <si>
    <t>Despulpado</t>
  </si>
  <si>
    <t>Mezclado</t>
  </si>
  <si>
    <t>Pasteurizado</t>
  </si>
  <si>
    <t>Envasado</t>
  </si>
  <si>
    <t>Enfriado</t>
  </si>
  <si>
    <t>Etiquetado</t>
  </si>
  <si>
    <t>Almacenado</t>
  </si>
  <si>
    <t>Materia prima (durazno, manzana, piña, mango, sábila, envases, etiquetas)</t>
  </si>
  <si>
    <t>Durazno, manzana, piña, mango, sábila, agua, hipoclorito de sodio, energía</t>
  </si>
  <si>
    <t>Energía, durazno, manzana, piña, mango</t>
  </si>
  <si>
    <t>Cajas</t>
  </si>
  <si>
    <t>Materia prima seleccionada y no seleccionada</t>
  </si>
  <si>
    <t>Generación de residuos sólidos</t>
  </si>
  <si>
    <t>Consumo de recursos (agua)</t>
  </si>
  <si>
    <t>Durazno, manzana, piña, mango y sábila desinfectada, agua sucia, hipoclorito de sodio</t>
  </si>
  <si>
    <t>Envases, tapas, energía, néctar de sábila sabor a durazno, manzana, piña y mango</t>
  </si>
  <si>
    <t>Agua, botellas de sábila sabor a durazno, manzana, piña y mango</t>
  </si>
  <si>
    <t>Etiquetas, energía, botellas de sábila sabor a durazno, manzana, piña y mango</t>
  </si>
  <si>
    <t>Energía, pulpa de durazno, manzana, piña y mango</t>
  </si>
  <si>
    <t>Durazno, manzana, piña y mango despulpados</t>
  </si>
  <si>
    <t>Néctar de sábila sabor a durazno, manzana, piña y mango</t>
  </si>
  <si>
    <t>Generación de efluentes (mezcla)</t>
  </si>
  <si>
    <t>Emanación de calor, néctar de sábila sabor a durazno, manzana, piña y mango</t>
  </si>
  <si>
    <t>Derrames de néctar</t>
  </si>
  <si>
    <t>Envases de néctar de sábila sabor a durazno, manzana, piña y mango</t>
  </si>
  <si>
    <t>Generación de residuos sólidos (mermas de envases)</t>
  </si>
  <si>
    <t>Generación de residuos sólidos (cáscaras)</t>
  </si>
  <si>
    <t>Generación de residuos sólidos (frutas en mal estado, mermas de envase y/o etiquetas)</t>
  </si>
  <si>
    <t>Derrames de agua</t>
  </si>
  <si>
    <t>Envases etiquetados de néctar de sábila sabor a durazno, manzana, piña y mango</t>
  </si>
  <si>
    <t>Generación de residuos sólidos (mermas de etiquetas)</t>
  </si>
  <si>
    <t>Envases del néctar almacenados en cajas</t>
  </si>
  <si>
    <t>Generación de residuos sólidos (mermas de cajas)</t>
  </si>
  <si>
    <t>Contaminación del suelo</t>
  </si>
  <si>
    <t>Consumo de recursos (electricidad)</t>
  </si>
  <si>
    <t>Agotamiento de recursos (agua)</t>
  </si>
  <si>
    <t>Contaminación del agua</t>
  </si>
  <si>
    <t>Agotamiento de recursos (electricidad)</t>
  </si>
  <si>
    <t>Generación de efluentes (agua sucia)</t>
  </si>
  <si>
    <t>Derrames de la mezcla</t>
  </si>
  <si>
    <t>¿Significativo?</t>
  </si>
  <si>
    <t>NO</t>
  </si>
  <si>
    <t xml:space="preserve">Severidad </t>
  </si>
  <si>
    <t>Área de trabajo</t>
  </si>
  <si>
    <t>Rara vez</t>
  </si>
  <si>
    <t>Muy Baja</t>
  </si>
  <si>
    <t>Incidencia de impacto insignificante ,casi no visible</t>
  </si>
  <si>
    <t>Toda la Planta</t>
  </si>
  <si>
    <t>Baja</t>
  </si>
  <si>
    <t>Impacto visible con incidencia incipiente</t>
  </si>
  <si>
    <t>Áreas Vecinas</t>
  </si>
  <si>
    <t>Medio</t>
  </si>
  <si>
    <t>Presencia del  impacto sin causar efectos sensibles</t>
  </si>
  <si>
    <t>Comunidad</t>
  </si>
  <si>
    <t>Semanal</t>
  </si>
  <si>
    <t>Alto</t>
  </si>
  <si>
    <t>Regiones</t>
  </si>
  <si>
    <t>Diario</t>
  </si>
  <si>
    <t>Muy Alto</t>
  </si>
  <si>
    <t>Alcance (AL)</t>
  </si>
  <si>
    <t>Frecuencia (IF)</t>
  </si>
  <si>
    <t>Criterios de Valoración del AL, IF e IS</t>
  </si>
  <si>
    <t>IC</t>
  </si>
  <si>
    <t>Índice de Control</t>
  </si>
  <si>
    <t>Existen procedimientos no documentados, se evidencian algunas condiciones y actos inseguros. El entrenamiento del personal es mínimo se evidencian algunas condiciones y actos inseguros.</t>
  </si>
  <si>
    <t>Existen procedimientos documentados, son satisfactorios, no se aplica supervisión.  El personal directo de operaciones   ha sido entrenado, trabajan con responsabilidad.</t>
  </si>
  <si>
    <t>Criterios de Valoración del Indice de Control</t>
  </si>
  <si>
    <t xml:space="preserve">&lt; = 10 </t>
  </si>
  <si>
    <t>11 – 32</t>
  </si>
  <si>
    <t xml:space="preserve"> 33 – 59</t>
  </si>
  <si>
    <t>60 – 75</t>
  </si>
  <si>
    <t>IRA = (IC +IF+AL) * IS</t>
  </si>
  <si>
    <t>Nivel de Riesgo</t>
  </si>
  <si>
    <t>Bajo</t>
  </si>
  <si>
    <t>Moderado</t>
  </si>
  <si>
    <t>Severo</t>
  </si>
  <si>
    <t>Índice de Riesgo Ambiental</t>
  </si>
  <si>
    <t>Incidencia del Impacto con alta  precisión, causantes de efectos muy degradantes del medio   ambiente</t>
  </si>
  <si>
    <t>Incidencia del Impacto con nítida precisión , causantes de efectos sensibles en el medio ambiente</t>
  </si>
  <si>
    <t>Índice de Severidad (IS)</t>
  </si>
  <si>
    <t>No posee documentación, ni procesos reconocidos ni asociados a aspectos ambientales no hay entrenamiento, el conocimiento del trabajador es por experiencia y empírico. Permanentes  condiciones y acciones fuera inseguros</t>
  </si>
  <si>
    <t xml:space="preserve">Existen procedimientos no documentados. El entrenamiento del personal es incipiente se evidencian frecuentes condiciones y actos inseguros. </t>
  </si>
  <si>
    <t>Completamente documentado mediante procedimientos y criterios operacionales que son conocidos por todos los trabajadores., personal sensibilizado y consciente de su responsabilidad respecto a cumplimiento de sus procedimientos. Se aplica inspecciones preventivas. No se evidencian condiciones y actos inseguros.</t>
  </si>
  <si>
    <t>SÍ</t>
  </si>
  <si>
    <t>IC: Índice de control</t>
  </si>
  <si>
    <t>IRA: Índice de riesgo ambiental</t>
  </si>
  <si>
    <t>Nombre de la tarea</t>
  </si>
  <si>
    <t>Comienzo</t>
  </si>
  <si>
    <t>Fin</t>
  </si>
  <si>
    <t>Actividades Predecesoras</t>
  </si>
  <si>
    <t>Cronograma del Proyecto</t>
  </si>
  <si>
    <t>Estudios Previos</t>
  </si>
  <si>
    <t>Estudios de Pre-Factibilidad</t>
  </si>
  <si>
    <t>Constitución de la empresa</t>
  </si>
  <si>
    <t>Permisos municipales</t>
  </si>
  <si>
    <t>Trámites legales</t>
  </si>
  <si>
    <t>Definición de localización</t>
  </si>
  <si>
    <t>Búsqueda del terreno</t>
  </si>
  <si>
    <t>Adquisición del terreno</t>
  </si>
  <si>
    <t>Ejecución de los servicios de ingeniería</t>
  </si>
  <si>
    <t>Estudio de resistencia de suelos</t>
  </si>
  <si>
    <t>Estudio de impacto ambiental</t>
  </si>
  <si>
    <t>Construcción de obras civiles</t>
  </si>
  <si>
    <t>Diseño de la distribución de planta</t>
  </si>
  <si>
    <t>Contratar a la empresa constructora</t>
  </si>
  <si>
    <t>Adquisición de materiales</t>
  </si>
  <si>
    <t>Suministro de instalación de maquinarias y equipos</t>
  </si>
  <si>
    <t>Instalación de equipos y maquinarias</t>
  </si>
  <si>
    <t>Pruebas de instalación</t>
  </si>
  <si>
    <t>1.1.1</t>
  </si>
  <si>
    <t>Duración (días)</t>
  </si>
  <si>
    <t>1.2.1</t>
  </si>
  <si>
    <t>1.2.2</t>
  </si>
  <si>
    <t>1.3.1</t>
  </si>
  <si>
    <t>1.3.2</t>
  </si>
  <si>
    <t>1.4.1</t>
  </si>
  <si>
    <t>1.4.2</t>
  </si>
  <si>
    <t>1.5.1</t>
  </si>
  <si>
    <t>Financiamiento</t>
  </si>
  <si>
    <t>Selección del banco para financiar proyecto</t>
  </si>
  <si>
    <t>1.6.1</t>
  </si>
  <si>
    <t>1.6.2</t>
  </si>
  <si>
    <t>1.6.3</t>
  </si>
  <si>
    <t>1.6.4</t>
  </si>
  <si>
    <t>1.7.1</t>
  </si>
  <si>
    <t>1.7.2</t>
  </si>
  <si>
    <t>1.7.3</t>
  </si>
  <si>
    <t>Contratación de personal</t>
  </si>
  <si>
    <t>1.8.1</t>
  </si>
  <si>
    <t>1.8.2</t>
  </si>
  <si>
    <t>Contratar personal administrativo</t>
  </si>
  <si>
    <t>Contratar personal de planta</t>
  </si>
  <si>
    <t>Prueba piloto</t>
  </si>
  <si>
    <t>Puesta en marcha</t>
  </si>
  <si>
    <t>Adquisición de equipos y materiales</t>
  </si>
  <si>
    <t>Empresa Individual de Responsabilidad Limitada (E.I.R.L.)</t>
  </si>
  <si>
    <t>Tipo de empresa</t>
  </si>
  <si>
    <t>Número de socios</t>
  </si>
  <si>
    <t>Máx. 1</t>
  </si>
  <si>
    <t>Aporte en efectivo o en bienes</t>
  </si>
  <si>
    <t>Sociedad Comercial de Responsabilidad Limitada (S.R.L.)</t>
  </si>
  <si>
    <t>Mín. 2</t>
  </si>
  <si>
    <t>Máx. 20</t>
  </si>
  <si>
    <t>Órganos empresariales</t>
  </si>
  <si>
    <t>Junta General de Accionistas</t>
  </si>
  <si>
    <t>Directorio</t>
  </si>
  <si>
    <t>Gerencia</t>
  </si>
  <si>
    <t>Sociedad Anónima (S.A.)</t>
  </si>
  <si>
    <t>Dueño</t>
  </si>
  <si>
    <t>Capital</t>
  </si>
  <si>
    <t>Máx. 750</t>
  </si>
  <si>
    <t xml:space="preserve">     Aporte en efectivo o en                  bienes               Se divide en acciones</t>
  </si>
  <si>
    <t>Sub Gerencia</t>
  </si>
  <si>
    <t>Sociedad Anónima Abierta (S.A.A.)</t>
  </si>
  <si>
    <t>Mín. 750</t>
  </si>
  <si>
    <t xml:space="preserve">    Junta General de Socios                     Gerencia                 Sub Gerencia</t>
  </si>
  <si>
    <t>Aportaciones constituidas (cada una pagada en al menos un 25%)</t>
  </si>
  <si>
    <t xml:space="preserve">Acciones suscritas (cada una pagada en al menos un 25%) </t>
  </si>
  <si>
    <t>Sociedad Anónima Cerrada (S.A.C.)</t>
  </si>
  <si>
    <t>Directorio (Opcional)</t>
  </si>
  <si>
    <t>Hasta 15 UIT</t>
  </si>
  <si>
    <t>Entre 15 y 60 UIT</t>
  </si>
  <si>
    <t>Más de 60 UIT</t>
  </si>
  <si>
    <t>Tramo de Autoevalúo (UIT)</t>
  </si>
  <si>
    <t>Tramo de Autoevalúo (S/.)</t>
  </si>
  <si>
    <t>Hasta S/. 57,750</t>
  </si>
  <si>
    <t>Entre S/. 57,750 y S/. 231,000</t>
  </si>
  <si>
    <t>Más de S/. 231,000</t>
  </si>
  <si>
    <t>Alicuota</t>
  </si>
  <si>
    <t>15 Lt</t>
  </si>
  <si>
    <t>1 ml</t>
  </si>
  <si>
    <t>6  ̊ Licuado</t>
  </si>
  <si>
    <t>7  ̊ Despulpado</t>
  </si>
  <si>
    <t>Cáscaras y semillas: 22.5%</t>
  </si>
  <si>
    <t>Cáscaras y semillas:               13%</t>
  </si>
  <si>
    <t>Cáscaras y semillas: 54.5%</t>
  </si>
  <si>
    <t>Cáscaras y semillas:               23.5%</t>
  </si>
  <si>
    <t>5  ̊ Acondicionado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</si>
  <si>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</si>
  <si>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</si>
  <si>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</si>
  <si>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</si>
  <si>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</si>
  <si>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</si>
  <si>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</si>
  <si>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</si>
  <si>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</si>
  <si>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</si>
  <si>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</si>
  <si>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</si>
  <si>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Verano</t>
  </si>
  <si>
    <t>Otoño</t>
  </si>
  <si>
    <t>Invierno</t>
  </si>
  <si>
    <t>Primavera</t>
  </si>
  <si>
    <t>Mayor producción</t>
  </si>
  <si>
    <t>Menor producción</t>
  </si>
  <si>
    <t>Sin producción</t>
  </si>
  <si>
    <t>Minerales</t>
  </si>
  <si>
    <t>Calcio</t>
  </si>
  <si>
    <t>Hierro</t>
  </si>
  <si>
    <t>Yodo</t>
  </si>
  <si>
    <t>Magnesio</t>
  </si>
  <si>
    <t>Zinc</t>
  </si>
  <si>
    <t>Selenio</t>
  </si>
  <si>
    <t>Potasio</t>
  </si>
  <si>
    <t>Fósforo</t>
  </si>
  <si>
    <t>Contenido (mg)</t>
  </si>
  <si>
    <t>Cobre</t>
  </si>
  <si>
    <t>Manganeso</t>
  </si>
  <si>
    <t>Mercado mayorista de Lima</t>
  </si>
  <si>
    <t>Soluciones de Empaque S.A.C.</t>
  </si>
  <si>
    <t>Surquillo, Lima - Perú</t>
  </si>
  <si>
    <t>50 unidades</t>
  </si>
  <si>
    <t>Código</t>
  </si>
  <si>
    <t>T/38 T/O</t>
  </si>
  <si>
    <t>Jugos 300ML T/38MM</t>
  </si>
  <si>
    <t>Población del Perú</t>
  </si>
  <si>
    <t>Población de Lima Metropolitana</t>
  </si>
  <si>
    <t>Población de la zona 6 de LM</t>
  </si>
  <si>
    <t>Población de la zona 7 de LM</t>
  </si>
  <si>
    <t>INEI</t>
  </si>
  <si>
    <t>H = % Oferta dirigida a Lima</t>
  </si>
  <si>
    <t>I = Oferta Anual de Néctares en LM (Millones de Litros)</t>
  </si>
  <si>
    <t>% NSE A, B y C de la zona 6 de LM</t>
  </si>
  <si>
    <t>Población de LM</t>
  </si>
  <si>
    <t>% NSE A, B y C de la zona 7 de LM</t>
  </si>
  <si>
    <t>INEI Y APEIM</t>
  </si>
  <si>
    <t>Población en los NSE A, B y C de la zona 6 de LM</t>
  </si>
  <si>
    <t>J = % Oferta dirigido al NSE A, B y C de la zona 6 de LM</t>
  </si>
  <si>
    <t>Población en los NSE A, B y C de la zona 7 de LM</t>
  </si>
  <si>
    <t>K = % Oferta dirigido al NSE A, B y C de la zona 7 de LM</t>
  </si>
  <si>
    <t>L = % Oferta dirigido al NSE A, B y C de las zonas 6 y 7 de LM</t>
  </si>
  <si>
    <t>M = Oferta Anual de Néctares dirigida al NSE A, B y C de las zonas 6 y 7 de LM</t>
  </si>
  <si>
    <t>Personas que no desean consumir el néctar de Aloe Vera</t>
  </si>
  <si>
    <t>Personas que desean consumir el néctar de Aloe Vera</t>
  </si>
  <si>
    <t>Personas que desean consumir los 4 sabores ofrecidos</t>
  </si>
  <si>
    <t>Personas que gustan de otros sabores</t>
  </si>
  <si>
    <t>Proyecto</t>
  </si>
  <si>
    <t>% de la Demanda Insatisfecha</t>
  </si>
  <si>
    <t>Bio</t>
  </si>
  <si>
    <t>330 ml.</t>
  </si>
  <si>
    <t>450 ml.</t>
  </si>
  <si>
    <t>Tetra pack</t>
  </si>
  <si>
    <t>Ingredientes</t>
  </si>
  <si>
    <t>Agua purificada</t>
  </si>
  <si>
    <t>Trozos de Aloe Vera</t>
  </si>
  <si>
    <t>Pulpa de la fruta (durazno, manzana, piña o mango)</t>
  </si>
  <si>
    <t>Azúcar blanca</t>
  </si>
  <si>
    <t>Ácido ascórbico</t>
  </si>
  <si>
    <t>Ácido cítrico</t>
  </si>
  <si>
    <t>Sorbato de Potasio</t>
  </si>
  <si>
    <t>Sorbato de potasio</t>
  </si>
  <si>
    <t>Masa (gramos)</t>
  </si>
  <si>
    <t>5 Lt</t>
  </si>
  <si>
    <t>Cáscaras:    55.5 %</t>
  </si>
  <si>
    <t>ácido ascórbico</t>
  </si>
  <si>
    <t>ácido cítrico</t>
  </si>
  <si>
    <t>azúcar blanca</t>
  </si>
  <si>
    <t>agua purificada</t>
  </si>
  <si>
    <t>13  ̊ Pasteurizado</t>
  </si>
  <si>
    <t>14  ̊ Envasado</t>
  </si>
  <si>
    <t>1,194 Unidades</t>
  </si>
  <si>
    <t>351.04 kg</t>
  </si>
  <si>
    <t>Néctar evaporado:  2.44  %</t>
  </si>
  <si>
    <t>359.82 kg</t>
  </si>
  <si>
    <t>262.67 gr</t>
  </si>
  <si>
    <t>165.52 gr</t>
  </si>
  <si>
    <t>64.77 gr</t>
  </si>
  <si>
    <t>394.72 gr</t>
  </si>
  <si>
    <t>238.47 kg</t>
  </si>
  <si>
    <t>29.81 kg</t>
  </si>
  <si>
    <t>59.62 kg</t>
  </si>
  <si>
    <t>131.33 kg</t>
  </si>
  <si>
    <t>151.2 kg</t>
  </si>
  <si>
    <t>(Pulpa de Piña)</t>
  </si>
  <si>
    <t>(Pulpa de              Piña)</t>
  </si>
  <si>
    <t>Cáscaras y semillas: 42%</t>
  </si>
  <si>
    <t>Cáscaras y semillas:               22.5%</t>
  </si>
  <si>
    <t>(Pulpa de              Mango)</t>
  </si>
  <si>
    <t>(Pulpa de Mango)</t>
  </si>
  <si>
    <t>Cáscaras y semillas:               34%</t>
  </si>
  <si>
    <t>Cáscaras y semillas: 37.5%</t>
  </si>
  <si>
    <t>120 kg / hr pero se ajusta a la velocidad del operario</t>
  </si>
  <si>
    <t>1800 uds / hr pero se ajusta a la velocidad del operario</t>
  </si>
  <si>
    <t>Pesado</t>
  </si>
  <si>
    <t>Seleccionado</t>
  </si>
  <si>
    <t>Licuado</t>
  </si>
  <si>
    <t># Máquinas</t>
  </si>
  <si>
    <t># Operarios</t>
  </si>
  <si>
    <t>Durazno (151.2 kg)</t>
  </si>
  <si>
    <t>Licuadora industrial</t>
  </si>
  <si>
    <t>Tiempo Unitario (min)</t>
  </si>
  <si>
    <t>Aloe (67.13 kg)</t>
  </si>
  <si>
    <t>Mezcla (359.82 kg)</t>
  </si>
  <si>
    <t>Tiempo (min)</t>
  </si>
  <si>
    <t>Lavado / Desinfectado</t>
  </si>
  <si>
    <t>*En el pesado, seleccionado y lavado /desinfectado los operarios trabajan el durazno y aloe a la vez</t>
  </si>
  <si>
    <t>Manzana (99.7 kg)</t>
  </si>
  <si>
    <t>*En el pesado, seleccionado y lavado /desinfectado los operarios trabajan la manzana y aloe a la vez</t>
  </si>
  <si>
    <t>Piña (133.49 kg)</t>
  </si>
  <si>
    <t>*En el pesado, seleccionado y lavado /desinfectado los operarios trabajan la piña y aloe a la vez</t>
  </si>
  <si>
    <t>Mango (143.53 kg)</t>
  </si>
  <si>
    <t>*En el pesado, seleccionado y lavado /desinfectado los operarios trabajan el mango y aloe a la vez</t>
  </si>
  <si>
    <t>http://cafequipos.com/catalogos/LAR-25PMB.pdf</t>
  </si>
  <si>
    <t>Licuadora Industrial</t>
  </si>
  <si>
    <t>Alto: 1.18 m</t>
  </si>
  <si>
    <t>Ancho: 0.525 m</t>
  </si>
  <si>
    <t>Largo: 0.410 m</t>
  </si>
  <si>
    <t>SKYMSEN</t>
  </si>
  <si>
    <t>Maquinaria</t>
  </si>
  <si>
    <t>T.E. (hr/kg)</t>
  </si>
  <si>
    <t>Demanda (kg)</t>
  </si>
  <si>
    <t>Materia prima</t>
  </si>
  <si>
    <t>Durazno teórico (kg)</t>
  </si>
  <si>
    <t>Manzana teórico (kg)</t>
  </si>
  <si>
    <t>Piña teórico (kg)</t>
  </si>
  <si>
    <t>Mango teórico (kg)</t>
  </si>
  <si>
    <t>Aloe Vera teórico (kg)</t>
  </si>
  <si>
    <t>Agua teórico (kg)</t>
  </si>
  <si>
    <t>CMC teórico (kg)</t>
  </si>
  <si>
    <t>Ácido ascórbico teórico (kg)</t>
  </si>
  <si>
    <t>Sorbato de potasio teórico (kg)</t>
  </si>
  <si>
    <t>Ácido cítrico teórico (kg)</t>
  </si>
  <si>
    <t>Durazno / SS = 5% (kg)</t>
  </si>
  <si>
    <t>Manzana / SS = 5% (kg)</t>
  </si>
  <si>
    <t>Piña / SS = 5% (kg)</t>
  </si>
  <si>
    <t>Mango / SS = 5% (kg)</t>
  </si>
  <si>
    <t>Aloe Vera / SS = 5% (kg)</t>
  </si>
  <si>
    <t>Agua / SS = 5% (kg)</t>
  </si>
  <si>
    <t>CMC / SS = 5% (kg)</t>
  </si>
  <si>
    <t>Ácido ascórbico / SS = 5% (kg)</t>
  </si>
  <si>
    <t>Sorbato de potasio / SS = 5% (kg)</t>
  </si>
  <si>
    <t>Ácido cítrico / SS = 5% (kg)</t>
  </si>
  <si>
    <t>Durazno a ordenar (kg)</t>
  </si>
  <si>
    <t>Manzana a ordenar (kg)</t>
  </si>
  <si>
    <t>Piña a ordenar (kg)</t>
  </si>
  <si>
    <t>Mango a ordenar (kg)</t>
  </si>
  <si>
    <t>Aloe Vera a ordenar (kg)</t>
  </si>
  <si>
    <t>Azúcar a ordenar (kg)</t>
  </si>
  <si>
    <t>Agua a ordenar (kg)</t>
  </si>
  <si>
    <t>CMC a ordenar (kg)</t>
  </si>
  <si>
    <t>Ácido ascórbico a ordenar (kg)</t>
  </si>
  <si>
    <t>Sorbato de potasio a ordenar (kg)</t>
  </si>
  <si>
    <t>Ácido cítrico a ordenar (kg)</t>
  </si>
  <si>
    <t>Materiales</t>
  </si>
  <si>
    <t>Botellas de vidrio de 300 ml.</t>
  </si>
  <si>
    <t>Etiquetas</t>
  </si>
  <si>
    <t>T.E. ajustado (hr/kg)</t>
  </si>
  <si>
    <t>Demanda Ajustada (kg)</t>
  </si>
  <si>
    <t># Máquinas teórico</t>
  </si>
  <si>
    <t>Unidad de tiempo (hr)</t>
  </si>
  <si>
    <t>Cadencia (hr/kg)</t>
  </si>
  <si>
    <t>Mano de obra</t>
  </si>
  <si>
    <t>Estandarizado</t>
  </si>
  <si>
    <t>Fruta</t>
  </si>
  <si>
    <t>Durazno (kg)</t>
  </si>
  <si>
    <t>Aloe (kg)</t>
  </si>
  <si>
    <t>Néctar (kg)</t>
  </si>
  <si>
    <t>Botellas (und)</t>
  </si>
  <si>
    <t>Demanda (kg/día)</t>
  </si>
  <si>
    <t>Cadencia (kg/hr)</t>
  </si>
  <si>
    <t># Personas teórico</t>
  </si>
  <si>
    <t># Personas real (durazno)</t>
  </si>
  <si>
    <t>Manzana (kg)</t>
  </si>
  <si>
    <t>Piña (kg)</t>
  </si>
  <si>
    <t>Mango (kg)</t>
  </si>
  <si>
    <t># Personas real (manzana)</t>
  </si>
  <si>
    <t># Personas real (piña)</t>
  </si>
  <si>
    <t># Personas real (mango)</t>
  </si>
  <si>
    <t>KG Teórico</t>
  </si>
  <si>
    <t>KG final diario</t>
  </si>
  <si>
    <t>Merma (5%)</t>
  </si>
  <si>
    <t>KG a ordenar mensual</t>
  </si>
  <si>
    <t>Rotación mensual</t>
  </si>
  <si>
    <t>Inventario promedio</t>
  </si>
  <si>
    <t>Capacidad (kg)</t>
  </si>
  <si>
    <t>Capacidad por jaba (kg/und)</t>
  </si>
  <si>
    <t>Jabas requeridas</t>
  </si>
  <si>
    <t>Ancho por jaba</t>
  </si>
  <si>
    <t>Largo por jaba</t>
  </si>
  <si>
    <t>Dimensión de pasillos</t>
  </si>
  <si>
    <t>Niveles</t>
  </si>
  <si>
    <t>Jabas por módulo base</t>
  </si>
  <si>
    <t>Largo del módulo base</t>
  </si>
  <si>
    <t>Ancho del módulo base</t>
  </si>
  <si>
    <t># de módulos base</t>
  </si>
  <si>
    <t>Área de módulo base</t>
  </si>
  <si>
    <t>Área total de módulo base</t>
  </si>
  <si>
    <t>Néctar de Aloe Vera sabor Durazno</t>
  </si>
  <si>
    <t>Néctar de Aloe Vera sabor Manzana</t>
  </si>
  <si>
    <t>Néctar de Aloe Vera sabor Piña</t>
  </si>
  <si>
    <t>Néctar de Aloe Vera sabor Mango</t>
  </si>
  <si>
    <t>Unidades</t>
  </si>
  <si>
    <t>Capacidad por caja</t>
  </si>
  <si>
    <t># Cajas requeridas</t>
  </si>
  <si>
    <t>Ancho por caja</t>
  </si>
  <si>
    <t>Largo por caja</t>
  </si>
  <si>
    <t>Cajas por módulo base</t>
  </si>
  <si>
    <t>Zona de producción</t>
  </si>
  <si>
    <t>Zona administrativa</t>
  </si>
  <si>
    <t>Zona de almacenes</t>
  </si>
  <si>
    <t>Zonas</t>
  </si>
  <si>
    <t xml:space="preserve">Superficie total </t>
  </si>
  <si>
    <t>Cuchillos, tablas de picar, durazno, manzana, piña, mango, sábila</t>
  </si>
  <si>
    <t>Durazno, manzana, piña, mango y sábila cortada</t>
  </si>
  <si>
    <t>Emanación de calor, durazno, manzana, piña y mango escaldado</t>
  </si>
  <si>
    <t>Durazno, manzana, piña y mango licuados</t>
  </si>
  <si>
    <t>Gerente General</t>
  </si>
  <si>
    <t>Secretaria</t>
  </si>
  <si>
    <t>Jefe de Contabilidad y Finanzas</t>
  </si>
  <si>
    <t>Jefe de Marketing y Ventas</t>
  </si>
  <si>
    <t>Jefe de Producción</t>
  </si>
  <si>
    <t>Contador</t>
  </si>
  <si>
    <t>Supervisor de Ventas</t>
  </si>
  <si>
    <t>Supervisor de Marketing</t>
  </si>
  <si>
    <t>Supervisor de Producción</t>
  </si>
  <si>
    <t>Supervisor de Logística</t>
  </si>
  <si>
    <t>Supervisor de Calidad</t>
  </si>
  <si>
    <t>Asistente de R.R.H.H.</t>
  </si>
  <si>
    <t>Asistente de Publicidad</t>
  </si>
  <si>
    <t>Asistente de Calidad</t>
  </si>
  <si>
    <t>Personal de Ventas</t>
  </si>
  <si>
    <t>Operarios de Producción</t>
  </si>
  <si>
    <t>Operarios de Almacén</t>
  </si>
  <si>
    <t>Definir las metas y objetivos de cada una de las áreas de la empresa</t>
  </si>
  <si>
    <t>Alinear la misión y visión con los planes estratégicos y operacionales de la empresa</t>
  </si>
  <si>
    <t>Representar a la empresa en las reuniones con la junta de accionistas</t>
  </si>
  <si>
    <t xml:space="preserve">Llevar la agenda del GG </t>
  </si>
  <si>
    <t>Apoyar al GG en elaborar documentos y/o archivos que requiera</t>
  </si>
  <si>
    <t>Coordinar visitas y/o reuniones del GG con los jefes de las demás áreas de la empresa</t>
  </si>
  <si>
    <t>Establecer el salario de cada uno de los colaboradores de la empresa</t>
  </si>
  <si>
    <t>Formular y presentar mensualmente los estados financieros a la GG</t>
  </si>
  <si>
    <t>Administrar los ingresos, gastos e inversión de la empresa</t>
  </si>
  <si>
    <t>Diseñar y planificar estrategias de posicionamiento</t>
  </si>
  <si>
    <t>Cumplir y dar seguimiento a los indicadores de ventas</t>
  </si>
  <si>
    <t>Administrar los costos de publicidad</t>
  </si>
  <si>
    <t>Dirigir al Asistente de Recursos Humanos y al Contador de la empresa</t>
  </si>
  <si>
    <t>Dirigir a los supervisores de Producción, Logística y Calidad</t>
  </si>
  <si>
    <t>Evaluar y aprobar el plan de producción</t>
  </si>
  <si>
    <t>Controlar el proceso y planeamiento de la producción</t>
  </si>
  <si>
    <t>Planificar acciones para mejorar una mejora continua del proceso productivo</t>
  </si>
  <si>
    <t>Dirigir a los supervisores de Marketing y Ventas</t>
  </si>
  <si>
    <t>Comunicar a los colaboradores la situación de la empresa</t>
  </si>
  <si>
    <t>Gestionar los lugares de venta en bioferias</t>
  </si>
  <si>
    <t>Coordinar estrategias de venta con el área de Marketing</t>
  </si>
  <si>
    <t>Administrar recursos para la distribución en los diferentes puntos de ventas</t>
  </si>
  <si>
    <t>Dirigir al Asistente de Publicidad</t>
  </si>
  <si>
    <t>Gestionar los canales de publicidad</t>
  </si>
  <si>
    <t>Coordinar estrategias de publicidad con el área de Ventas</t>
  </si>
  <si>
    <t>Desarrollar investigación de mercados aplicado a la mejora de nuestro producto</t>
  </si>
  <si>
    <t>Llevar control diario del lote de producción</t>
  </si>
  <si>
    <t>Dirigir y capacitar a los operarios de Producción</t>
  </si>
  <si>
    <t>Dirigir y capacitar al Personal de ventas</t>
  </si>
  <si>
    <t>Evaluar el rendimiento de las máquinas y controlar el desempeño de los operarios</t>
  </si>
  <si>
    <t>Dirigir y capacitar a los operarios de Almacén</t>
  </si>
  <si>
    <t>Coordinar con proveedores y distribuidores para la entrega y distribución de pedidos</t>
  </si>
  <si>
    <t>Asegurar el cumplimiento de las normas de seguridad y salud en el trabajo</t>
  </si>
  <si>
    <t>Coordinar con las áreas de Producción y Calidad para la entrega de la materia prima y del producto terminado</t>
  </si>
  <si>
    <t>Administrar espacio disponible en el almacén de materia prima y producto terminado</t>
  </si>
  <si>
    <t>Dirigir al Asistente de Calidad</t>
  </si>
  <si>
    <t>Cumplir y dar seguimiento a los parámetros de calidad (ph, grados brix)</t>
  </si>
  <si>
    <t>Verificar muestreos por lotes de producción para asegurar la calidad de nuestro producto</t>
  </si>
  <si>
    <t>Coordinar con el área de Producción las cantidades de ingredientes a añadir en el estandarizado</t>
  </si>
  <si>
    <t>Coordinar con los jefes y supervisores las capacitaciones de los colaboradores</t>
  </si>
  <si>
    <t>Gestionar y programar actividades extra laborales para generar buen clima laboral en la empresa</t>
  </si>
  <si>
    <t>Programar y coordinar vacaciones con los colaboradores de la empresa</t>
  </si>
  <si>
    <t>Velar por el correcto funcionamiento de las normas y/o procedimientos legales y/o administrativos</t>
  </si>
  <si>
    <t>Realizar la declaración de impuestos a la SUNAT</t>
  </si>
  <si>
    <t>Actualizar cierres contables (ingresos, gastos, costos de venta y costos de producción) de la empresa</t>
  </si>
  <si>
    <t>Administrar página web de la empresa</t>
  </si>
  <si>
    <t>Publicar novedades y mantener informados a nuestros clientes acerca de nuestro producto vía facebook</t>
  </si>
  <si>
    <t>Atender consultas y pedidos de nuestros clientes vía teléfono</t>
  </si>
  <si>
    <t>Realizar controles de calidad en las operaciones del proceso</t>
  </si>
  <si>
    <t>Realizar muestreos por lotes de producción para asegurar la calidad de nuestro producto</t>
  </si>
  <si>
    <t>Elaborar el balance de masa de nuestro producto para conocer las cantidad de ingredientes a añadir en el estandarizado</t>
  </si>
  <si>
    <t>Vender y ofrecer productos en bioferias</t>
  </si>
  <si>
    <t>Exponer y dar charlas acerca de las propiedades de nuestro producto en bioferias</t>
  </si>
  <si>
    <t>Visitar canales de distribución para promocionar nuestro producto</t>
  </si>
  <si>
    <t>Realizar actividades del proceso productivo para la elaboración del néctar</t>
  </si>
  <si>
    <t>Realizar la carga y descarga de la materia prima y productos terminados respectivamente</t>
  </si>
  <si>
    <t>Entrevistar y seleccionar a las personas que postulan a la empresa</t>
  </si>
  <si>
    <t>Experiencia mínima de 3 años en el sector o en puestos similares</t>
  </si>
  <si>
    <t>Egresado o bachiller en Administración, Economía, Ingeniería Industrial o carreras a fines</t>
  </si>
  <si>
    <t>Alto nivel de análisis y capacidad de toma de decisiones</t>
  </si>
  <si>
    <t>Habilidades interpersonales de liderazgo y comunicación efectiva</t>
  </si>
  <si>
    <t>Experiencia mínima de 2 años en el sector o en puestos similares</t>
  </si>
  <si>
    <t>Capacidad de toma de decisiones</t>
  </si>
  <si>
    <t>Habilidades interpersonales de liderazgo</t>
  </si>
  <si>
    <t>Egresado o bachiller en Contabilidad, Economía, Finanzas, Ingeniería Industrial o carreras a fines</t>
  </si>
  <si>
    <t>Egresado o bachiller en Marketing, Ingeniería Industrial o carreras a fines</t>
  </si>
  <si>
    <t>Egresado o bachiller en Industrias alimentarias, Ingeniería Industrial o carreras a fines</t>
  </si>
  <si>
    <t>Experiencia mínima de 2 años en el sector o en puestos similares (producción, logística y calidad)</t>
  </si>
  <si>
    <t>Experiencia mínima de 1 año en el sector o en puestos similares</t>
  </si>
  <si>
    <t>Habilidades interpersonales de comunicación efectiva</t>
  </si>
  <si>
    <t>Egresado o bachiller en Ingeniería Industrial o carreras a fines</t>
  </si>
  <si>
    <t>Egresado o bachiller en Sicología,  Ingeniería Industrial o carreras a fines</t>
  </si>
  <si>
    <t>Egresado o bachiller en Contabilidad, Economía o carreras a fines</t>
  </si>
  <si>
    <t>Conocimiento intermedio de office</t>
  </si>
  <si>
    <t>Conocimiento en el manejo de cuentas contables</t>
  </si>
  <si>
    <t>Egresado o bachiller en Marketing o carreras a fines</t>
  </si>
  <si>
    <t>Secundaria completa o Estudios Técnicos</t>
  </si>
  <si>
    <t>Experiencia mínima de 6 meses en el sector o en puestos similares</t>
  </si>
  <si>
    <t>Experiencia en atención al cliente</t>
  </si>
  <si>
    <t>Trabajo en equipo y bajo presión</t>
  </si>
  <si>
    <t>Estudios Técnicos</t>
  </si>
  <si>
    <t xml:space="preserve">Cursos especializados en negocios </t>
  </si>
  <si>
    <t>Cursos especializados en ventas (No excluyente)</t>
  </si>
  <si>
    <t>Conocimiento en el planeamiento y la fuerza de ventas (No excluyente)</t>
  </si>
  <si>
    <t>Conocimiento en el manejo de marketing directo (No excluyente)</t>
  </si>
  <si>
    <t>Cursos especializados en marketing (No excluyente)</t>
  </si>
  <si>
    <t>Cursos especializados en producción (No excluyente)</t>
  </si>
  <si>
    <t>Conocimiento en planeamiento y control de la producción (No excluyente)</t>
  </si>
  <si>
    <t>Cursos especializados en logística (No excluyente)</t>
  </si>
  <si>
    <t>Conocimiento en distribución y gestión de almacenes (No excluyente)</t>
  </si>
  <si>
    <t>Cursos especializados en calidad (No excluyente)</t>
  </si>
  <si>
    <t>Conocimiento de la ISO 9001 (No excluyente)</t>
  </si>
  <si>
    <t>Conocimiento en gestión de personas (No excluyente)</t>
  </si>
  <si>
    <t>Conocimiento en herramientas de control de calidad (No excluyente)</t>
  </si>
  <si>
    <t>Cursos especializados en contabilidad y/o finanzas (No excluyente)</t>
  </si>
  <si>
    <t>Cursos especializados en marketing y ventas (No excluyente)</t>
  </si>
  <si>
    <t>Puesto</t>
  </si>
  <si>
    <t>Año 1</t>
  </si>
  <si>
    <t>Año 2</t>
  </si>
  <si>
    <t>Año 3</t>
  </si>
  <si>
    <t>Año 4</t>
  </si>
  <si>
    <t>Año 5</t>
  </si>
  <si>
    <t>Gastos de Administración</t>
  </si>
  <si>
    <t>Mano de Obra Directa</t>
  </si>
  <si>
    <t>Gasto de Ventas</t>
  </si>
  <si>
    <t>Mano de Obra Indirecta</t>
  </si>
  <si>
    <t>Sueldo Neto Mensual</t>
  </si>
  <si>
    <t>Sueldo Neto Mensual (S/.)</t>
  </si>
  <si>
    <t>Clasificación</t>
  </si>
  <si>
    <t>Sueldo administrativo</t>
  </si>
  <si>
    <t>Mano de obra directa</t>
  </si>
  <si>
    <t>Mano de obra indirecta</t>
  </si>
  <si>
    <t>Sueldo Anual</t>
  </si>
  <si>
    <t>Gratificación Anual</t>
  </si>
  <si>
    <t>CTS</t>
  </si>
  <si>
    <t>Essalud</t>
  </si>
  <si>
    <t>Año 2017</t>
  </si>
  <si>
    <t>Año 2018</t>
  </si>
  <si>
    <t>Año 2019</t>
  </si>
  <si>
    <t>Año 2020</t>
  </si>
  <si>
    <t>Gratificación</t>
  </si>
  <si>
    <t>Monto</t>
  </si>
  <si>
    <t>Costo mensual</t>
  </si>
  <si>
    <t>Costo Fijo</t>
  </si>
  <si>
    <t>Costo Variable</t>
  </si>
  <si>
    <t>Servicio</t>
  </si>
  <si>
    <t>Energía eléctrica</t>
  </si>
  <si>
    <t>Agua y Desague</t>
  </si>
  <si>
    <t>Telefonía e Internet</t>
  </si>
  <si>
    <t>Transporte</t>
  </si>
  <si>
    <t>Limpieza Integral</t>
  </si>
  <si>
    <t>Vigilancia</t>
  </si>
  <si>
    <t>Precio Unitario (S/.)</t>
  </si>
  <si>
    <t>Sub Total (S/.)</t>
  </si>
  <si>
    <t>IGV (S/.)</t>
  </si>
  <si>
    <t>Total (S/.)</t>
  </si>
  <si>
    <t>Inversión en Maquinaria</t>
  </si>
  <si>
    <t>Inversión en Equipos de Planta</t>
  </si>
  <si>
    <t>Inversión en Equipos de Oficina Requeridos</t>
  </si>
  <si>
    <t>Inversión en Muebles y Enseres</t>
  </si>
  <si>
    <t>Sillas de oficina</t>
  </si>
  <si>
    <t>Sillas de visita</t>
  </si>
  <si>
    <t>Inversión en Terreno</t>
  </si>
  <si>
    <t>Área requerida (m2)</t>
  </si>
  <si>
    <t>Precio por m2 (S/.)</t>
  </si>
  <si>
    <t>Servicio de Limpieza Confiable</t>
  </si>
  <si>
    <t>1 operario de limpieza correctamente uniformado</t>
  </si>
  <si>
    <t>S/. 30 durante 3 horas</t>
  </si>
  <si>
    <t>El servicio se adquirirá 3 veces por semana</t>
  </si>
  <si>
    <t>*1 operario por S/. 120 la hora</t>
  </si>
  <si>
    <t>Lugar de Compra</t>
  </si>
  <si>
    <t>Metro</t>
  </si>
  <si>
    <t>Vida Aloe</t>
  </si>
  <si>
    <t>Costo unitario</t>
  </si>
  <si>
    <t>Sábila</t>
  </si>
  <si>
    <t>Stevia</t>
  </si>
  <si>
    <t>Tapa</t>
  </si>
  <si>
    <t>Envase de vidrio</t>
  </si>
  <si>
    <t>1 : 2-3.5</t>
  </si>
  <si>
    <t>% respecto a M producto</t>
  </si>
  <si>
    <t>15.51 kg</t>
  </si>
  <si>
    <t>103.43 gr</t>
  </si>
  <si>
    <t>stevia</t>
  </si>
  <si>
    <t>101.25 kg</t>
  </si>
  <si>
    <t>202.50 kg</t>
  </si>
  <si>
    <t>25.31 kg</t>
  </si>
  <si>
    <t>14.96 kg</t>
  </si>
  <si>
    <t>99.72 gr</t>
  </si>
  <si>
    <t>267.31 gr</t>
  </si>
  <si>
    <t>167.06 gr</t>
  </si>
  <si>
    <t>66.83 gr</t>
  </si>
  <si>
    <t>334.13 gr</t>
  </si>
  <si>
    <t>130.65 kg</t>
  </si>
  <si>
    <t>168.58 kg</t>
  </si>
  <si>
    <t>74.95 kg</t>
  </si>
  <si>
    <t>224.85 kg</t>
  </si>
  <si>
    <t>28.11 kg</t>
  </si>
  <si>
    <t>15.63 kg</t>
  </si>
  <si>
    <t>104.19 gr</t>
  </si>
  <si>
    <t>264.57 gr</t>
  </si>
  <si>
    <t>165.64 gr</t>
  </si>
  <si>
    <t>65.95 gr</t>
  </si>
  <si>
    <t>63.17 kg</t>
  </si>
  <si>
    <t>56.88 kg</t>
  </si>
  <si>
    <t>66.99 kg</t>
  </si>
  <si>
    <t>129.22 kg</t>
  </si>
  <si>
    <t>168.92 kg</t>
  </si>
  <si>
    <t>60.34 kg</t>
  </si>
  <si>
    <t>241.36 kg</t>
  </si>
  <si>
    <t>30.17 kg</t>
  </si>
  <si>
    <t>13.65 kg</t>
  </si>
  <si>
    <t>90.97 gr</t>
  </si>
  <si>
    <t>263.08 gr</t>
  </si>
  <si>
    <t>164.73 gr</t>
  </si>
  <si>
    <t>65.77 gr</t>
  </si>
  <si>
    <t>67.79 kg</t>
  </si>
  <si>
    <t>96.54 kg</t>
  </si>
  <si>
    <t>146.28 kg</t>
  </si>
  <si>
    <t>Azúcar blanca teórico (kg)</t>
  </si>
  <si>
    <t>Stevia teórico (kg)</t>
  </si>
  <si>
    <t>Azúcar blanca / SS = 5% (kg)</t>
  </si>
  <si>
    <t>Stevia / SS = 5% (kg)</t>
  </si>
  <si>
    <t>Stevia a ordenar (kg)</t>
  </si>
  <si>
    <t>Máquinas</t>
  </si>
  <si>
    <t xml:space="preserve">Capacidad de las Máquinas </t>
  </si>
  <si>
    <t>kg /hora</t>
  </si>
  <si>
    <t>litros</t>
  </si>
  <si>
    <t>*considerando 1 litro = 1 kilogramos (densidad del agua)</t>
  </si>
  <si>
    <t>unidades / hora</t>
  </si>
  <si>
    <t>Máquinas / Personas</t>
  </si>
  <si>
    <t>Cap. Máquinas / Personas</t>
  </si>
  <si>
    <t>60 min</t>
  </si>
  <si>
    <t>kg / hora</t>
  </si>
  <si>
    <t>*5.63 kg por min</t>
  </si>
  <si>
    <t>*5.63 kg por min y medio</t>
  </si>
  <si>
    <t>*3.13 kg por min</t>
  </si>
  <si>
    <t>*3.13 kg por min y medio</t>
  </si>
  <si>
    <t>*5.5 kg por 5 min</t>
  </si>
  <si>
    <t>*20 unidades por min</t>
  </si>
  <si>
    <t>Duración (min)</t>
  </si>
  <si>
    <t>10 min</t>
  </si>
  <si>
    <t>20 min</t>
  </si>
  <si>
    <t>40 min</t>
  </si>
  <si>
    <t>30 min</t>
  </si>
  <si>
    <t>50 min</t>
  </si>
  <si>
    <t>70 min</t>
  </si>
  <si>
    <t>80 min</t>
  </si>
  <si>
    <t>90 min</t>
  </si>
  <si>
    <t>100 min</t>
  </si>
  <si>
    <t>110 min</t>
  </si>
  <si>
    <t>120 min</t>
  </si>
  <si>
    <t>*5.63 kg por 20 min</t>
  </si>
  <si>
    <t>*3.13 kg por 25 min</t>
  </si>
  <si>
    <t>720 uds / hr pero se ajusta a la velocidad del operario</t>
  </si>
  <si>
    <t>600 lt / hr pero se ajusta a la velocidad del operario</t>
  </si>
  <si>
    <t>200 lt / hr pero se ajusta a la velocidad del operario</t>
  </si>
  <si>
    <t>500 kg / hr pero se ajusta a la velocidad del operario</t>
  </si>
  <si>
    <t>Alto: 1.2 m</t>
  </si>
  <si>
    <t>Ancho: 0.80 m</t>
  </si>
  <si>
    <t>Largo: 0.60 m</t>
  </si>
  <si>
    <t>Despulpadora de frutas (Ref. 500)</t>
  </si>
  <si>
    <t>Duración Real (min)</t>
  </si>
  <si>
    <t>*3.93 kg por min</t>
  </si>
  <si>
    <t>*3.93 kg por min y medio</t>
  </si>
  <si>
    <t>*3.93 kg por 12 min</t>
  </si>
  <si>
    <t>*3.25 kg por 3 min</t>
  </si>
  <si>
    <t>*5.15 kg por min</t>
  </si>
  <si>
    <t>*5.15 kg por min y medio</t>
  </si>
  <si>
    <t>*3.94 kg por 5 min</t>
  </si>
  <si>
    <t>*4.375 kg por 4 min</t>
  </si>
  <si>
    <t>*5.20 kg por min</t>
  </si>
  <si>
    <t>*5.20 kg por min y medio</t>
  </si>
  <si>
    <t>*3.46 kg por 10 min</t>
  </si>
  <si>
    <t>Energía, ácido cítrico, CMC, sorbato de potasio, azúcar blanca, stevia, pulpa de durazno, manzana, piña, mango y sábila</t>
  </si>
  <si>
    <t>Inversión en Activos Fijos Tangibles</t>
  </si>
  <si>
    <t>Total de Activos Fijos Tangibles</t>
  </si>
  <si>
    <t>Inversión en Trámites de Constitución</t>
  </si>
  <si>
    <t>Elaboración de Minuta de constitución</t>
  </si>
  <si>
    <t>Firma de Escritura Pública</t>
  </si>
  <si>
    <t>Inscripción en los Registros Públicos</t>
  </si>
  <si>
    <t>Inscripción en el Registro Único de Contribuyente (RUC)</t>
  </si>
  <si>
    <t>Inscripción de trabajadores en ESSALUD</t>
  </si>
  <si>
    <t>Compra y legalización de libros contables</t>
  </si>
  <si>
    <t>Solicitud de Licencia Municipal</t>
  </si>
  <si>
    <t>Permisos y autorizaciones de DIGESA</t>
  </si>
  <si>
    <t>Autorización del libro de planillas de pago</t>
  </si>
  <si>
    <t>Licencia Municipal de Funcionamiento</t>
  </si>
  <si>
    <t>Registro de Marca y Logo en INDECOPI</t>
  </si>
  <si>
    <t>Estudio Contable Merino &amp; Ore Asociados</t>
  </si>
  <si>
    <t>Ministerio de Salud</t>
  </si>
  <si>
    <t>Ministerio de Trabajo y Promoción del Empleo</t>
  </si>
  <si>
    <t>Licencia de Edificación</t>
  </si>
  <si>
    <t>Consejo Nacional de la Competitividad</t>
  </si>
  <si>
    <t>Inspección Técnica de Seguridad y Defensa Civil</t>
  </si>
  <si>
    <t>Institutio Nacional de Defensa Civil (INDECI)</t>
  </si>
  <si>
    <t>Instituto Nacional de Defensa de la Competencia y de la Protección de la Propiedad Intelectual (INDECOPI)</t>
  </si>
  <si>
    <t>Texto Único de Procedimiento Administrativo (TUPA)</t>
  </si>
  <si>
    <t>Inversión en Capacitación y Licencia de Servicios</t>
  </si>
  <si>
    <t>Inducción a la Empresa</t>
  </si>
  <si>
    <t>Responsable</t>
  </si>
  <si>
    <t>Capacitación: Seguridad y Salud Ocupacional</t>
  </si>
  <si>
    <t>Capacitación: Manejo de Máquinas</t>
  </si>
  <si>
    <t>Capacitación: Cumplimiento Normativo</t>
  </si>
  <si>
    <t>Asistente de RRHH</t>
  </si>
  <si>
    <t>Instalación y Licencia de Office</t>
  </si>
  <si>
    <t>Microsoft Office</t>
  </si>
  <si>
    <t>Duración (horas)</t>
  </si>
  <si>
    <t>Inversión en Posicionamiento de la Marca</t>
  </si>
  <si>
    <t>Creativo Studio</t>
  </si>
  <si>
    <t>Creación de Página Web</t>
  </si>
  <si>
    <t>Renovación de Hosting y Dominio de Página Web</t>
  </si>
  <si>
    <t>Creación y mantenimiento de Página en Facebook</t>
  </si>
  <si>
    <t>Inversión en Activos Fijos Intangibles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</si>
  <si>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</si>
  <si>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</si>
  <si>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</si>
  <si>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</si>
  <si>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</si>
  <si>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</si>
  <si>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</si>
  <si>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</si>
  <si>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</si>
  <si>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</si>
  <si>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</si>
  <si>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</si>
  <si>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Costo Indirecto de Fabricación</t>
  </si>
  <si>
    <t>Gastos Administrativos</t>
  </si>
  <si>
    <t>Gastos de Ventas</t>
  </si>
  <si>
    <t>Acumulado</t>
  </si>
  <si>
    <t>Ingresos (S/.)</t>
  </si>
  <si>
    <t>Ventas</t>
  </si>
  <si>
    <t>Egresos (S/.)</t>
  </si>
  <si>
    <t>Néctar de durazno con trozos de aloe vera endulzado con stevia</t>
  </si>
  <si>
    <t>Costo Unitario</t>
  </si>
  <si>
    <t>kg / unidades</t>
  </si>
  <si>
    <t>Manzana Caña</t>
  </si>
  <si>
    <t>Durazno Huayco</t>
  </si>
  <si>
    <t>Mango Kent</t>
  </si>
  <si>
    <t># de envases (unidades)</t>
  </si>
  <si>
    <t>S/. / kg</t>
  </si>
  <si>
    <t>S/. / unidades</t>
  </si>
  <si>
    <t>Néctar de manzana con trozos de aloe vera endulzado con stevia</t>
  </si>
  <si>
    <t>Néctar de piña con trozos de aloe vera endulzado con stevia</t>
  </si>
  <si>
    <t>Néctar de mango con trozos de aloe vera endulzado con stevia</t>
  </si>
  <si>
    <t>Cantidad (kg)</t>
  </si>
  <si>
    <t>http://articulo.mercadolibre.com.pe/MPE-420921642-acido-citrico-puro-usp-bolsa-x-1-kilo-_JM</t>
  </si>
  <si>
    <t>http://articulo.mercadolibre.com.pe/MPE-425285666-sorbato-de-potasio-o-sal-de-potasio-del-acido-sorbico-500gr-_JM</t>
  </si>
  <si>
    <t>http://listado.mercadolibre.com.pe/otras-categorias/acido-ascorbico</t>
  </si>
  <si>
    <t>http://listado.mercadolibre.com.pe/cmc-carboximetilcelulosa</t>
  </si>
  <si>
    <t>Piña Hawaiana</t>
  </si>
  <si>
    <t>Sedapal</t>
  </si>
  <si>
    <t>Luz del Sur</t>
  </si>
  <si>
    <t>Movistar</t>
  </si>
  <si>
    <t>cent S/. / kw.h</t>
  </si>
  <si>
    <t>https://www.luzdelsur.com.pe/media/pdf/faq/tarifas_tabla.pdf</t>
  </si>
  <si>
    <t>S/. / mes</t>
  </si>
  <si>
    <t>S/. / m3</t>
  </si>
  <si>
    <t>Desague</t>
  </si>
  <si>
    <t>Agua</t>
  </si>
  <si>
    <t>http://www.sedapal.com.pe/c/document_library/get_file?uuid=e52230b3-8b48-4f56-8af4-10e7fcb849e8&amp;groupId=29544</t>
  </si>
  <si>
    <t>El costo variable se mide en cent S/. / kw*h</t>
  </si>
  <si>
    <t>El costo variable se mide en S/. / m3 (Hasta 1,000 m3)</t>
  </si>
  <si>
    <t>TPL (Voz ilimitada a fijos locales de movistar)</t>
  </si>
  <si>
    <t>http://www.movistar.com.pe/hogar/internet/internet-telefono-fijo</t>
  </si>
  <si>
    <t>S/. / viaje</t>
  </si>
  <si>
    <t>Se contratará 2 vigilantes por cada turno de 8 horas</t>
  </si>
  <si>
    <t>Orus S.A.</t>
  </si>
  <si>
    <t>Costo</t>
  </si>
  <si>
    <t>Servicio de Limpieza</t>
  </si>
  <si>
    <t>Inversión Total</t>
  </si>
  <si>
    <t>Activos Fijos Tangibles</t>
  </si>
  <si>
    <t>Activos Fijos Intangibles</t>
  </si>
  <si>
    <t>Capital de Trabajo</t>
  </si>
  <si>
    <t>%</t>
  </si>
  <si>
    <t>Tipo de Financiamiento</t>
  </si>
  <si>
    <t>Aporte Propio</t>
  </si>
  <si>
    <t>Activos (%)</t>
  </si>
  <si>
    <t>Capital de Trabajo (%)</t>
  </si>
  <si>
    <t>Activos (S/.)</t>
  </si>
  <si>
    <t>Capital de Trabajo (S/.)</t>
  </si>
  <si>
    <t>Activo Fijo Tangible</t>
  </si>
  <si>
    <t>Activo Fijo Intangible</t>
  </si>
  <si>
    <t>Total (%)</t>
  </si>
  <si>
    <t>Institución bancaria</t>
  </si>
  <si>
    <t>Financiamiento para Activos Fijos</t>
  </si>
  <si>
    <t>Monto Máximo</t>
  </si>
  <si>
    <t>Monto Mínimo</t>
  </si>
  <si>
    <t>Plazo máximo</t>
  </si>
  <si>
    <t>5 años</t>
  </si>
  <si>
    <t xml:space="preserve">TEA </t>
  </si>
  <si>
    <t>Financiamiento para Capital de Trabajo</t>
  </si>
  <si>
    <t>Mibanco</t>
  </si>
  <si>
    <t>El negocio debe tener una antigüedad de 6 meses como mínimo, no tener deudas con el sistema financiero</t>
  </si>
  <si>
    <t>https://www.mibanco.com.pe/categoria/maquinas-y-equipos</t>
  </si>
  <si>
    <t>1 año y medio</t>
  </si>
  <si>
    <t>https://www.mibanco.com.pe/categoria/linea-de-credito-preferencial</t>
  </si>
  <si>
    <t>Requisitos</t>
  </si>
  <si>
    <t>Sustento de ventas, autoevalúo y/o título de propiedad</t>
  </si>
  <si>
    <t>CrediScotia</t>
  </si>
  <si>
    <t>http://www.crediscotia.com.pe/Negocios/Creditos/Productos/linea-capital-de-trabajo</t>
  </si>
  <si>
    <t>http://www.crediscotia.com.pe/Negocios/Creditos/Productos/financiamiento-para-activos-e-inversiones</t>
  </si>
  <si>
    <t>Compartamos</t>
  </si>
  <si>
    <t>El negocio debe tener una antigüedad de 6 meses como mínimo, presentar documentos que acrediten propiedad del local</t>
  </si>
  <si>
    <t>https://www.compartamos.com.pe/wps/portal/Peru/Credito/CreditoNegocio/PYME</t>
  </si>
  <si>
    <t>6 años</t>
  </si>
  <si>
    <t>https://www.compartamos.com.pe/wps/portal/Peru/Credito/CreditoNegocio/Fijo</t>
  </si>
  <si>
    <t>Confianza</t>
  </si>
  <si>
    <t>El negocio debe tener una antigüedad de 6 meses como mínimo, no tener deudas morosas con el sistema financiero</t>
  </si>
  <si>
    <t>http://www.confianza.pe/productos/activos/negocios/credito-pyme/</t>
  </si>
  <si>
    <t>Nombre de la industria</t>
  </si>
  <si>
    <t>Bebidas</t>
  </si>
  <si>
    <t>Número de empresas</t>
  </si>
  <si>
    <t>Beta</t>
  </si>
  <si>
    <t>Beta no apalancado</t>
  </si>
  <si>
    <t>Efectivo/Valor de la empresa</t>
  </si>
  <si>
    <t>Beta no apalancada corregida por efectivo</t>
  </si>
  <si>
    <t>Variable</t>
  </si>
  <si>
    <t>Datos</t>
  </si>
  <si>
    <t>B desapalancado</t>
  </si>
  <si>
    <t>B ajustado</t>
  </si>
  <si>
    <t>D: Financiamiento</t>
  </si>
  <si>
    <t>E: Aporte Propio</t>
  </si>
  <si>
    <t>T: Tasa impositiva</t>
  </si>
  <si>
    <t>Rf: Tasa libre de riesgo</t>
  </si>
  <si>
    <t>Rm: Prima de riesgo de mercado</t>
  </si>
  <si>
    <t>Rp: Riesgo país</t>
  </si>
  <si>
    <t>Fuente</t>
  </si>
  <si>
    <t>Beta del sector de bebidas</t>
  </si>
  <si>
    <t>http://pages.stern.nyu.edu/~adamodar/New_Home_Page/datafile/Betas.html</t>
  </si>
  <si>
    <t>Página Web</t>
  </si>
  <si>
    <t>http://www.ambito.com/economia/mercados/riesgo-pais/info/?id=13</t>
  </si>
  <si>
    <t>Rentabilidad que se obtendría de un bono del tesoro americano a 5 años</t>
  </si>
  <si>
    <t>https://www.treasury.gov/resource-center/data-chart-center/interest-rates/Pages/TextView.aspx?data=yieldYear&amp;year=2017</t>
  </si>
  <si>
    <t>http://papers.ssrn.com/sol3/papers.cfm?abstr
act_id=2084213&gt;</t>
  </si>
  <si>
    <t>Índice S&amp;P 500 USA y se ajusta al
Riesgo BVL</t>
  </si>
  <si>
    <t>Probabilidad de que Perú incumpla sus obligaciones en moneda extranjera</t>
  </si>
  <si>
    <t>Beta Ajustado</t>
  </si>
  <si>
    <t>Prima de Riesgo de Mercado (Rm)</t>
  </si>
  <si>
    <t>Tasa libre de riesgo (Rf)</t>
  </si>
  <si>
    <t>Riesgo país (Rp)</t>
  </si>
  <si>
    <t>COK</t>
  </si>
  <si>
    <t>id: Costo de la deuda</t>
  </si>
  <si>
    <t>ie: Costo de Oportunidad de capital</t>
  </si>
  <si>
    <t>WACC</t>
  </si>
  <si>
    <t>Activos Fijos</t>
  </si>
  <si>
    <t>Préstamo</t>
  </si>
  <si>
    <t>Periodo</t>
  </si>
  <si>
    <t>Entidad financiera</t>
  </si>
  <si>
    <t>Financiamiento de Activos Fijos</t>
  </si>
  <si>
    <t>Saldo Inicial</t>
  </si>
  <si>
    <t>Intereses</t>
  </si>
  <si>
    <t>Amortización</t>
  </si>
  <si>
    <t>Saldo Final</t>
  </si>
  <si>
    <t>Financiamiento de Capital de Trabajo</t>
  </si>
  <si>
    <t>TEM</t>
  </si>
  <si>
    <t>TEA</t>
  </si>
  <si>
    <t>Cuota sin ITF</t>
  </si>
  <si>
    <t>ITF</t>
  </si>
  <si>
    <t>Cuota</t>
  </si>
  <si>
    <t>Seguro Desgravamen</t>
  </si>
  <si>
    <t>Préstamos Solicitados</t>
  </si>
  <si>
    <t>Precio de Venta (S/.)</t>
  </si>
  <si>
    <t>Demanda del Proyecto (botellas)</t>
  </si>
  <si>
    <t>Ingreso por Ventas incluido IGV (S/.)</t>
  </si>
  <si>
    <t>Total de ventas sin IGV (S/.)</t>
  </si>
  <si>
    <t>Tapa (S/. / unidades)</t>
  </si>
  <si>
    <t>Envase de vidrio (S/. / unidades)</t>
  </si>
  <si>
    <t>Etiqueta (S/. / unidades)</t>
  </si>
  <si>
    <t>Sábila (S/. / unidades)</t>
  </si>
  <si>
    <t>Durazno Huayco (S/. / unidades)</t>
  </si>
  <si>
    <t>Manzana Caña (S/. / unidades)</t>
  </si>
  <si>
    <t>Piña Hawaiana (S/. / unidades)</t>
  </si>
  <si>
    <t>Mango Kent (S/. / unidades)</t>
  </si>
  <si>
    <t>Azúcar blanca (S/. / unidades)</t>
  </si>
  <si>
    <t>Stevia (S/. / unidades)</t>
  </si>
  <si>
    <t>Ácido cítrico (S/. / unidades)</t>
  </si>
  <si>
    <t>Sorbato de potasio (S./ / unidades)</t>
  </si>
  <si>
    <t>Ácido ascórbico (S/. / unidades)</t>
  </si>
  <si>
    <t>CMC (S/. / unidades)</t>
  </si>
  <si>
    <t>Costo por Ventas incluido IGV (S/.)</t>
  </si>
  <si>
    <t>Néctar de Durazno Huayco (unidades)</t>
  </si>
  <si>
    <t>Néctar de Manzana Caña (unidades)</t>
  </si>
  <si>
    <t>Néctar de Piña Hawaiana (unidades)</t>
  </si>
  <si>
    <t>Néctar de Mango Kent (unidades)</t>
  </si>
  <si>
    <t>Costo por Néctar de Durazno Huayco (S/.)</t>
  </si>
  <si>
    <t>Costo por Néctar de Manzana Caña (S/.)</t>
  </si>
  <si>
    <t>Costo por Néctar de Piña Hawaiana (S/.)</t>
  </si>
  <si>
    <t>Costo por Néctar de Mango Kent (S/.)</t>
  </si>
  <si>
    <t>Materia Prima - 2017</t>
  </si>
  <si>
    <t>Materia Prima - 2018</t>
  </si>
  <si>
    <t>Materia Prima - 2019</t>
  </si>
  <si>
    <t>Materia Prima - 2020</t>
  </si>
  <si>
    <t>Número de Operarios</t>
  </si>
  <si>
    <t>Costos Indirectos de Fabricación</t>
  </si>
  <si>
    <t>Muebles y Enseres</t>
  </si>
  <si>
    <t>Gastos Generales de Producción</t>
  </si>
  <si>
    <t>Horas promedio diarias</t>
  </si>
  <si>
    <t>Capacidad por hora (Kwh)</t>
  </si>
  <si>
    <t>Kw día</t>
  </si>
  <si>
    <t>Kw mes</t>
  </si>
  <si>
    <t>Kw año</t>
  </si>
  <si>
    <t xml:space="preserve">Costo variable (S/. / kw) </t>
  </si>
  <si>
    <t>Costo fijo (S/. / kw)</t>
  </si>
  <si>
    <t>Total mensual (S/.)</t>
  </si>
  <si>
    <t>Total anual (S/.)</t>
  </si>
  <si>
    <t># de Máquinas</t>
  </si>
  <si>
    <t>Total sin IGV (S/.)</t>
  </si>
  <si>
    <t>IGV</t>
  </si>
  <si>
    <t>Total incluido IGV (S/.)</t>
  </si>
  <si>
    <t>Depreciación</t>
  </si>
  <si>
    <t>Equipos de planta</t>
  </si>
  <si>
    <t>Valor inicial</t>
  </si>
  <si>
    <t>Equipo de Planta</t>
  </si>
  <si>
    <t>Tasa de Depreciación</t>
  </si>
  <si>
    <t>Total Depreciación</t>
  </si>
  <si>
    <t>Materia Prima (MP)</t>
  </si>
  <si>
    <t>Mano de Obra Directa (MOD)</t>
  </si>
  <si>
    <t>Costos Indirectos de Fabricación (CIF)</t>
  </si>
  <si>
    <t>Presupuesto de Gastos</t>
  </si>
  <si>
    <t>Sueldos administrativos</t>
  </si>
  <si>
    <t>Depreciación de Activos de Producción</t>
  </si>
  <si>
    <t>Depreciación de Activos Administrativos</t>
  </si>
  <si>
    <t>Equipo de Oficina</t>
  </si>
  <si>
    <t>Equipos de Oficina</t>
  </si>
  <si>
    <t>Amortización de Activos Intangibles</t>
  </si>
  <si>
    <t>Inversión en trámites de constitución</t>
  </si>
  <si>
    <t>Inversión en capacitación y licencia de servicios</t>
  </si>
  <si>
    <t>Inversión en Posicionamiento de la marca</t>
  </si>
  <si>
    <t>Total Amortización</t>
  </si>
  <si>
    <t>Presupuesto de Servicios</t>
  </si>
  <si>
    <t>Computadoras</t>
  </si>
  <si>
    <t># de Equipos</t>
  </si>
  <si>
    <t>Impresoras</t>
  </si>
  <si>
    <t>Central Telefónica</t>
  </si>
  <si>
    <t>Juego de Cocina</t>
  </si>
  <si>
    <t>Microondas</t>
  </si>
  <si>
    <t>Presupuesto de Gasto Adminsitrativo</t>
  </si>
  <si>
    <t>Sueldos Administrativos</t>
  </si>
  <si>
    <t>Servicios Administrativos</t>
  </si>
  <si>
    <t>Presupuesto de Gasto de Ventas</t>
  </si>
  <si>
    <t>Energía, néctar de sábila sabor a durazno, manzana, piña y mango</t>
  </si>
  <si>
    <t>ACTIVOS FIJOS</t>
  </si>
  <si>
    <t>Terreno para Zona Administrativa</t>
  </si>
  <si>
    <t>Terreno para Zona de Producción</t>
  </si>
  <si>
    <t>Terreno para Zona de Almacenes</t>
  </si>
  <si>
    <t>ACTIVOS FIJOS TANGIBLES</t>
  </si>
  <si>
    <t>ACTIVOS FIJOS INTANGIBLES</t>
  </si>
  <si>
    <t>PRESUPUESTO DE INGRESOS</t>
  </si>
  <si>
    <t>PRESUPUESTO DE EGRESOS</t>
  </si>
  <si>
    <t>Costo de Materia Prima</t>
  </si>
  <si>
    <t>Costo de Mano de Obra Directa</t>
  </si>
  <si>
    <t>Costo Mano de Obra Indirecta</t>
  </si>
  <si>
    <t>CAPITAL DE TRABAJO</t>
  </si>
  <si>
    <t>Grupo Clemente E.I.R.L.</t>
  </si>
  <si>
    <t>Detalle del Producto Final</t>
  </si>
  <si>
    <t>400 gr.</t>
  </si>
  <si>
    <t>http://grupoclemente.net/</t>
  </si>
  <si>
    <t># Néctares por día</t>
  </si>
  <si>
    <t>Peso unitario de Néctar (kg)</t>
  </si>
  <si>
    <t>Peso de Néctar por Semana (kg)</t>
  </si>
  <si>
    <t>Capacidad de caja (unidades)</t>
  </si>
  <si>
    <t># Cajas por Semana</t>
  </si>
  <si>
    <t>Peso unitario de Caja (kg)</t>
  </si>
  <si>
    <t>Peso de Caja por Semana (kg)</t>
  </si>
  <si>
    <t>Peso Total</t>
  </si>
  <si>
    <t>Se contratará un camión con capacidad de hasta 2 TON (Año 2016)</t>
  </si>
  <si>
    <t>Se contratará un camión con capacidad de hasta 4 TON (Año 2017)</t>
  </si>
  <si>
    <t>Se contratará un camión con capacidad de hasta 10 TON (Año 2018, 2019 y 2020)</t>
  </si>
  <si>
    <t>Sueldo de Personal de Ventas</t>
  </si>
  <si>
    <t>Sueldos de Personal de Ventas</t>
  </si>
  <si>
    <t>Publicidad</t>
  </si>
  <si>
    <t>Radio Programas del Perú (RPP)</t>
  </si>
  <si>
    <t>El costo de publicidad es por segundo</t>
  </si>
  <si>
    <t>Alquiler de Stand en Bioferias</t>
  </si>
  <si>
    <t>Alquiler de espacio en Tiendas Naturistas</t>
  </si>
  <si>
    <t>Alquiler de espacio en grifos</t>
  </si>
  <si>
    <t>10 bioferias</t>
  </si>
  <si>
    <t>10 tiendas</t>
  </si>
  <si>
    <t>10 grifos</t>
  </si>
  <si>
    <t>200 soles al mes</t>
  </si>
  <si>
    <t>50 soles al mes</t>
  </si>
  <si>
    <t>Interbank</t>
  </si>
  <si>
    <t>80% valor de la tasación</t>
  </si>
  <si>
    <t>8 años</t>
  </si>
  <si>
    <t>El negocio debe tener una antigüedad de 18 meses como mínimo, se debe presentar licencia de funcionamiento y contrato de alquiler vigente</t>
  </si>
  <si>
    <t>https://interbank.pe/credito-para-activo-fijo#!lq-pd-1</t>
  </si>
  <si>
    <t>Gastos Financieros</t>
  </si>
  <si>
    <t>Costos Fijos</t>
  </si>
  <si>
    <t>Gastos de Financiamiento</t>
  </si>
  <si>
    <t>Total de Costos Fijos</t>
  </si>
  <si>
    <t>Costos Variables</t>
  </si>
  <si>
    <t>Total de Costos Variables</t>
  </si>
  <si>
    <t>Costos Fijos (CF)</t>
  </si>
  <si>
    <t>Costos Variables Unitario (CV)</t>
  </si>
  <si>
    <t>Costo Indirecto de Fabricación sin IGV</t>
  </si>
  <si>
    <t>Gastos Administrativos sin IGV</t>
  </si>
  <si>
    <t>Gastos de Ventas sin IGV</t>
  </si>
  <si>
    <t>Precio de Venta sin IGV (PV)</t>
  </si>
  <si>
    <t>Punto de Equilibrio (Q)</t>
  </si>
  <si>
    <t>Punto de Equilibrio por botella (Q)</t>
  </si>
  <si>
    <t>ESTADOS FINANCIEROS</t>
  </si>
  <si>
    <t>Estado de Ganancias y Pérdidas</t>
  </si>
  <si>
    <t>Ventas Netas</t>
  </si>
  <si>
    <t>Costo de Ventas</t>
  </si>
  <si>
    <t>Utilidad Bruta</t>
  </si>
  <si>
    <t>Utilidad Operativa</t>
  </si>
  <si>
    <t>Utilidad Antes de Impuestos</t>
  </si>
  <si>
    <t>Impuesto a la Renta</t>
  </si>
  <si>
    <t>Dividendos para los accionistas</t>
  </si>
  <si>
    <t>Reserva Legal</t>
  </si>
  <si>
    <t>Utilidad / Pérdida Retenida</t>
  </si>
  <si>
    <t>Dividendos (%)</t>
  </si>
  <si>
    <t>Flujos de Caja</t>
  </si>
  <si>
    <t>Módulo del IGV</t>
  </si>
  <si>
    <t>IGV de ingresos</t>
  </si>
  <si>
    <t>IGV por venta de activos fijos</t>
  </si>
  <si>
    <t>IGV por recuperación de capital de trabajo</t>
  </si>
  <si>
    <t>Total IGV Ventas</t>
  </si>
  <si>
    <t>Compras</t>
  </si>
  <si>
    <t>IGV activos fijos tangibles</t>
  </si>
  <si>
    <t>IGV activos fijos intangibles</t>
  </si>
  <si>
    <t>IGV capital de trabajo</t>
  </si>
  <si>
    <t>Inversiones</t>
  </si>
  <si>
    <t>Operaciones</t>
  </si>
  <si>
    <t>Materia prima (MP)</t>
  </si>
  <si>
    <t>Mano de obra directa (MOD)</t>
  </si>
  <si>
    <t>Costos indirectos de fabricación (CIF)</t>
  </si>
  <si>
    <t>IGV gastos administrativos</t>
  </si>
  <si>
    <t>IGV gastos de ventas</t>
  </si>
  <si>
    <t>Total IGV Compras</t>
  </si>
  <si>
    <t>Presupuesto de Ventas</t>
  </si>
  <si>
    <t>Diferencia</t>
  </si>
  <si>
    <t>Crédito Fiscal</t>
  </si>
  <si>
    <t>IGV por pagar</t>
  </si>
  <si>
    <t>Flujo de Caja Económico y Financiero</t>
  </si>
  <si>
    <t>Ingresos</t>
  </si>
  <si>
    <t>Ingresos por ventas</t>
  </si>
  <si>
    <t>Ventas de activos fijos</t>
  </si>
  <si>
    <t>Recuperación de capital de trabajo</t>
  </si>
  <si>
    <t>Total de ingresos</t>
  </si>
  <si>
    <t>Egresos</t>
  </si>
  <si>
    <t>Inversión en activos intangibles</t>
  </si>
  <si>
    <t>Capital de trabajo</t>
  </si>
  <si>
    <t>Materia prima (MD)</t>
  </si>
  <si>
    <t>Mano de obra directo (MOD)</t>
  </si>
  <si>
    <t>Gastos administrativos</t>
  </si>
  <si>
    <t>Gastos de ventas</t>
  </si>
  <si>
    <t>Impuesto a la renta</t>
  </si>
  <si>
    <t>Total de egresos</t>
  </si>
  <si>
    <t>Flujo de Caja Económico</t>
  </si>
  <si>
    <t>Préstamos</t>
  </si>
  <si>
    <t>Amortizaciones</t>
  </si>
  <si>
    <t>Escudo Tributario</t>
  </si>
  <si>
    <t>Flujo de Caja Financiero Neto</t>
  </si>
  <si>
    <t>Flujo de Caja Financiero</t>
  </si>
  <si>
    <t>Balance General</t>
  </si>
  <si>
    <t>Activos Corrientes</t>
  </si>
  <si>
    <t>Caja y Bancos</t>
  </si>
  <si>
    <t>Gastos pagados por anticipado</t>
  </si>
  <si>
    <t>Activos No Corrientes</t>
  </si>
  <si>
    <t>Inversión fija tangible</t>
  </si>
  <si>
    <t>Depreciación acumulada</t>
  </si>
  <si>
    <t>Inversión fija intangible</t>
  </si>
  <si>
    <t>Amortización de intangibles</t>
  </si>
  <si>
    <t>Total Activos Corrientes</t>
  </si>
  <si>
    <t>Total Activos No Corrientes</t>
  </si>
  <si>
    <t>Total Activos</t>
  </si>
  <si>
    <t>Pasivos Corrientes</t>
  </si>
  <si>
    <t>Deuda a corto plazo</t>
  </si>
  <si>
    <t>Total Pasivo Corriente</t>
  </si>
  <si>
    <t>Total Pasivos No Corrientes</t>
  </si>
  <si>
    <t>Pasivos No Corrientes</t>
  </si>
  <si>
    <t>Total Pasivos</t>
  </si>
  <si>
    <t>Patrimonio</t>
  </si>
  <si>
    <t>Capital Social</t>
  </si>
  <si>
    <t>Utilidades Acumuladas</t>
  </si>
  <si>
    <t>Total Patrimonio</t>
  </si>
  <si>
    <t>Total Pasivo y Patrimonio</t>
  </si>
  <si>
    <t>Valor Actual Neto (Económico)</t>
  </si>
  <si>
    <t>Valor Actual Neto (Financiero)</t>
  </si>
  <si>
    <t>Tasa Interna de Retorno (Económica)</t>
  </si>
  <si>
    <t>Tasa Interna de Retorno (Financiera)</t>
  </si>
  <si>
    <t>Interés</t>
  </si>
  <si>
    <t>Valor Actual Neto (VAN)</t>
  </si>
  <si>
    <t>Tasa Interna de Retorno (TIR)</t>
  </si>
  <si>
    <t>VAN E</t>
  </si>
  <si>
    <t>VAN F</t>
  </si>
  <si>
    <t>TIR E</t>
  </si>
  <si>
    <t>TIR F</t>
  </si>
  <si>
    <t>Millones de Habitantes</t>
  </si>
  <si>
    <t>Sí</t>
  </si>
  <si>
    <t>No</t>
  </si>
  <si>
    <t>2 a 3 veces por semana</t>
  </si>
  <si>
    <t>Quincenal</t>
  </si>
  <si>
    <t>2-4 soles</t>
  </si>
  <si>
    <t>5-6 soles</t>
  </si>
  <si>
    <t>7-8 soles</t>
  </si>
  <si>
    <t>6-8 soles</t>
  </si>
  <si>
    <t>9-10 soles</t>
  </si>
  <si>
    <t>11-12 soles</t>
  </si>
  <si>
    <t>Depreciación Acumulada</t>
  </si>
  <si>
    <t>Ratio de beneficio costo (B/C)</t>
  </si>
  <si>
    <t>Beneficios descontados</t>
  </si>
  <si>
    <t>Costos descontados</t>
  </si>
  <si>
    <t>Ratio B/C</t>
  </si>
  <si>
    <t>Periodo de recuperación de la inversión (PRI)</t>
  </si>
  <si>
    <t>Detalle</t>
  </si>
  <si>
    <t>VAN</t>
  </si>
  <si>
    <t>AÑO 0</t>
  </si>
  <si>
    <t>AÑO 1</t>
  </si>
  <si>
    <t>AÑO 2</t>
  </si>
  <si>
    <t>AÑO 3</t>
  </si>
  <si>
    <t>AÑO 4</t>
  </si>
  <si>
    <t>AÑO 5</t>
  </si>
  <si>
    <t>Retorno sobre los Activos (ROA)</t>
  </si>
  <si>
    <t>Utilidad Neta</t>
  </si>
  <si>
    <t>Total de Activos</t>
  </si>
  <si>
    <t>ROA</t>
  </si>
  <si>
    <t>Retorno sobre capital propio (ROE)</t>
  </si>
  <si>
    <t>ROE</t>
  </si>
  <si>
    <t>Utilidad Retenida</t>
  </si>
  <si>
    <t>Escenario</t>
  </si>
  <si>
    <t>Variación</t>
  </si>
  <si>
    <t>Optimista</t>
  </si>
  <si>
    <t>Realista</t>
  </si>
  <si>
    <t>Pesimista</t>
  </si>
  <si>
    <t>Sube 3% debido a la gran aceptación del producto</t>
  </si>
  <si>
    <t>Los precios actuales se mantienen</t>
  </si>
  <si>
    <t>Disminuye en 5% por la gran cantidad de competidores</t>
  </si>
  <si>
    <t xml:space="preserve">H = N° de Personas de NSE 
A, B y C en las zonas 6 y 7 de LM </t>
  </si>
  <si>
    <t xml:space="preserve">K = Suma de prop. de per. en LM de los NSE A, B y C que 
consumen néctares frecuentemente </t>
  </si>
  <si>
    <t xml:space="preserve">L = N° de Per. consumen néctares LM de NSE A, B y C de 
las zonas 6 y 7 </t>
  </si>
  <si>
    <t>Materia Prima - 2021</t>
  </si>
  <si>
    <t>B/C</t>
  </si>
  <si>
    <t>Variación de Demanda</t>
  </si>
  <si>
    <t>Variación de Precio</t>
  </si>
  <si>
    <t>costo por metro cuadrado de alquilar terreno por 5 años</t>
  </si>
  <si>
    <t>Pesado, Seleccionado, Lavado / Desinfectado, Acondicionado</t>
  </si>
  <si>
    <t>Escaldado, Licuado, Despulpado</t>
  </si>
  <si>
    <t>Estandarizado, Pasteurizado</t>
  </si>
  <si>
    <t>Envasado, Enfriado, Etiquetado, Almacenado</t>
  </si>
  <si>
    <t>Pesado, Seleccionado, Lavado / Desinfectado, Escaladado, Acondicionado</t>
  </si>
  <si>
    <t>Licuado, Despulpado</t>
  </si>
  <si>
    <t># Máquinas real</t>
  </si>
  <si>
    <t>,</t>
  </si>
  <si>
    <t>Zona de Escaldado, Licuado, Despulpado, Estandarizado, Pasteurizado</t>
  </si>
  <si>
    <t>Zona de Pesado, Seleccionado, Lavado / Desinfectado, Acondicionado de Aloe Vera</t>
  </si>
  <si>
    <t>Zona de Pesado, Seleccionado, Lavado / Desinfectado, Acondicionado de Frutas</t>
  </si>
  <si>
    <t>Zona de Envasado, Enfriado</t>
  </si>
  <si>
    <t>Zona de Etiquetado y Empaquetado</t>
  </si>
  <si>
    <t>670 m2</t>
  </si>
  <si>
    <t># Operarios en el Año 5</t>
  </si>
  <si>
    <t>Año 2021</t>
  </si>
  <si>
    <t>Año 0</t>
  </si>
  <si>
    <t>Inversión en activos fijos</t>
  </si>
  <si>
    <t>Aporte Inicial</t>
  </si>
  <si>
    <t>patrimonio</t>
  </si>
  <si>
    <t>pasivo</t>
  </si>
  <si>
    <t>activos</t>
  </si>
  <si>
    <t>activos = pasivos + patrimon</t>
  </si>
  <si>
    <t>Estado de Flujos de Efectivo</t>
  </si>
  <si>
    <t>Depreaciación</t>
  </si>
  <si>
    <t>Intereses Pagados</t>
  </si>
  <si>
    <t>Otros Items no operativos</t>
  </si>
  <si>
    <t>Cambios Capital de Trabajo</t>
  </si>
  <si>
    <t>Otros Cambios en Activos/Pasivos Corrientes</t>
  </si>
  <si>
    <t>Flujo de Caja Operativo</t>
  </si>
  <si>
    <t>Cambio en Activos Fijos</t>
  </si>
  <si>
    <t>Cambio en Intangibles</t>
  </si>
  <si>
    <t>Flujo de Caja de Inversión</t>
  </si>
  <si>
    <t>Porción Corriente Deuda Largo Plazo</t>
  </si>
  <si>
    <t xml:space="preserve">   Cambios en Deuda Largo Plazo</t>
  </si>
  <si>
    <t xml:space="preserve">   Cambios en Deuda Corto Plazo</t>
  </si>
  <si>
    <t>Cambios en Patrimonio</t>
  </si>
  <si>
    <t>Flujo de Caja de Financiamiento</t>
  </si>
  <si>
    <t>Cambio en Caja</t>
  </si>
  <si>
    <t>Caja Inicial</t>
  </si>
  <si>
    <t xml:space="preserve">Caja Final </t>
  </si>
  <si>
    <t>Préstamo Capital de Trabajo</t>
  </si>
  <si>
    <t>Esta Caja y Bancos se obtiene de la celda K62 Caja Final del Estado de Flujos de Efectivo</t>
  </si>
  <si>
    <t>Tomarás préstamos de Capital de Trabajo para cerrar tu Caja. Estos préstamos los tomas el 01 de enero y los pagas el 31 de diciembre de cada año, no son deuda que genere intereses</t>
  </si>
  <si>
    <t>Esto sale de tu inversión en capital de trabajo</t>
  </si>
  <si>
    <t>EBITDA</t>
  </si>
  <si>
    <t>Depreciación + Amortización</t>
  </si>
  <si>
    <t>No puedes repartir dividendos si estas en pérdidas. La Reserva Legal no va en Perdidas y Ganancias</t>
  </si>
  <si>
    <t>Tienes que hacer un aporte de 500,000 en el año 3</t>
  </si>
  <si>
    <t>aporte de 500,000 en el año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</si>
</sst>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 * #,##0.00_ ;_ * \-#,##0.00_ ;_ * &quot;-&quot;??_ ;_ @_ "/>
    <numFmt numFmtId="164" formatCode="&quot;S/.&quot;\ #,##0;[Red]&quot;S/.&quot;\ \-#,##0"/>
    <numFmt numFmtId="165" formatCode="&quot;S/.&quot;\ #,##0.00;[Red]&quot;S/.&quot;\ \-#,##0.00"/>
    <numFmt numFmtId="166" formatCode="0.0%"/>
    <numFmt numFmtId="167" formatCode="#,##0.0"/>
    <numFmt numFmtId="168" formatCode="0.0000"/>
    <numFmt numFmtId="169" formatCode="0.0"/>
    <numFmt numFmtId="170" formatCode="&quot;S/.&quot;\ #,##0.00"/>
    <numFmt numFmtId="171" formatCode="&quot;S/.&quot;\ #,##0"/>
    <numFmt numFmtId="172" formatCode="#,##0.0000"/>
    <numFmt numFmtId="173" formatCode="&quot;S/.&quot;\ #,##0.0000"/>
    <numFmt numFmtId="174" formatCode="&quot;S/.&quot;\ #,##0.000"/>
    <numFmt numFmtId="175" formatCode="0.000"/>
    <numFmt numFmtId="176" formatCode="0E+00"/>
    <numFmt numFmtId="177" formatCode="0.000%"/>
    <numFmt numFmtId="178" formatCode="0.0000%"/>
    <numFmt numFmtId="179" formatCode="#,##0.00000000"/>
    <numFmt numFmtId="180" formatCode="0.0000000%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Calibri"/>
      <family val="2"/>
    </font>
    <font>
      <sz val="10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u/>
      <sz val="11"/>
      <color theme="11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FFFF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sz val="11"/>
      <color rgb="FF2222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F75B5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0"/>
      </top>
      <bottom/>
      <diagonal/>
    </border>
  </borders>
  <cellStyleXfs count="15">
    <xf numFmtId="0" fontId="0" fillId="0" borderId="0"/>
    <xf numFmtId="43" fontId="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681">
    <xf numFmtId="0" fontId="0" fillId="0" borderId="0" xfId="0"/>
    <xf numFmtId="0" fontId="0" fillId="0" borderId="0" xfId="0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1" xfId="0" applyFont="1" applyFill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0" xfId="0" applyFont="1"/>
    <xf numFmtId="10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3" borderId="0" xfId="0" applyFont="1" applyFill="1"/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/>
    <xf numFmtId="0" fontId="6" fillId="2" borderId="1" xfId="0" applyFont="1" applyFill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2" fillId="3" borderId="0" xfId="0" applyFont="1" applyFill="1"/>
    <xf numFmtId="0" fontId="2" fillId="0" borderId="0" xfId="0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9" fontId="2" fillId="0" borderId="0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3" borderId="0" xfId="0" applyFill="1"/>
    <xf numFmtId="0" fontId="0" fillId="3" borderId="0" xfId="0" applyFill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1" fillId="3" borderId="0" xfId="0" applyFont="1" applyFill="1"/>
    <xf numFmtId="0" fontId="2" fillId="3" borderId="0" xfId="0" applyFont="1" applyFill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2" fillId="0" borderId="3" xfId="0" applyNumberFormat="1" applyFont="1" applyFill="1" applyBorder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9" fontId="0" fillId="0" borderId="0" xfId="1" applyNumberFormat="1" applyFont="1"/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0" fillId="0" borderId="0" xfId="0" applyFill="1"/>
    <xf numFmtId="0" fontId="5" fillId="5" borderId="1" xfId="0" applyFont="1" applyFill="1" applyBorder="1" applyAlignment="1">
      <alignment horizontal="center" vertical="center" wrapText="1"/>
    </xf>
    <xf numFmtId="0" fontId="9" fillId="3" borderId="0" xfId="0" applyFont="1" applyFill="1"/>
    <xf numFmtId="0" fontId="4" fillId="6" borderId="1" xfId="0" applyFont="1" applyFill="1" applyBorder="1" applyAlignment="1">
      <alignment horizontal="center" vertical="center"/>
    </xf>
    <xf numFmtId="0" fontId="0" fillId="0" borderId="0" xfId="0" applyBorder="1"/>
    <xf numFmtId="0" fontId="10" fillId="0" borderId="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/>
    </xf>
    <xf numFmtId="3" fontId="4" fillId="3" borderId="0" xfId="0" applyNumberFormat="1" applyFont="1" applyFill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1" fillId="0" borderId="4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0" fillId="3" borderId="0" xfId="0" applyFill="1" applyBorder="1"/>
    <xf numFmtId="0" fontId="0" fillId="3" borderId="9" xfId="0" applyFill="1" applyBorder="1"/>
    <xf numFmtId="0" fontId="11" fillId="0" borderId="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3" fontId="4" fillId="3" borderId="15" xfId="0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10" fillId="3" borderId="31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10" fillId="3" borderId="32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horizontal="center" vertical="center"/>
    </xf>
    <xf numFmtId="0" fontId="10" fillId="3" borderId="33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0" fillId="3" borderId="34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4" fillId="3" borderId="27" xfId="0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0" fillId="3" borderId="36" xfId="0" applyFont="1" applyFill="1" applyBorder="1" applyAlignment="1">
      <alignment horizontal="center" vertical="center"/>
    </xf>
    <xf numFmtId="0" fontId="10" fillId="3" borderId="37" xfId="0" applyFont="1" applyFill="1" applyBorder="1" applyAlignment="1">
      <alignment horizontal="center" vertical="center"/>
    </xf>
    <xf numFmtId="0" fontId="10" fillId="3" borderId="38" xfId="0" applyFont="1" applyFill="1" applyBorder="1" applyAlignment="1">
      <alignment horizontal="center" vertical="center"/>
    </xf>
    <xf numFmtId="0" fontId="10" fillId="3" borderId="39" xfId="0" applyFont="1" applyFill="1" applyBorder="1" applyAlignment="1">
      <alignment horizontal="center" vertical="center"/>
    </xf>
    <xf numFmtId="0" fontId="0" fillId="0" borderId="13" xfId="0" applyBorder="1"/>
    <xf numFmtId="0" fontId="11" fillId="3" borderId="10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40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0" fillId="3" borderId="15" xfId="0" applyFill="1" applyBorder="1"/>
    <xf numFmtId="0" fontId="4" fillId="3" borderId="21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/>
    </xf>
    <xf numFmtId="0" fontId="11" fillId="3" borderId="12" xfId="0" applyFont="1" applyFill="1" applyBorder="1" applyAlignment="1">
      <alignment horizontal="center" vertical="center"/>
    </xf>
    <xf numFmtId="0" fontId="10" fillId="3" borderId="4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3" borderId="0" xfId="0" applyFont="1" applyFill="1" applyAlignment="1">
      <alignment horizontal="right" vertical="center"/>
    </xf>
    <xf numFmtId="0" fontId="4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vertical="center"/>
    </xf>
    <xf numFmtId="0" fontId="0" fillId="2" borderId="0" xfId="0" applyFill="1"/>
    <xf numFmtId="0" fontId="10" fillId="3" borderId="0" xfId="0" applyFont="1" applyFill="1" applyAlignment="1">
      <alignment horizontal="right" vertical="center"/>
    </xf>
    <xf numFmtId="0" fontId="4" fillId="3" borderId="0" xfId="0" applyFont="1" applyFill="1" applyAlignment="1">
      <alignment vertical="center" wrapText="1"/>
    </xf>
    <xf numFmtId="0" fontId="1" fillId="2" borderId="0" xfId="0" applyFont="1" applyFill="1"/>
    <xf numFmtId="171" fontId="4" fillId="0" borderId="1" xfId="0" applyNumberFormat="1" applyFont="1" applyBorder="1" applyAlignment="1">
      <alignment horizontal="center" vertical="center"/>
    </xf>
    <xf numFmtId="170" fontId="4" fillId="0" borderId="1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9" fontId="10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10" fillId="2" borderId="1" xfId="0" applyNumberFormat="1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9" fontId="5" fillId="5" borderId="7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10" fillId="3" borderId="0" xfId="0" applyFont="1" applyFill="1"/>
    <xf numFmtId="16" fontId="4" fillId="0" borderId="1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9" fontId="4" fillId="0" borderId="1" xfId="0" applyNumberFormat="1" applyFont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9" fontId="7" fillId="5" borderId="1" xfId="0" applyNumberFormat="1" applyFont="1" applyFill="1" applyBorder="1" applyAlignment="1">
      <alignment horizontal="center" vertical="center"/>
    </xf>
    <xf numFmtId="10" fontId="0" fillId="0" borderId="0" xfId="0" applyNumberFormat="1"/>
    <xf numFmtId="0" fontId="4" fillId="2" borderId="0" xfId="0" applyFont="1" applyFill="1"/>
    <xf numFmtId="4" fontId="4" fillId="0" borderId="1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4" fontId="5" fillId="5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10" fontId="4" fillId="3" borderId="1" xfId="0" applyNumberFormat="1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5" fillId="5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textRotation="90" wrapText="1"/>
    </xf>
    <xf numFmtId="0" fontId="15" fillId="5" borderId="12" xfId="0" applyFont="1" applyFill="1" applyBorder="1" applyAlignment="1">
      <alignment horizontal="center" vertical="center" textRotation="90" wrapText="1"/>
    </xf>
    <xf numFmtId="0" fontId="14" fillId="0" borderId="7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0" fillId="7" borderId="1" xfId="0" applyFont="1" applyFill="1" applyBorder="1"/>
    <xf numFmtId="0" fontId="10" fillId="7" borderId="1" xfId="0" applyFont="1" applyFill="1" applyBorder="1" applyAlignment="1">
      <alignment horizontal="center" vertical="center"/>
    </xf>
    <xf numFmtId="169" fontId="10" fillId="7" borderId="1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wrapText="1"/>
    </xf>
    <xf numFmtId="0" fontId="10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8" borderId="1" xfId="0" applyFont="1" applyFill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0" borderId="1" xfId="0" applyFont="1" applyBorder="1" applyAlignment="1">
      <alignment horizontal="center"/>
    </xf>
    <xf numFmtId="3" fontId="4" fillId="0" borderId="1" xfId="0" applyNumberFormat="1" applyFont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2" fontId="4" fillId="9" borderId="1" xfId="0" applyNumberFormat="1" applyFont="1" applyFill="1" applyBorder="1" applyAlignment="1">
      <alignment horizontal="center" vertical="center"/>
    </xf>
    <xf numFmtId="1" fontId="4" fillId="9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0" xfId="0" applyNumberFormat="1" applyFont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right" vertical="center"/>
    </xf>
    <xf numFmtId="0" fontId="10" fillId="3" borderId="0" xfId="0" applyFont="1" applyFill="1" applyAlignment="1">
      <alignment horizontal="left" vertical="center"/>
    </xf>
    <xf numFmtId="3" fontId="4" fillId="0" borderId="1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9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5" fillId="5" borderId="7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4" fillId="3" borderId="12" xfId="0" applyFont="1" applyFill="1" applyBorder="1"/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0" xfId="0" applyFont="1" applyFill="1" applyBorder="1"/>
    <xf numFmtId="0" fontId="4" fillId="3" borderId="11" xfId="0" applyFont="1" applyFill="1" applyBorder="1"/>
    <xf numFmtId="0" fontId="4" fillId="3" borderId="8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10" fontId="4" fillId="0" borderId="0" xfId="0" applyNumberFormat="1" applyFont="1"/>
    <xf numFmtId="0" fontId="4" fillId="3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168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9" fontId="4" fillId="2" borderId="0" xfId="0" applyNumberFormat="1" applyFont="1" applyFill="1" applyAlignment="1">
      <alignment horizontal="center" vertical="center"/>
    </xf>
    <xf numFmtId="172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17" fillId="0" borderId="0" xfId="0" applyFont="1"/>
    <xf numFmtId="1" fontId="5" fillId="5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2" fontId="5" fillId="5" borderId="1" xfId="0" applyNumberFormat="1" applyFont="1" applyFill="1" applyBorder="1" applyAlignment="1">
      <alignment horizontal="center" vertical="center"/>
    </xf>
    <xf numFmtId="2" fontId="16" fillId="5" borderId="1" xfId="0" applyNumberFormat="1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wrapText="1"/>
    </xf>
    <xf numFmtId="3" fontId="10" fillId="7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173" fontId="2" fillId="0" borderId="1" xfId="0" applyNumberFormat="1" applyFont="1" applyBorder="1" applyAlignment="1">
      <alignment horizontal="center" vertical="center"/>
    </xf>
    <xf numFmtId="173" fontId="7" fillId="5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0" xfId="0" applyFont="1" applyFill="1"/>
    <xf numFmtId="169" fontId="4" fillId="0" borderId="1" xfId="0" applyNumberFormat="1" applyFont="1" applyBorder="1" applyAlignment="1">
      <alignment horizontal="center" vertical="center"/>
    </xf>
    <xf numFmtId="169" fontId="4" fillId="3" borderId="3" xfId="0" applyNumberFormat="1" applyFont="1" applyFill="1" applyBorder="1" applyAlignment="1">
      <alignment horizontal="center" vertical="center"/>
    </xf>
    <xf numFmtId="169" fontId="4" fillId="3" borderId="1" xfId="0" applyNumberFormat="1" applyFont="1" applyFill="1" applyBorder="1" applyAlignment="1">
      <alignment horizontal="center" vertical="center"/>
    </xf>
    <xf numFmtId="0" fontId="0" fillId="3" borderId="12" xfId="0" applyFill="1" applyBorder="1"/>
    <xf numFmtId="0" fontId="0" fillId="3" borderId="13" xfId="0" applyFill="1" applyBorder="1"/>
    <xf numFmtId="0" fontId="0" fillId="3" borderId="14" xfId="0" applyFill="1" applyBorder="1"/>
    <xf numFmtId="0" fontId="0" fillId="3" borderId="11" xfId="0" applyFill="1" applyBorder="1"/>
    <xf numFmtId="0" fontId="0" fillId="3" borderId="8" xfId="0" applyFill="1" applyBorder="1"/>
    <xf numFmtId="0" fontId="0" fillId="3" borderId="10" xfId="0" applyFill="1" applyBorder="1"/>
    <xf numFmtId="0" fontId="4" fillId="2" borderId="0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170" fontId="4" fillId="0" borderId="1" xfId="0" applyNumberFormat="1" applyFont="1" applyBorder="1" applyAlignment="1">
      <alignment horizontal="center" vertical="center"/>
    </xf>
    <xf numFmtId="171" fontId="4" fillId="0" borderId="1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3" fontId="4" fillId="0" borderId="0" xfId="0" applyNumberFormat="1" applyFont="1"/>
    <xf numFmtId="0" fontId="4" fillId="0" borderId="1" xfId="0" applyFont="1" applyFill="1" applyBorder="1" applyAlignment="1">
      <alignment horizontal="left" vertical="center"/>
    </xf>
    <xf numFmtId="3" fontId="4" fillId="0" borderId="1" xfId="0" applyNumberFormat="1" applyFont="1" applyBorder="1" applyAlignment="1">
      <alignment horizontal="center"/>
    </xf>
    <xf numFmtId="0" fontId="4" fillId="0" borderId="1" xfId="0" applyFont="1" applyFill="1" applyBorder="1"/>
    <xf numFmtId="3" fontId="10" fillId="7" borderId="1" xfId="0" applyNumberFormat="1" applyFont="1" applyFill="1" applyBorder="1" applyAlignment="1">
      <alignment horizontal="left" vertical="center"/>
    </xf>
    <xf numFmtId="0" fontId="10" fillId="0" borderId="0" xfId="0" applyFont="1"/>
    <xf numFmtId="174" fontId="4" fillId="0" borderId="1" xfId="0" applyNumberFormat="1" applyFont="1" applyBorder="1" applyAlignment="1">
      <alignment horizontal="center" vertical="center"/>
    </xf>
    <xf numFmtId="2" fontId="4" fillId="0" borderId="0" xfId="0" applyNumberFormat="1" applyFont="1"/>
    <xf numFmtId="167" fontId="5" fillId="5" borderId="1" xfId="0" applyNumberFormat="1" applyFont="1" applyFill="1" applyBorder="1" applyAlignment="1">
      <alignment horizontal="center" vertical="center"/>
    </xf>
    <xf numFmtId="175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/>
    </xf>
    <xf numFmtId="175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70" fontId="5" fillId="5" borderId="0" xfId="0" applyNumberFormat="1" applyFont="1" applyFill="1" applyAlignment="1">
      <alignment horizontal="center" vertical="center"/>
    </xf>
    <xf numFmtId="170" fontId="5" fillId="5" borderId="1" xfId="0" applyNumberFormat="1" applyFont="1" applyFill="1" applyBorder="1" applyAlignment="1">
      <alignment horizontal="center" vertical="center"/>
    </xf>
    <xf numFmtId="167" fontId="4" fillId="0" borderId="3" xfId="0" applyNumberFormat="1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167" fontId="4" fillId="0" borderId="0" xfId="0" applyNumberFormat="1" applyFont="1" applyBorder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/>
    </xf>
    <xf numFmtId="0" fontId="4" fillId="0" borderId="0" xfId="0" applyFont="1" applyBorder="1"/>
    <xf numFmtId="3" fontId="4" fillId="7" borderId="1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/>
    </xf>
    <xf numFmtId="10" fontId="10" fillId="7" borderId="1" xfId="0" applyNumberFormat="1" applyFont="1" applyFill="1" applyBorder="1" applyAlignment="1">
      <alignment horizontal="center" vertical="center"/>
    </xf>
    <xf numFmtId="9" fontId="10" fillId="7" borderId="1" xfId="0" applyNumberFormat="1" applyFont="1" applyFill="1" applyBorder="1" applyAlignment="1">
      <alignment horizontal="center" vertical="center"/>
    </xf>
    <xf numFmtId="9" fontId="4" fillId="7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2" fontId="4" fillId="7" borderId="1" xfId="0" applyNumberFormat="1" applyFont="1" applyFill="1" applyBorder="1" applyAlignment="1">
      <alignment horizontal="center" vertical="center"/>
    </xf>
    <xf numFmtId="0" fontId="4" fillId="7" borderId="1" xfId="0" applyFont="1" applyFill="1" applyBorder="1"/>
    <xf numFmtId="0" fontId="5" fillId="5" borderId="4" xfId="0" applyFont="1" applyFill="1" applyBorder="1"/>
    <xf numFmtId="2" fontId="10" fillId="7" borderId="1" xfId="0" applyNumberFormat="1" applyFont="1" applyFill="1" applyBorder="1" applyAlignment="1">
      <alignment horizontal="center" vertical="center"/>
    </xf>
    <xf numFmtId="171" fontId="2" fillId="0" borderId="1" xfId="0" applyNumberFormat="1" applyFont="1" applyBorder="1" applyAlignment="1">
      <alignment horizontal="center" vertical="center"/>
    </xf>
    <xf numFmtId="0" fontId="10" fillId="7" borderId="1" xfId="0" applyFont="1" applyFill="1" applyBorder="1" applyAlignment="1">
      <alignment horizontal="left" vertical="center"/>
    </xf>
    <xf numFmtId="1" fontId="4" fillId="0" borderId="6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171" fontId="4" fillId="0" borderId="7" xfId="0" applyNumberFormat="1" applyFont="1" applyBorder="1" applyAlignment="1">
      <alignment horizontal="center" vertical="center"/>
    </xf>
    <xf numFmtId="170" fontId="4" fillId="0" borderId="7" xfId="0" applyNumberFormat="1" applyFont="1" applyBorder="1" applyAlignment="1">
      <alignment horizontal="center" vertical="center"/>
    </xf>
    <xf numFmtId="171" fontId="4" fillId="0" borderId="1" xfId="0" applyNumberFormat="1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10" fillId="2" borderId="0" xfId="0" applyFont="1" applyFill="1"/>
    <xf numFmtId="170" fontId="4" fillId="0" borderId="3" xfId="0" applyNumberFormat="1" applyFont="1" applyBorder="1" applyAlignment="1">
      <alignment vertical="center"/>
    </xf>
    <xf numFmtId="171" fontId="4" fillId="0" borderId="2" xfId="0" applyNumberFormat="1" applyFont="1" applyBorder="1" applyAlignment="1">
      <alignment vertical="center"/>
    </xf>
    <xf numFmtId="171" fontId="4" fillId="0" borderId="3" xfId="0" applyNumberFormat="1" applyFont="1" applyBorder="1" applyAlignment="1">
      <alignment vertical="center"/>
    </xf>
    <xf numFmtId="3" fontId="4" fillId="0" borderId="0" xfId="0" applyNumberFormat="1" applyFont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3" fontId="4" fillId="10" borderId="1" xfId="0" applyNumberFormat="1" applyFont="1" applyFill="1" applyBorder="1" applyAlignment="1">
      <alignment horizontal="center" vertical="center"/>
    </xf>
    <xf numFmtId="171" fontId="4" fillId="0" borderId="1" xfId="0" applyNumberFormat="1" applyFont="1" applyBorder="1" applyAlignment="1">
      <alignment horizontal="center"/>
    </xf>
    <xf numFmtId="177" fontId="4" fillId="0" borderId="1" xfId="0" applyNumberFormat="1" applyFont="1" applyBorder="1" applyAlignment="1">
      <alignment horizontal="center"/>
    </xf>
    <xf numFmtId="171" fontId="4" fillId="0" borderId="0" xfId="0" applyNumberFormat="1" applyFont="1" applyBorder="1" applyAlignment="1">
      <alignment horizontal="center" vertical="center"/>
    </xf>
    <xf numFmtId="178" fontId="4" fillId="0" borderId="1" xfId="0" applyNumberFormat="1" applyFont="1" applyBorder="1" applyAlignment="1">
      <alignment horizontal="center"/>
    </xf>
    <xf numFmtId="178" fontId="4" fillId="0" borderId="1" xfId="0" applyNumberFormat="1" applyFont="1" applyBorder="1" applyAlignment="1">
      <alignment horizontal="center" vertical="center"/>
    </xf>
    <xf numFmtId="0" fontId="10" fillId="0" borderId="0" xfId="0" applyFont="1" applyFill="1"/>
    <xf numFmtId="3" fontId="4" fillId="0" borderId="0" xfId="0" applyNumberFormat="1" applyFont="1" applyBorder="1"/>
    <xf numFmtId="0" fontId="5" fillId="5" borderId="1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5" fillId="5" borderId="42" xfId="0" applyFont="1" applyFill="1" applyBorder="1" applyAlignment="1">
      <alignment horizontal="center" vertical="center"/>
    </xf>
    <xf numFmtId="0" fontId="10" fillId="7" borderId="42" xfId="0" applyFont="1" applyFill="1" applyBorder="1"/>
    <xf numFmtId="0" fontId="10" fillId="7" borderId="42" xfId="0" applyFont="1" applyFill="1" applyBorder="1" applyAlignment="1">
      <alignment horizontal="left" vertical="center"/>
    </xf>
    <xf numFmtId="3" fontId="4" fillId="3" borderId="0" xfId="0" applyNumberFormat="1" applyFont="1" applyFill="1" applyBorder="1" applyAlignment="1">
      <alignment horizontal="center" vertical="center"/>
    </xf>
    <xf numFmtId="3" fontId="10" fillId="7" borderId="42" xfId="0" applyNumberFormat="1" applyFont="1" applyFill="1" applyBorder="1" applyAlignment="1">
      <alignment horizontal="center" vertical="center"/>
    </xf>
    <xf numFmtId="3" fontId="10" fillId="7" borderId="42" xfId="0" applyNumberFormat="1" applyFont="1" applyFill="1" applyBorder="1" applyAlignment="1">
      <alignment horizontal="center"/>
    </xf>
    <xf numFmtId="9" fontId="4" fillId="3" borderId="0" xfId="0" applyNumberFormat="1" applyFont="1" applyFill="1" applyAlignment="1">
      <alignment horizontal="center" vertical="center"/>
    </xf>
    <xf numFmtId="0" fontId="5" fillId="5" borderId="42" xfId="0" applyFont="1" applyFill="1" applyBorder="1" applyAlignment="1">
      <alignment horizontal="left" vertical="center"/>
    </xf>
    <xf numFmtId="3" fontId="4" fillId="3" borderId="0" xfId="0" applyNumberFormat="1" applyFont="1" applyFill="1" applyAlignment="1">
      <alignment horizontal="center" vertical="center"/>
    </xf>
    <xf numFmtId="0" fontId="18" fillId="7" borderId="42" xfId="0" applyFont="1" applyFill="1" applyBorder="1" applyAlignment="1">
      <alignment horizontal="left" vertical="center"/>
    </xf>
    <xf numFmtId="164" fontId="4" fillId="0" borderId="43" xfId="0" applyNumberFormat="1" applyFont="1" applyBorder="1" applyAlignment="1">
      <alignment horizontal="center" vertical="center"/>
    </xf>
    <xf numFmtId="0" fontId="5" fillId="5" borderId="43" xfId="0" applyFont="1" applyFill="1" applyBorder="1" applyAlignment="1">
      <alignment horizontal="center" vertical="center"/>
    </xf>
    <xf numFmtId="10" fontId="4" fillId="0" borderId="4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77" fontId="0" fillId="0" borderId="0" xfId="0" applyNumberFormat="1"/>
    <xf numFmtId="9" fontId="0" fillId="0" borderId="0" xfId="0" applyNumberFormat="1" applyAlignment="1">
      <alignment horizontal="center" vertical="center"/>
    </xf>
    <xf numFmtId="0" fontId="0" fillId="3" borderId="0" xfId="0" applyFill="1" applyBorder="1" applyAlignment="1"/>
    <xf numFmtId="0" fontId="4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3" fontId="4" fillId="0" borderId="0" xfId="0" applyNumberFormat="1" applyFont="1" applyFill="1" applyAlignment="1">
      <alignment horizontal="center" vertical="center"/>
    </xf>
    <xf numFmtId="0" fontId="2" fillId="0" borderId="1" xfId="0" applyFont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171" fontId="4" fillId="0" borderId="0" xfId="0" applyNumberFormat="1" applyFont="1" applyFill="1" applyBorder="1" applyAlignment="1">
      <alignment horizontal="center" vertical="center"/>
    </xf>
    <xf numFmtId="10" fontId="4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1" fillId="11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2" fontId="22" fillId="0" borderId="1" xfId="0" applyNumberFormat="1" applyFont="1" applyBorder="1" applyAlignment="1">
      <alignment horizontal="center" vertical="center"/>
    </xf>
    <xf numFmtId="10" fontId="22" fillId="0" borderId="1" xfId="0" applyNumberFormat="1" applyFont="1" applyBorder="1" applyAlignment="1">
      <alignment horizontal="center" vertical="center"/>
    </xf>
    <xf numFmtId="164" fontId="22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9" fontId="4" fillId="0" borderId="0" xfId="0" applyNumberFormat="1" applyFont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9" fontId="4" fillId="0" borderId="0" xfId="0" applyNumberFormat="1" applyFont="1"/>
    <xf numFmtId="0" fontId="4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80" fontId="4" fillId="0" borderId="0" xfId="0" applyNumberFormat="1" applyFont="1"/>
    <xf numFmtId="0" fontId="0" fillId="0" borderId="0" xfId="0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13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0" fillId="3" borderId="15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3" fontId="4" fillId="0" borderId="0" xfId="0" applyNumberFormat="1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0" xfId="0" applyFont="1"/>
    <xf numFmtId="10" fontId="23" fillId="0" borderId="1" xfId="0" applyNumberFormat="1" applyFont="1" applyBorder="1" applyAlignment="1">
      <alignment horizontal="center"/>
    </xf>
    <xf numFmtId="10" fontId="23" fillId="0" borderId="1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/>
    <xf numFmtId="0" fontId="24" fillId="0" borderId="1" xfId="0" applyFont="1" applyBorder="1" applyAlignment="1">
      <alignment horizontal="center" vertical="center"/>
    </xf>
    <xf numFmtId="10" fontId="24" fillId="0" borderId="0" xfId="0" applyNumberFormat="1" applyFont="1"/>
    <xf numFmtId="3" fontId="24" fillId="0" borderId="1" xfId="0" applyNumberFormat="1" applyFont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/>
    </xf>
    <xf numFmtId="10" fontId="24" fillId="0" borderId="0" xfId="0" applyNumberFormat="1" applyFont="1" applyAlignment="1">
      <alignment horizontal="center" vertical="center"/>
    </xf>
    <xf numFmtId="10" fontId="24" fillId="2" borderId="0" xfId="0" applyNumberFormat="1" applyFont="1" applyFill="1" applyAlignment="1">
      <alignment horizontal="center" vertical="center"/>
    </xf>
    <xf numFmtId="3" fontId="24" fillId="0" borderId="0" xfId="0" applyNumberFormat="1" applyFont="1"/>
    <xf numFmtId="0" fontId="24" fillId="0" borderId="0" xfId="0" applyFont="1" applyAlignment="1">
      <alignment horizontal="center" vertical="center"/>
    </xf>
    <xf numFmtId="10" fontId="24" fillId="0" borderId="1" xfId="0" applyNumberFormat="1" applyFont="1" applyBorder="1" applyAlignment="1">
      <alignment horizontal="center" vertical="center"/>
    </xf>
    <xf numFmtId="0" fontId="24" fillId="3" borderId="0" xfId="0" applyFont="1" applyFill="1"/>
    <xf numFmtId="0" fontId="25" fillId="5" borderId="1" xfId="0" applyFont="1" applyFill="1" applyBorder="1" applyAlignment="1">
      <alignment horizontal="center" vertical="center" wrapText="1"/>
    </xf>
    <xf numFmtId="3" fontId="26" fillId="2" borderId="1" xfId="0" applyNumberFormat="1" applyFont="1" applyFill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3" fontId="11" fillId="7" borderId="42" xfId="0" applyNumberFormat="1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0" fontId="4" fillId="3" borderId="0" xfId="0" applyFont="1" applyFill="1" applyAlignment="1">
      <alignment horizontal="left"/>
    </xf>
    <xf numFmtId="3" fontId="4" fillId="3" borderId="0" xfId="0" applyNumberFormat="1" applyFont="1" applyFill="1" applyAlignment="1">
      <alignment horizontal="left" vertical="center"/>
    </xf>
    <xf numFmtId="3" fontId="10" fillId="7" borderId="42" xfId="0" applyNumberFormat="1" applyFont="1" applyFill="1" applyBorder="1" applyAlignment="1">
      <alignment horizontal="left" vertical="center"/>
    </xf>
    <xf numFmtId="1" fontId="4" fillId="0" borderId="0" xfId="0" applyNumberFormat="1" applyFont="1"/>
    <xf numFmtId="10" fontId="4" fillId="0" borderId="1" xfId="0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3" fontId="4" fillId="3" borderId="0" xfId="0" applyNumberFormat="1" applyFont="1" applyFill="1"/>
    <xf numFmtId="3" fontId="5" fillId="5" borderId="42" xfId="0" applyNumberFormat="1" applyFont="1" applyFill="1" applyBorder="1" applyAlignment="1">
      <alignment horizontal="center" vertical="center"/>
    </xf>
    <xf numFmtId="0" fontId="11" fillId="3" borderId="0" xfId="0" applyFont="1" applyFill="1"/>
    <xf numFmtId="0" fontId="11" fillId="0" borderId="0" xfId="0" applyFont="1"/>
    <xf numFmtId="3" fontId="11" fillId="7" borderId="42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79" fontId="4" fillId="0" borderId="0" xfId="0" applyNumberFormat="1" applyFont="1" applyFill="1" applyAlignment="1">
      <alignment horizontal="center" vertical="center"/>
    </xf>
    <xf numFmtId="179" fontId="20" fillId="0" borderId="1" xfId="0" applyNumberFormat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3" fontId="10" fillId="7" borderId="4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horizontal="center" vertical="center"/>
    </xf>
    <xf numFmtId="0" fontId="25" fillId="5" borderId="5" xfId="0" applyFont="1" applyFill="1" applyBorder="1" applyAlignment="1">
      <alignment horizontal="center" vertical="center"/>
    </xf>
    <xf numFmtId="0" fontId="25" fillId="5" borderId="6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/>
    </xf>
    <xf numFmtId="0" fontId="2" fillId="0" borderId="0" xfId="0" applyFont="1"/>
    <xf numFmtId="0" fontId="5" fillId="5" borderId="7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right" vertical="center"/>
    </xf>
    <xf numFmtId="0" fontId="4" fillId="3" borderId="0" xfId="0" applyFont="1" applyFill="1" applyAlignment="1">
      <alignment horizontal="left" vertical="center" wrapText="1"/>
    </xf>
    <xf numFmtId="0" fontId="0" fillId="0" borderId="0" xfId="0" applyAlignment="1">
      <alignment horizontal="center"/>
    </xf>
    <xf numFmtId="0" fontId="4" fillId="0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71" fontId="4" fillId="0" borderId="7" xfId="0" applyNumberFormat="1" applyFont="1" applyBorder="1" applyAlignment="1">
      <alignment horizontal="center" vertical="center"/>
    </xf>
    <xf numFmtId="171" fontId="4" fillId="0" borderId="3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171" fontId="4" fillId="0" borderId="2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/>
    </xf>
    <xf numFmtId="0" fontId="5" fillId="5" borderId="14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3" fontId="4" fillId="3" borderId="15" xfId="0" applyNumberFormat="1" applyFont="1" applyFill="1" applyBorder="1" applyAlignment="1">
      <alignment horizontal="center" vertical="center"/>
    </xf>
    <xf numFmtId="3" fontId="4" fillId="2" borderId="4" xfId="0" applyNumberFormat="1" applyFont="1" applyFill="1" applyBorder="1" applyAlignment="1">
      <alignment horizontal="center"/>
    </xf>
    <xf numFmtId="3" fontId="4" fillId="2" borderId="6" xfId="0" applyNumberFormat="1" applyFont="1" applyFill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5" borderId="1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5" borderId="1" xfId="0" applyFont="1" applyFill="1" applyBorder="1" applyAlignment="1">
      <alignment horizontal="center" textRotation="90"/>
    </xf>
    <xf numFmtId="0" fontId="14" fillId="0" borderId="7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5" fillId="5" borderId="0" xfId="0" applyFont="1" applyFill="1" applyAlignment="1">
      <alignment horizontal="center"/>
    </xf>
    <xf numFmtId="0" fontId="15" fillId="5" borderId="12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0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top" wrapText="1"/>
    </xf>
    <xf numFmtId="0" fontId="4" fillId="3" borderId="8" xfId="0" applyFont="1" applyFill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15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top" wrapText="1"/>
    </xf>
    <xf numFmtId="0" fontId="4" fillId="3" borderId="15" xfId="0" applyFont="1" applyFill="1" applyBorder="1" applyAlignment="1">
      <alignment horizontal="center" vertical="top"/>
    </xf>
    <xf numFmtId="0" fontId="4" fillId="3" borderId="8" xfId="0" applyFont="1" applyFill="1" applyBorder="1" applyAlignment="1">
      <alignment horizontal="center" vertical="top"/>
    </xf>
    <xf numFmtId="0" fontId="4" fillId="3" borderId="7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3" fontId="4" fillId="0" borderId="0" xfId="0" applyNumberFormat="1" applyFont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3" fontId="10" fillId="7" borderId="4" xfId="0" applyNumberFormat="1" applyFont="1" applyFill="1" applyBorder="1" applyAlignment="1">
      <alignment horizontal="center" vertical="center"/>
    </xf>
    <xf numFmtId="3" fontId="10" fillId="7" borderId="5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10" fillId="7" borderId="4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2" fontId="10" fillId="7" borderId="7" xfId="0" applyNumberFormat="1" applyFont="1" applyFill="1" applyBorder="1" applyAlignment="1">
      <alignment horizontal="center" vertical="center"/>
    </xf>
    <xf numFmtId="2" fontId="10" fillId="7" borderId="2" xfId="0" applyNumberFormat="1" applyFont="1" applyFill="1" applyBorder="1" applyAlignment="1">
      <alignment horizontal="center" vertical="center"/>
    </xf>
    <xf numFmtId="2" fontId="10" fillId="7" borderId="3" xfId="0" applyNumberFormat="1" applyFont="1" applyFill="1" applyBorder="1" applyAlignment="1">
      <alignment horizontal="center" vertical="center"/>
    </xf>
    <xf numFmtId="2" fontId="10" fillId="7" borderId="1" xfId="0" applyNumberFormat="1" applyFont="1" applyFill="1" applyBorder="1" applyAlignment="1">
      <alignment horizontal="center" vertical="center"/>
    </xf>
    <xf numFmtId="0" fontId="11" fillId="0" borderId="44" xfId="0" applyFont="1" applyBorder="1" applyAlignment="1">
      <alignment horizontal="center"/>
    </xf>
    <xf numFmtId="0" fontId="4" fillId="3" borderId="1" xfId="0" applyFont="1" applyFill="1" applyBorder="1" applyAlignment="1">
      <alignment horizontal="left" vertical="center"/>
    </xf>
    <xf numFmtId="3" fontId="4" fillId="3" borderId="1" xfId="0" applyNumberFormat="1" applyFont="1" applyFill="1" applyBorder="1" applyAlignment="1">
      <alignment horizontal="center" vertical="center"/>
    </xf>
    <xf numFmtId="3" fontId="11" fillId="7" borderId="1" xfId="0" applyNumberFormat="1" applyFont="1" applyFill="1" applyBorder="1" applyAlignment="1">
      <alignment horizontal="center"/>
    </xf>
    <xf numFmtId="3" fontId="10" fillId="7" borderId="1" xfId="0" applyNumberFormat="1" applyFont="1" applyFill="1" applyBorder="1" applyAlignment="1">
      <alignment horizontal="center"/>
    </xf>
    <xf numFmtId="0" fontId="13" fillId="3" borderId="1" xfId="0" applyFont="1" applyFill="1" applyBorder="1"/>
    <xf numFmtId="3" fontId="13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/>
    <xf numFmtId="3" fontId="5" fillId="3" borderId="1" xfId="0" applyNumberFormat="1" applyFont="1" applyFill="1" applyBorder="1" applyAlignment="1">
      <alignment horizontal="center"/>
    </xf>
    <xf numFmtId="9" fontId="4" fillId="3" borderId="1" xfId="0" applyNumberFormat="1" applyFont="1" applyFill="1" applyBorder="1" applyAlignment="1">
      <alignment horizontal="center" vertical="center"/>
    </xf>
    <xf numFmtId="3" fontId="11" fillId="7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3" fontId="4" fillId="0" borderId="1" xfId="0" applyNumberFormat="1" applyFont="1" applyBorder="1"/>
    <xf numFmtId="0" fontId="10" fillId="2" borderId="1" xfId="0" applyFont="1" applyFill="1" applyBorder="1"/>
    <xf numFmtId="0" fontId="4" fillId="2" borderId="4" xfId="0" applyFont="1" applyFill="1" applyBorder="1"/>
    <xf numFmtId="0" fontId="4" fillId="3" borderId="1" xfId="0" applyFont="1" applyFill="1" applyBorder="1" applyAlignment="1">
      <alignment horizontal="left"/>
    </xf>
    <xf numFmtId="3" fontId="4" fillId="3" borderId="1" xfId="0" applyNumberFormat="1" applyFont="1" applyFill="1" applyBorder="1" applyAlignment="1">
      <alignment horizontal="left" vertical="center"/>
    </xf>
    <xf numFmtId="3" fontId="4" fillId="3" borderId="4" xfId="0" applyNumberFormat="1" applyFont="1" applyFill="1" applyBorder="1" applyAlignment="1">
      <alignment horizontal="left" vertical="center"/>
    </xf>
    <xf numFmtId="0" fontId="4" fillId="2" borderId="7" xfId="0" applyFont="1" applyFill="1" applyBorder="1"/>
    <xf numFmtId="0" fontId="18" fillId="7" borderId="1" xfId="0" applyFont="1" applyFill="1" applyBorder="1" applyAlignment="1">
      <alignment horizontal="left" vertical="center"/>
    </xf>
    <xf numFmtId="0" fontId="11" fillId="0" borderId="1" xfId="0" applyFont="1" applyBorder="1"/>
  </cellXfs>
  <cellStyles count="15">
    <cellStyle name="Hipervínculo visitado" xfId="2" builtinId="9" hidden="1"/>
    <cellStyle name="Hipervínculo visitado" xfId="3" builtinId="9" hidden="1"/>
    <cellStyle name="Hipervínculo visitado" xfId="4" builtinId="9" hidden="1"/>
    <cellStyle name="Hipervínculo visitado" xfId="5" builtinId="9" hidden="1"/>
    <cellStyle name="Hipervínculo visitado" xfId="6" builtinId="9" hidden="1"/>
    <cellStyle name="Hipervínculo visitado" xfId="7" builtinId="9" hidden="1"/>
    <cellStyle name="Hipervínculo visitado" xfId="8" builtinId="9" hidden="1"/>
    <cellStyle name="Hipervínculo visitado" xfId="9" builtinId="9" hidden="1"/>
    <cellStyle name="Hipervínculo visitado" xfId="10" builtinId="9" hidden="1"/>
    <cellStyle name="Hipervínculo visitado" xfId="11" builtinId="9" hidden="1"/>
    <cellStyle name="Hipervínculo visitado" xfId="12" builtinId="9" hidden="1"/>
    <cellStyle name="Hipervínculo visitado" xfId="13" builtinId="9" hidden="1"/>
    <cellStyle name="Hipervínculo visitado" xfId="14" builtinId="9" hidden="1"/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chartUserShapes" Target="../drawings/drawing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# Personas en Lima Metropolitana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Años</c:v>
          </c:tx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'Análisis Macro Entorno'!$C$3:$C$7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'Análisis Macro Entorno'!$D$3:$D$7</c:f>
              <c:numCache>
                <c:formatCode>#,##0</c:formatCode>
                <c:ptCount val="5"/>
                <c:pt idx="0">
                  <c:v>9450585</c:v>
                </c:pt>
                <c:pt idx="1">
                  <c:v>9600114</c:v>
                </c:pt>
                <c:pt idx="2">
                  <c:v>9751717</c:v>
                </c:pt>
                <c:pt idx="3">
                  <c:v>9904727</c:v>
                </c:pt>
                <c:pt idx="4">
                  <c:v>10135439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F7-4A79-AD44-77C72C156CA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7937280"/>
        <c:axId val="98505472"/>
      </c:barChart>
      <c:catAx>
        <c:axId val="979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505472"/>
        <c:crosses val="autoZero"/>
        <c:auto val="1"/>
        <c:lblAlgn val="ctr"/>
        <c:lblOffset val="100"/>
        <c:noMultiLvlLbl val="0"/>
      </c:catAx>
      <c:valAx>
        <c:axId val="98505472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crossAx val="97937280"/>
        <c:crosses val="autoZero"/>
        <c:crossBetween val="between"/>
        <c:dispUnits>
          <c:builtInUnit val="million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Millones de Habitantes</a:t>
                  </a:r>
                </a:p>
              </c:rich>
            </c:tx>
          </c:dispUnitsLbl>
        </c:dispUnits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86-45C4-AE36-F299F2531659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86-45C4-AE36-F299F2531659}"/>
              </c:ext>
            </c:extLst>
          </c:dPt>
          <c:dLbls>
            <c:dLbl>
              <c:idx val="0"/>
              <c:layout>
                <c:manualLayout>
                  <c:x val="-0.39901256732495499"/>
                  <c:y val="-0.15580091132141599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286-45C4-AE36-F299F253165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'El Consumidor'!$E$115:$F$115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'El Consumidor'!$E$116:$F$116</c:f>
              <c:numCache>
                <c:formatCode>0.00%</c:formatCode>
                <c:ptCount val="2"/>
                <c:pt idx="0">
                  <c:v>0.85799999999999998</c:v>
                </c:pt>
                <c:pt idx="1">
                  <c:v>0.14199999999999999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286-45C4-AE36-F299F25316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0.72038474965090704"/>
          <c:y val="0.43401682439537298"/>
          <c:w val="0.160915868741273"/>
          <c:h val="9.494523308797760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100" b="1"/>
              <a:t>Demanda histórica (Millones de Litros)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8.9571327015713048E-2"/>
                  <c:y val="0.2507665975166474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</c:trendlineLbl>
          </c:trendline>
          <c:xVal>
            <c:numRef>
              <c:f>Demanda!$D$85:$D$89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Demanda!$I$85:$I$89</c:f>
              <c:numCache>
                <c:formatCode>#,##0.00</c:formatCode>
                <c:ptCount val="5"/>
                <c:pt idx="0">
                  <c:v>8.0314464367253979</c:v>
                </c:pt>
                <c:pt idx="1">
                  <c:v>8.5929535426410002</c:v>
                </c:pt>
                <c:pt idx="2">
                  <c:v>8.6657440198914006</c:v>
                </c:pt>
                <c:pt idx="3">
                  <c:v>9.7362009985240014</c:v>
                </c:pt>
                <c:pt idx="4">
                  <c:v>10.147495547540002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7F-4B82-A684-7E11A2FA03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04850176"/>
        <c:axId val="104851712"/>
      </c:scatterChart>
      <c:valAx>
        <c:axId val="1048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04851712"/>
        <c:crosses val="autoZero"/>
        <c:crossBetween val="midCat"/>
      </c:valAx>
      <c:valAx>
        <c:axId val="104851712"/>
        <c:scaling>
          <c:orientation val="minMax"/>
          <c:min val="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04850176"/>
        <c:crosses val="autoZero"/>
        <c:crossBetween val="midCat"/>
        <c:minorUnit val="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-7.8713658800712599E-2"/>
                  <c:y val="-0.35595951629863304"/>
                </c:manualLayout>
              </c:layout>
              <c:numFmt formatCode="General" sourceLinked="0"/>
            </c:trendlineLbl>
          </c:trendline>
          <c:cat>
            <c:numRef>
              <c:f>Demanda!$E$54:$E$57</c:f>
              <c:numCache>
                <c:formatCode>General</c:formatCod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numCache>
            </c:numRef>
          </c:cat>
          <c:val>
            <c:numRef>
              <c:f>Demanda!$F$54:$F$57</c:f>
              <c:numCache>
                <c:formatCode>0.00%</c:formatCode>
                <c:ptCount val="4"/>
                <c:pt idx="0">
                  <c:v>0.1704</c:v>
                </c:pt>
                <c:pt idx="1">
                  <c:v>0.24560000000000001</c:v>
                </c:pt>
                <c:pt idx="2">
                  <c:v>5.0299999999999997E-2</c:v>
                </c:pt>
                <c:pt idx="3">
                  <c:v>0.24479999999999999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E8-489B-A3AD-AC9BE9CDB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62528"/>
        <c:axId val="109851776"/>
      </c:lineChart>
      <c:catAx>
        <c:axId val="1122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851776"/>
        <c:crosses val="autoZero"/>
        <c:auto val="1"/>
        <c:lblAlgn val="ctr"/>
        <c:lblOffset val="100"/>
        <c:noMultiLvlLbl val="0"/>
      </c:catAx>
      <c:valAx>
        <c:axId val="109851776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crossAx val="112262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-0.36031966886096201"/>
                  <c:y val="0.31123817034700302"/>
                </c:manualLayout>
              </c:layout>
              <c:numFmt formatCode="General" sourceLinked="0"/>
            </c:trendlineLbl>
          </c:trendline>
          <c:cat>
            <c:numRef>
              <c:f>Demanda!$E$54:$E$57</c:f>
              <c:numCache>
                <c:formatCode>General</c:formatCod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numCache>
            </c:numRef>
          </c:cat>
          <c:val>
            <c:numRef>
              <c:f>Demanda!$G$54:$G$57</c:f>
              <c:numCache>
                <c:formatCode>0.00%</c:formatCode>
                <c:ptCount val="4"/>
                <c:pt idx="0">
                  <c:v>0.22509999999999999</c:v>
                </c:pt>
                <c:pt idx="1">
                  <c:v>0.22509999999999999</c:v>
                </c:pt>
                <c:pt idx="2">
                  <c:v>0.1923</c:v>
                </c:pt>
                <c:pt idx="3">
                  <c:v>0.23319999999999999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F5-428F-8EC7-4034DB18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7120"/>
        <c:axId val="109878656"/>
      </c:lineChart>
      <c:catAx>
        <c:axId val="1098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878656"/>
        <c:crosses val="autoZero"/>
        <c:auto val="1"/>
        <c:lblAlgn val="ctr"/>
        <c:lblOffset val="100"/>
        <c:noMultiLvlLbl val="0"/>
      </c:catAx>
      <c:valAx>
        <c:axId val="109878656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crossAx val="109877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-0.15181189539357384"/>
                  <c:y val="0.42727401342065685"/>
                </c:manualLayout>
              </c:layout>
              <c:numFmt formatCode="General" sourceLinked="0"/>
            </c:trendlineLbl>
          </c:trendline>
          <c:cat>
            <c:numRef>
              <c:f>Demanda!$E$54:$E$57</c:f>
              <c:numCache>
                <c:formatCode>General</c:formatCod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numCache>
            </c:numRef>
          </c:cat>
          <c:val>
            <c:numRef>
              <c:f>Demanda!$H$54:$H$57</c:f>
              <c:numCache>
                <c:formatCode>0.00%</c:formatCode>
                <c:ptCount val="4"/>
                <c:pt idx="0">
                  <c:v>0.22509999999999999</c:v>
                </c:pt>
                <c:pt idx="1">
                  <c:v>0.17510000000000001</c:v>
                </c:pt>
                <c:pt idx="2">
                  <c:v>0.37869999999999998</c:v>
                </c:pt>
                <c:pt idx="3">
                  <c:v>0.2278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5B-401C-8AE5-5C6C7347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0336"/>
        <c:axId val="113391872"/>
      </c:lineChart>
      <c:catAx>
        <c:axId val="1133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391872"/>
        <c:crosses val="autoZero"/>
        <c:auto val="1"/>
        <c:lblAlgn val="ctr"/>
        <c:lblOffset val="100"/>
        <c:noMultiLvlLbl val="0"/>
      </c:catAx>
      <c:valAx>
        <c:axId val="113391872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crossAx val="1133903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Demanda Histórica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Millones de Litros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Demanda!$E$85:$E$89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Demanda!$I$85:$I$89</c:f>
              <c:numCache>
                <c:formatCode>#,##0.00</c:formatCode>
                <c:ptCount val="5"/>
                <c:pt idx="0">
                  <c:v>8.0314464367253979</c:v>
                </c:pt>
                <c:pt idx="1">
                  <c:v>8.5929535426410002</c:v>
                </c:pt>
                <c:pt idx="2">
                  <c:v>8.6657440198914006</c:v>
                </c:pt>
                <c:pt idx="3">
                  <c:v>9.7362009985240014</c:v>
                </c:pt>
                <c:pt idx="4">
                  <c:v>10.147495547540002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61-4DCD-9FB7-80675E8CC1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3427584"/>
        <c:axId val="113434624"/>
      </c:barChart>
      <c:catAx>
        <c:axId val="1134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434624"/>
        <c:crosses val="autoZero"/>
        <c:auto val="1"/>
        <c:lblAlgn val="ctr"/>
        <c:lblOffset val="100"/>
        <c:noMultiLvlLbl val="0"/>
      </c:catAx>
      <c:valAx>
        <c:axId val="11343462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crossAx val="1134275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Demanda</a:t>
            </a:r>
            <a:r>
              <a:rPr lang="en-US" sz="1100" baseline="0"/>
              <a:t> Proyectada</a:t>
            </a:r>
            <a:endParaRPr lang="en-US" sz="11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Millones de Litros</c:v>
          </c:tx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Demanda!$C$114:$C$118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Demanda!$D$114:$D$118</c:f>
              <c:numCache>
                <c:formatCode>#,##0.00</c:formatCode>
                <c:ptCount val="5"/>
                <c:pt idx="0">
                  <c:v>10.995799999999999</c:v>
                </c:pt>
                <c:pt idx="1">
                  <c:v>11.881900000000002</c:v>
                </c:pt>
                <c:pt idx="2">
                  <c:v>12.867599999999999</c:v>
                </c:pt>
                <c:pt idx="3">
                  <c:v>13.9529</c:v>
                </c:pt>
                <c:pt idx="4">
                  <c:v>15.137800000000002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12-4824-8847-8599A34FD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58528"/>
        <c:axId val="115960064"/>
      </c:lineChart>
      <c:catAx>
        <c:axId val="11595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960064"/>
        <c:crosses val="autoZero"/>
        <c:auto val="1"/>
        <c:lblAlgn val="ctr"/>
        <c:lblOffset val="100"/>
        <c:noMultiLvlLbl val="0"/>
      </c:catAx>
      <c:valAx>
        <c:axId val="1159600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59585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Producción bebidas no alcohólicas -Litros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11311412706577"/>
                  <c:y val="0.265523676778563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</c:trendlineLbl>
          </c:trendline>
          <c:xVal>
            <c:numRef>
              <c:f>Oferta!$B$5:$B$8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xVal>
          <c:yVal>
            <c:numRef>
              <c:f>Oferta!$E$5:$E$8</c:f>
              <c:numCache>
                <c:formatCode>#,##0</c:formatCode>
                <c:ptCount val="4"/>
                <c:pt idx="0">
                  <c:v>2713</c:v>
                </c:pt>
                <c:pt idx="1">
                  <c:v>2919</c:v>
                </c:pt>
                <c:pt idx="2">
                  <c:v>3114</c:v>
                </c:pt>
                <c:pt idx="3">
                  <c:v>3258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DE-444B-AD49-EB73E87F16E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13156480"/>
        <c:axId val="113158016"/>
      </c:scatterChart>
      <c:valAx>
        <c:axId val="113156480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3158016"/>
        <c:crosses val="autoZero"/>
        <c:crossBetween val="midCat"/>
        <c:majorUnit val="1"/>
      </c:valAx>
      <c:valAx>
        <c:axId val="11315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3156480"/>
        <c:crosses val="autoZero"/>
        <c:crossBetween val="midCat"/>
        <c:min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Oferta Histórica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Millones de Litros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Oferta!$P$63:$P$68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Oferta!$S$63:$S$68</c:f>
              <c:numCache>
                <c:formatCode>#,##0.00</c:formatCode>
                <c:ptCount val="5"/>
                <c:pt idx="0">
                  <c:v>8.1146485443637371</c:v>
                </c:pt>
                <c:pt idx="1">
                  <c:v>8.4063094968116641</c:v>
                </c:pt>
                <c:pt idx="2">
                  <c:v>9.211148027032543</c:v>
                </c:pt>
                <c:pt idx="3">
                  <c:v>9.336674594569077</c:v>
                </c:pt>
                <c:pt idx="4">
                  <c:v>10.119053241554855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A4-4E67-83FD-890ECA71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3194112"/>
        <c:axId val="113201152"/>
      </c:barChart>
      <c:catAx>
        <c:axId val="1131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201152"/>
        <c:crosses val="autoZero"/>
        <c:auto val="1"/>
        <c:lblAlgn val="ctr"/>
        <c:lblOffset val="100"/>
        <c:noMultiLvlLbl val="0"/>
      </c:catAx>
      <c:valAx>
        <c:axId val="1132011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194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0"/>
              <a:t>Producción</a:t>
            </a:r>
            <a:r>
              <a:rPr lang="en-US" sz="1100" b="0" baseline="0"/>
              <a:t> Anual de Néctares en el Perú</a:t>
            </a:r>
            <a:endParaRPr lang="en-US" sz="1100" b="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Millones de Litros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Oferta!$B$17:$B$22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Oferta!$E$17:$E$22</c:f>
              <c:numCache>
                <c:formatCode>#,##0.00</c:formatCode>
                <c:ptCount val="5"/>
                <c:pt idx="0">
                  <c:v>248.11500000000001</c:v>
                </c:pt>
                <c:pt idx="1">
                  <c:v>252.23400000000001</c:v>
                </c:pt>
                <c:pt idx="2">
                  <c:v>267.15600000000001</c:v>
                </c:pt>
                <c:pt idx="3">
                  <c:v>276.68</c:v>
                </c:pt>
                <c:pt idx="4">
                  <c:v>291.32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F8-4D2D-B2FC-E883B6B525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3216896"/>
        <c:axId val="126028032"/>
      </c:barChart>
      <c:catAx>
        <c:axId val="1132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028032"/>
        <c:crosses val="autoZero"/>
        <c:auto val="1"/>
        <c:lblAlgn val="ctr"/>
        <c:lblOffset val="100"/>
        <c:noMultiLvlLbl val="0"/>
      </c:catAx>
      <c:valAx>
        <c:axId val="126028032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crossAx val="113216896"/>
        <c:crosses val="autoZero"/>
        <c:crossBetween val="between"/>
        <c:majorUnit val="80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# Personas en Lima Metropolitana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'El Consumidor'!$B$4</c:f>
              <c:strCache>
                <c:ptCount val="1"/>
                <c:pt idx="0">
                  <c:v>Millones de Habitantes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'El Consumidor'!$C$3:$G$3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'El Consumidor'!$C$4:$G$4</c:f>
              <c:numCache>
                <c:formatCode>General</c:formatCode>
                <c:ptCount val="5"/>
                <c:pt idx="0" formatCode="0.00">
                  <c:v>9.3000000000000007</c:v>
                </c:pt>
                <c:pt idx="1">
                  <c:v>9.4499999999999993</c:v>
                </c:pt>
                <c:pt idx="2" formatCode="0.00">
                  <c:v>9.6</c:v>
                </c:pt>
                <c:pt idx="3">
                  <c:v>9.75</c:v>
                </c:pt>
                <c:pt idx="4" formatCode="0.00">
                  <c:v>9.9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C6-40FB-A660-76A9DEA857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4992768"/>
        <c:axId val="104995456"/>
      </c:barChart>
      <c:catAx>
        <c:axId val="1049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4995456"/>
        <c:crosses val="autoZero"/>
        <c:auto val="1"/>
        <c:lblAlgn val="ctr"/>
        <c:lblOffset val="100"/>
        <c:noMultiLvlLbl val="0"/>
      </c:catAx>
      <c:valAx>
        <c:axId val="104995456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crossAx val="104992768"/>
        <c:crosses val="autoZero"/>
        <c:crossBetween val="between"/>
        <c:majorUnit val="0.2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Oferta</a:t>
            </a:r>
            <a:r>
              <a:rPr lang="en-US" sz="1100" baseline="0"/>
              <a:t> Proyectada</a:t>
            </a:r>
            <a:endParaRPr lang="en-US" sz="11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Millones de Litros</c:v>
          </c:tx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Oferta!$L$91:$L$95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Oferta!$M$91:$M$95</c:f>
              <c:numCache>
                <c:formatCode>#,##0.00</c:formatCode>
                <c:ptCount val="5"/>
                <c:pt idx="0">
                  <c:v>10.611652017936287</c:v>
                </c:pt>
                <c:pt idx="1">
                  <c:v>11.20715758602628</c:v>
                </c:pt>
                <c:pt idx="2">
                  <c:v>11.836081784978536</c:v>
                </c:pt>
                <c:pt idx="3">
                  <c:v>12.500300004291578</c:v>
                </c:pt>
                <c:pt idx="4">
                  <c:v>13.201792876727353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6E-44DA-B103-6720510E7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45184"/>
        <c:axId val="126046976"/>
      </c:lineChart>
      <c:catAx>
        <c:axId val="1260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046976"/>
        <c:crosses val="autoZero"/>
        <c:auto val="1"/>
        <c:lblAlgn val="ctr"/>
        <c:lblOffset val="100"/>
        <c:noMultiLvlLbl val="0"/>
      </c:catAx>
      <c:valAx>
        <c:axId val="1260469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6045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0"/>
              <a:t>Exportación</a:t>
            </a:r>
            <a:r>
              <a:rPr lang="en-US" sz="1100" b="0" baseline="0"/>
              <a:t> Anual de Néctares en el Perú</a:t>
            </a:r>
            <a:endParaRPr lang="en-US" sz="1100" b="0"/>
          </a:p>
        </c:rich>
      </c:tx>
      <c:layout>
        <c:manualLayout>
          <c:xMode val="edge"/>
          <c:yMode val="edge"/>
          <c:x val="0.16606480009476246"/>
          <c:y val="2.226862005131426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Millones de Litros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Oferta!$B$28:$B$32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Oferta!$E$28:$E$32</c:f>
              <c:numCache>
                <c:formatCode>#,##0.00</c:formatCode>
                <c:ptCount val="5"/>
                <c:pt idx="0">
                  <c:v>4.4660700000000002</c:v>
                </c:pt>
                <c:pt idx="1">
                  <c:v>4.5402119999999995</c:v>
                </c:pt>
                <c:pt idx="2">
                  <c:v>4.808808</c:v>
                </c:pt>
                <c:pt idx="3">
                  <c:v>4.9802399999999993</c:v>
                </c:pt>
                <c:pt idx="4">
                  <c:v>5.2437599999999991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94-4A56-B74F-984032143B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6075264"/>
        <c:axId val="126077952"/>
      </c:barChart>
      <c:catAx>
        <c:axId val="12607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077952"/>
        <c:crosses val="autoZero"/>
        <c:auto val="1"/>
        <c:lblAlgn val="ctr"/>
        <c:lblOffset val="100"/>
        <c:noMultiLvlLbl val="0"/>
      </c:catAx>
      <c:valAx>
        <c:axId val="126077952"/>
        <c:scaling>
          <c:orientation val="minMax"/>
          <c:max val="6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crossAx val="1260752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Oferta Histórica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Millones de Litros</c:v>
          </c:tx>
          <c:spPr>
            <a:ln w="1905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exp"/>
            <c:dispRSqr val="1"/>
            <c:dispEq val="1"/>
            <c:trendlineLbl>
              <c:layout>
                <c:manualLayout>
                  <c:x val="-4.4505707570401683E-2"/>
                  <c:y val="0.18990740992390973"/>
                </c:manualLayout>
              </c:layout>
              <c:numFmt formatCode="General" sourceLinked="0"/>
            </c:trendlineLbl>
          </c:trendline>
          <c:xVal>
            <c:numRef>
              <c:f>Oferta!$O$64:$O$68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Oferta!$S$63:$S$68</c:f>
              <c:numCache>
                <c:formatCode>#,##0.00</c:formatCode>
                <c:ptCount val="5"/>
                <c:pt idx="0">
                  <c:v>8.1146485443637371</c:v>
                </c:pt>
                <c:pt idx="1">
                  <c:v>8.4063094968116641</c:v>
                </c:pt>
                <c:pt idx="2">
                  <c:v>9.211148027032543</c:v>
                </c:pt>
                <c:pt idx="3">
                  <c:v>9.336674594569077</c:v>
                </c:pt>
                <c:pt idx="4">
                  <c:v>10.119053241554855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B7-4D9A-9845-023CB3A52C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28024960"/>
        <c:axId val="128026496"/>
      </c:scatterChart>
      <c:valAx>
        <c:axId val="1280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026496"/>
        <c:crosses val="autoZero"/>
        <c:crossBetween val="midCat"/>
      </c:valAx>
      <c:valAx>
        <c:axId val="1280264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8024960"/>
        <c:crosses val="autoZero"/>
        <c:crossBetween val="midCat"/>
      </c:valAx>
    </c:plotArea>
    <c:legend>
      <c:legendPos val="b"/>
      <c:legendEntry>
        <c:idx val="1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CA-4573-A78F-9DB01B644E17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CA-4573-A78F-9DB01B644E17}"/>
              </c:ext>
            </c:extLst>
          </c:dPt>
          <c:dLbls>
            <c:dLbl>
              <c:idx val="0"/>
              <c:layout>
                <c:manualLayout>
                  <c:x val="-0.16574242839765899"/>
                  <c:y val="4.340051465235569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CA-4573-A78F-9DB01B644E1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6951847600014004E-2"/>
                  <c:y val="-3.832527597216440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CA-4573-A78F-9DB01B644E1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del Proyecto'!$T$20:$T$21</c:f>
              <c:strCache>
                <c:ptCount val="2"/>
                <c:pt idx="0">
                  <c:v>Personas que desean consumir el néctar de Aloe Vera</c:v>
                </c:pt>
                <c:pt idx="1">
                  <c:v>Personas que no desean consumir el néctar de Aloe Vera</c:v>
                </c:pt>
              </c:strCache>
            </c:strRef>
          </c:cat>
          <c:val>
            <c:numRef>
              <c:f>'Demanda del Proyecto'!$U$20:$U$21</c:f>
              <c:numCache>
                <c:formatCode>0.00%</c:formatCode>
                <c:ptCount val="2"/>
                <c:pt idx="0">
                  <c:v>0.85799999999999998</c:v>
                </c:pt>
                <c:pt idx="1">
                  <c:v>0.14199999999999999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CA-4573-A78F-9DB01B644E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C0-464B-A362-CCC03F3F8BB9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C0-464B-A362-CCC03F3F8BB9}"/>
              </c:ext>
            </c:extLst>
          </c:dPt>
          <c:dLbls>
            <c:dLbl>
              <c:idx val="1"/>
              <c:layout>
                <c:manualLayout>
                  <c:x val="5.8187331547872902E-2"/>
                  <c:y val="-0.15794528014963599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0C0-464B-A362-CCC03F3F8B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del Proyecto'!$W$20:$W$21</c:f>
              <c:strCache>
                <c:ptCount val="2"/>
                <c:pt idx="0">
                  <c:v>Personas que desean consumir los 4 sabores ofrecidos</c:v>
                </c:pt>
                <c:pt idx="1">
                  <c:v>Personas que gustan de otros sabores</c:v>
                </c:pt>
              </c:strCache>
            </c:strRef>
          </c:cat>
          <c:val>
            <c:numRef>
              <c:f>'Demanda del Proyecto'!$X$20:$X$21</c:f>
              <c:numCache>
                <c:formatCode>0%</c:formatCode>
                <c:ptCount val="2"/>
                <c:pt idx="0">
                  <c:v>0.66</c:v>
                </c:pt>
                <c:pt idx="1">
                  <c:v>0.33999999999999997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0C0-464B-A362-CCC03F3F8B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15-41EA-A952-891725BA55C7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15-41EA-A952-891725BA55C7}"/>
              </c:ext>
            </c:extLst>
          </c:dPt>
          <c:dLbls>
            <c:dLbl>
              <c:idx val="0"/>
              <c:layout>
                <c:manualLayout>
                  <c:x val="-4.34227819848109E-2"/>
                  <c:y val="-9.234993499146309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215-41EA-A952-891725BA55C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2107680293442198E-2"/>
                  <c:y val="0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215-41EA-A952-891725BA55C7}"/>
                </c:ext>
                <c:ext xmlns:c15="http://schemas.microsoft.com/office/drawing/2012/chart" uri="{CE6537A1-D6FC-4f65-9D91-7224C49458BB}">
                  <c15:layout>
                    <c:manualLayout>
                      <c:w val="0.22588531188498601"/>
                      <c:h val="0.2152125100412670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del Proyecto'!$Z$20:$Z$21</c:f>
              <c:strCache>
                <c:ptCount val="2"/>
                <c:pt idx="0">
                  <c:v>Proyecto</c:v>
                </c:pt>
                <c:pt idx="1">
                  <c:v>Otros</c:v>
                </c:pt>
              </c:strCache>
            </c:strRef>
          </c:cat>
          <c:val>
            <c:numRef>
              <c:f>'Demanda del Proyecto'!$AA$20:$AA$21</c:f>
              <c:numCache>
                <c:formatCode>0%</c:formatCode>
                <c:ptCount val="2"/>
                <c:pt idx="0">
                  <c:v>0.3</c:v>
                </c:pt>
                <c:pt idx="1">
                  <c:v>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215-41EA-A952-891725BA55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Demanda del Proyecto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Millones de Litros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'Demanda del Proyecto'!$E$28:$E$32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'Demanda del Proyecto'!$G$28:$G$32</c:f>
              <c:numCache>
                <c:formatCode>#,##0</c:formatCode>
                <c:ptCount val="5"/>
                <c:pt idx="0">
                  <c:v>65260.595784911748</c:v>
                </c:pt>
                <c:pt idx="1">
                  <c:v>120359.33726828717</c:v>
                </c:pt>
                <c:pt idx="2">
                  <c:v>192762.28448477722</c:v>
                </c:pt>
                <c:pt idx="3">
                  <c:v>283789.52232156921</c:v>
                </c:pt>
                <c:pt idx="4">
                  <c:v>394675.96095606074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A8-4406-90E5-4CAF76991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0752512"/>
        <c:axId val="130755200"/>
      </c:barChart>
      <c:catAx>
        <c:axId val="1307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755200"/>
        <c:crosses val="autoZero"/>
        <c:auto val="1"/>
        <c:lblAlgn val="ctr"/>
        <c:lblOffset val="100"/>
        <c:noMultiLvlLbl val="0"/>
      </c:catAx>
      <c:valAx>
        <c:axId val="130755200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crossAx val="130752512"/>
        <c:crosses val="autoZero"/>
        <c:crossBetween val="between"/>
        <c:dispUnits>
          <c:builtInUnit val="millions"/>
        </c:dispUnits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'Tamaño de Planta'!$J$11</c:f>
              <c:strCache>
                <c:ptCount val="1"/>
                <c:pt idx="0">
                  <c:v>Utilización de Capacidad Anual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'Tamaño de Planta'!$I$12:$I$16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'Tamaño de Planta'!$J$12:$J$16</c:f>
              <c:numCache>
                <c:formatCode>0.00%</c:formatCode>
                <c:ptCount val="5"/>
                <c:pt idx="0">
                  <c:v>0.16108885489108601</c:v>
                </c:pt>
                <c:pt idx="1">
                  <c:v>0.29629056939709225</c:v>
                </c:pt>
                <c:pt idx="2">
                  <c:v>0.4773149071610458</c:v>
                </c:pt>
                <c:pt idx="3">
                  <c:v>0.70871582096866248</c:v>
                </c:pt>
                <c:pt idx="4">
                  <c:v>0.99529884206556463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42-4C92-935E-CE5B85BAF0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7"/>
        <c:axId val="132594688"/>
        <c:axId val="132732800"/>
      </c:barChart>
      <c:catAx>
        <c:axId val="13259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32732800"/>
        <c:crosses val="autoZero"/>
        <c:auto val="1"/>
        <c:lblAlgn val="ctr"/>
        <c:lblOffset val="100"/>
        <c:noMultiLvlLbl val="0"/>
      </c:catAx>
      <c:valAx>
        <c:axId val="13273280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3259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Utilización de Capacidad Anual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'Tamaño de Planta'!$I$12:$I$15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'Tamaño de Planta'!$J$12:$J$15</c:f>
              <c:numCache>
                <c:formatCode>0.00%</c:formatCode>
                <c:ptCount val="4"/>
                <c:pt idx="0">
                  <c:v>0.16108885489108601</c:v>
                </c:pt>
                <c:pt idx="1">
                  <c:v>0.29629056939709225</c:v>
                </c:pt>
                <c:pt idx="2">
                  <c:v>0.4773149071610458</c:v>
                </c:pt>
                <c:pt idx="3">
                  <c:v>0.70871582096866248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EA-40D9-9B4E-6AD787DBF25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2768896"/>
        <c:axId val="132771840"/>
      </c:barChart>
      <c:catAx>
        <c:axId val="13276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771840"/>
        <c:crosses val="autoZero"/>
        <c:auto val="1"/>
        <c:lblAlgn val="ctr"/>
        <c:lblOffset val="100"/>
        <c:noMultiLvlLbl val="0"/>
      </c:catAx>
      <c:valAx>
        <c:axId val="1327718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crossAx val="132768896"/>
        <c:crosses val="autoZero"/>
        <c:crossBetween val="between"/>
        <c:majorUnit val="0.4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6F-406C-AA0A-D9A8183186A9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6F-406C-AA0A-D9A8183186A9}"/>
              </c:ext>
            </c:extLst>
          </c:dPt>
          <c:dLbls>
            <c:dLbl>
              <c:idx val="0"/>
              <c:layout>
                <c:manualLayout>
                  <c:x val="-0.35151107121484199"/>
                  <c:y val="-0.16692954784437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F6F-406C-AA0A-D9A8183186A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'El Consumidor'!$C$20:$D$20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'El Consumidor'!$C$21:$D$21</c:f>
              <c:numCache>
                <c:formatCode>0.00%</c:formatCode>
                <c:ptCount val="2"/>
                <c:pt idx="0">
                  <c:v>0.91200000000000003</c:v>
                </c:pt>
                <c:pt idx="1">
                  <c:v>8.7999999999999995E-2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F6F-406C-AA0A-D9A8183186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0.72038474965090704"/>
          <c:y val="0.43401682439537298"/>
          <c:w val="0.160915868741273"/>
          <c:h val="9.494523308797760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DD-46C4-83A7-E24D5C2883A6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DD-46C4-83A7-E24D5C2883A6}"/>
              </c:ext>
            </c:extLst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DD-46C4-83A7-E24D5C2883A6}"/>
              </c:ext>
            </c:extLst>
          </c:dPt>
          <c:dPt>
            <c:idx val="3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1DD-46C4-83A7-E24D5C2883A6}"/>
              </c:ext>
            </c:extLst>
          </c:dPt>
          <c:dPt>
            <c:idx val="4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1DD-46C4-83A7-E24D5C2883A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'El Consumidor'!$C$24:$G$24</c:f>
              <c:strCache>
                <c:ptCount val="5"/>
                <c:pt idx="0">
                  <c:v>Diario</c:v>
                </c:pt>
                <c:pt idx="1">
                  <c:v>2 a 3 veces por semana</c:v>
                </c:pt>
                <c:pt idx="2">
                  <c:v>Quincenal</c:v>
                </c:pt>
                <c:pt idx="3">
                  <c:v>Mensual</c:v>
                </c:pt>
                <c:pt idx="4">
                  <c:v>Otro</c:v>
                </c:pt>
              </c:strCache>
            </c:strRef>
          </c:cat>
          <c:val>
            <c:numRef>
              <c:f>'El Consumidor'!$C$25:$G$25</c:f>
              <c:numCache>
                <c:formatCode>0.00%</c:formatCode>
                <c:ptCount val="5"/>
                <c:pt idx="0">
                  <c:v>4.7E-2</c:v>
                </c:pt>
                <c:pt idx="1">
                  <c:v>0.36899999999999999</c:v>
                </c:pt>
                <c:pt idx="2">
                  <c:v>0.36899999999999999</c:v>
                </c:pt>
                <c:pt idx="3">
                  <c:v>0.17499999999999999</c:v>
                </c:pt>
                <c:pt idx="4">
                  <c:v>0.04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1DD-46C4-83A7-E24D5C2883A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'El Consumidor'!$D$35</c:f>
              <c:strCache>
                <c:ptCount val="1"/>
                <c:pt idx="0">
                  <c:v>Preferencia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'El Consumidor'!$C$36:$C$41</c:f>
              <c:strCache>
                <c:ptCount val="6"/>
                <c:pt idx="0">
                  <c:v>Mango</c:v>
                </c:pt>
                <c:pt idx="1">
                  <c:v>Maracuya</c:v>
                </c:pt>
                <c:pt idx="2">
                  <c:v>Mandarina</c:v>
                </c:pt>
                <c:pt idx="3">
                  <c:v>Durazno</c:v>
                </c:pt>
                <c:pt idx="4">
                  <c:v>Manzana</c:v>
                </c:pt>
                <c:pt idx="5">
                  <c:v>Otro</c:v>
                </c:pt>
              </c:strCache>
            </c:strRef>
          </c:cat>
          <c:val>
            <c:numRef>
              <c:f>'El Consumidor'!$D$36:$D$41</c:f>
              <c:numCache>
                <c:formatCode>0.00%</c:formatCode>
                <c:ptCount val="6"/>
                <c:pt idx="0">
                  <c:v>0.23958333333333334</c:v>
                </c:pt>
                <c:pt idx="1">
                  <c:v>0.18229166666666666</c:v>
                </c:pt>
                <c:pt idx="2">
                  <c:v>3.6458333333333336E-2</c:v>
                </c:pt>
                <c:pt idx="3">
                  <c:v>0.35416666666666669</c:v>
                </c:pt>
                <c:pt idx="4">
                  <c:v>0.11458333333333333</c:v>
                </c:pt>
                <c:pt idx="5">
                  <c:v>7.2916666666666671E-2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5A-45B0-BAC4-F08FD4C494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5098624"/>
        <c:axId val="105109760"/>
      </c:barChart>
      <c:catAx>
        <c:axId val="10509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109760"/>
        <c:crosses val="autoZero"/>
        <c:auto val="1"/>
        <c:lblAlgn val="ctr"/>
        <c:lblOffset val="100"/>
        <c:noMultiLvlLbl val="0"/>
      </c:catAx>
      <c:valAx>
        <c:axId val="105109760"/>
        <c:scaling>
          <c:orientation val="minMax"/>
          <c:max val="0.5"/>
        </c:scaling>
        <c:delete val="0"/>
        <c:axPos val="l"/>
        <c:numFmt formatCode="0%" sourceLinked="0"/>
        <c:majorTickMark val="out"/>
        <c:minorTickMark val="none"/>
        <c:tickLblPos val="nextTo"/>
        <c:crossAx val="105098624"/>
        <c:crosses val="autoZero"/>
        <c:crossBetween val="between"/>
        <c:majorUnit val="0.1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'El Consumidor'!$D$47</c:f>
              <c:strCache>
                <c:ptCount val="1"/>
                <c:pt idx="0">
                  <c:v>Preferencia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'El Consumidor'!$C$48:$C$53</c:f>
              <c:strCache>
                <c:ptCount val="6"/>
                <c:pt idx="0">
                  <c:v>Mango</c:v>
                </c:pt>
                <c:pt idx="1">
                  <c:v>Maracuya</c:v>
                </c:pt>
                <c:pt idx="2">
                  <c:v>Mandarina</c:v>
                </c:pt>
                <c:pt idx="3">
                  <c:v>Durazno</c:v>
                </c:pt>
                <c:pt idx="4">
                  <c:v>Manzana</c:v>
                </c:pt>
                <c:pt idx="5">
                  <c:v>Otro</c:v>
                </c:pt>
              </c:strCache>
            </c:strRef>
          </c:cat>
          <c:val>
            <c:numRef>
              <c:f>'El Consumidor'!$D$48:$D$53</c:f>
              <c:numCache>
                <c:formatCode>0.00%</c:formatCode>
                <c:ptCount val="6"/>
                <c:pt idx="0">
                  <c:v>0.2153846153846154</c:v>
                </c:pt>
                <c:pt idx="1">
                  <c:v>0.23589743589743589</c:v>
                </c:pt>
                <c:pt idx="2">
                  <c:v>8.7179487179487175E-2</c:v>
                </c:pt>
                <c:pt idx="3">
                  <c:v>0.29230769230769232</c:v>
                </c:pt>
                <c:pt idx="4">
                  <c:v>0.12307692307692308</c:v>
                </c:pt>
                <c:pt idx="5">
                  <c:v>4.6153846153846156E-2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AB-4E11-9309-6D8F561CDD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9465600"/>
        <c:axId val="109468288"/>
      </c:barChart>
      <c:catAx>
        <c:axId val="109465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9468288"/>
        <c:crosses val="autoZero"/>
        <c:auto val="1"/>
        <c:lblAlgn val="ctr"/>
        <c:lblOffset val="100"/>
        <c:noMultiLvlLbl val="0"/>
      </c:catAx>
      <c:valAx>
        <c:axId val="109468288"/>
        <c:scaling>
          <c:orientation val="minMax"/>
          <c:max val="0.5"/>
        </c:scaling>
        <c:delete val="0"/>
        <c:axPos val="l"/>
        <c:numFmt formatCode="0%" sourceLinked="0"/>
        <c:majorTickMark val="out"/>
        <c:minorTickMark val="none"/>
        <c:tickLblPos val="nextTo"/>
        <c:crossAx val="109465600"/>
        <c:crosses val="autoZero"/>
        <c:crossBetween val="between"/>
        <c:majorUnit val="0.1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32-4F7E-BFAF-F71C6954E4C4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32-4F7E-BFAF-F71C6954E4C4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32-4F7E-BFAF-F71C6954E4C4}"/>
              </c:ext>
            </c:extLst>
          </c:dPt>
          <c:dPt>
            <c:idx val="3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32-4F7E-BFAF-F71C6954E4C4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032-4F7E-BFAF-F71C6954E4C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'El Consumidor'!$E$61:$I$61</c:f>
              <c:strCache>
                <c:ptCount val="5"/>
                <c:pt idx="0">
                  <c:v>Supermercados</c:v>
                </c:pt>
                <c:pt idx="1">
                  <c:v>Bodegas</c:v>
                </c:pt>
                <c:pt idx="2">
                  <c:v>Restaurantes</c:v>
                </c:pt>
                <c:pt idx="3">
                  <c:v>Mercados</c:v>
                </c:pt>
                <c:pt idx="4">
                  <c:v>Otros</c:v>
                </c:pt>
              </c:strCache>
            </c:strRef>
          </c:cat>
          <c:val>
            <c:numRef>
              <c:f>'El Consumidor'!$E$62:$I$62</c:f>
              <c:numCache>
                <c:formatCode>0%</c:formatCode>
                <c:ptCount val="5"/>
                <c:pt idx="0">
                  <c:v>0.46</c:v>
                </c:pt>
                <c:pt idx="1">
                  <c:v>0.44</c:v>
                </c:pt>
                <c:pt idx="2">
                  <c:v>0.02</c:v>
                </c:pt>
                <c:pt idx="3">
                  <c:v>0.06</c:v>
                </c:pt>
                <c:pt idx="4">
                  <c:v>0.02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032-4F7E-BFAF-F71C6954E4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4B-476F-93DF-E1C5D40DC10C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4B-476F-93DF-E1C5D40DC10C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4B-476F-93DF-E1C5D40DC10C}"/>
              </c:ext>
            </c:extLst>
          </c:dPt>
          <c:dPt>
            <c:idx val="3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4B-476F-93DF-E1C5D40DC10C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74B-476F-93DF-E1C5D40DC10C}"/>
              </c:ext>
            </c:extLst>
          </c:dPt>
          <c:dLbls>
            <c:dLbl>
              <c:idx val="3"/>
              <c:layout>
                <c:manualLayout>
                  <c:x val="5.3835028924795497E-2"/>
                  <c:y val="-5.5643182614791399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74B-476F-93DF-E1C5D40DC10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'El Consumidor'!$E$79:$H$79</c:f>
              <c:strCache>
                <c:ptCount val="4"/>
                <c:pt idx="0">
                  <c:v>2-4 soles</c:v>
                </c:pt>
                <c:pt idx="1">
                  <c:v>5-6 soles</c:v>
                </c:pt>
                <c:pt idx="2">
                  <c:v>7-8 soles</c:v>
                </c:pt>
                <c:pt idx="3">
                  <c:v>Otros</c:v>
                </c:pt>
              </c:strCache>
            </c:strRef>
          </c:cat>
          <c:val>
            <c:numRef>
              <c:f>'El Consumidor'!$E$80:$H$80</c:f>
              <c:numCache>
                <c:formatCode>0.00%</c:formatCode>
                <c:ptCount val="4"/>
                <c:pt idx="0">
                  <c:v>0.78400000000000003</c:v>
                </c:pt>
                <c:pt idx="1">
                  <c:v>0.16500000000000001</c:v>
                </c:pt>
                <c:pt idx="2">
                  <c:v>0.03</c:v>
                </c:pt>
                <c:pt idx="3">
                  <c:v>2.1000000000000001E-2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74B-476F-93DF-E1C5D40DC1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25-4E3F-8806-A349AB553921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25-4E3F-8806-A349AB553921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25-4E3F-8806-A349AB553921}"/>
              </c:ext>
            </c:extLst>
          </c:dPt>
          <c:dPt>
            <c:idx val="3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25-4E3F-8806-A349AB553921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325-4E3F-8806-A349AB553921}"/>
              </c:ext>
            </c:extLst>
          </c:dPt>
          <c:dLbls>
            <c:dLbl>
              <c:idx val="3"/>
              <c:layout>
                <c:manualLayout>
                  <c:x val="5.3835028924795497E-2"/>
                  <c:y val="-5.5643182614791399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325-4E3F-8806-A349AB55392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'El Consumidor'!$E$98:$H$98</c:f>
              <c:strCache>
                <c:ptCount val="4"/>
                <c:pt idx="0">
                  <c:v>6-8 soles</c:v>
                </c:pt>
                <c:pt idx="1">
                  <c:v>9-10 soles</c:v>
                </c:pt>
                <c:pt idx="2">
                  <c:v>11-12 soles</c:v>
                </c:pt>
                <c:pt idx="3">
                  <c:v>Otros</c:v>
                </c:pt>
              </c:strCache>
            </c:strRef>
          </c:cat>
          <c:val>
            <c:numRef>
              <c:f>'El Consumidor'!$E$99:$H$99</c:f>
              <c:numCache>
                <c:formatCode>0.00%</c:formatCode>
                <c:ptCount val="4"/>
                <c:pt idx="0">
                  <c:v>0.59799999999999998</c:v>
                </c:pt>
                <c:pt idx="1">
                  <c:v>0.309</c:v>
                </c:pt>
                <c:pt idx="2">
                  <c:v>0.08</c:v>
                </c:pt>
                <c:pt idx="3">
                  <c:v>1.2999999999999999E-2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325-4E3F-8806-A349AB5539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3" Type="http://schemas.openxmlformats.org/officeDocument/2006/relationships/image" Target="../media/image9.png"/><Relationship Id="rId21" Type="http://schemas.openxmlformats.org/officeDocument/2006/relationships/image" Target="../media/image27.pn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17" Type="http://schemas.openxmlformats.org/officeDocument/2006/relationships/image" Target="../media/image23.png"/><Relationship Id="rId2" Type="http://schemas.openxmlformats.org/officeDocument/2006/relationships/image" Target="../media/image8.png"/><Relationship Id="rId16" Type="http://schemas.openxmlformats.org/officeDocument/2006/relationships/image" Target="../media/image22.jpeg"/><Relationship Id="rId20" Type="http://schemas.openxmlformats.org/officeDocument/2006/relationships/image" Target="../media/image26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jpeg"/><Relationship Id="rId5" Type="http://schemas.openxmlformats.org/officeDocument/2006/relationships/image" Target="../media/image11.png"/><Relationship Id="rId15" Type="http://schemas.openxmlformats.org/officeDocument/2006/relationships/image" Target="../media/image21.jpeg"/><Relationship Id="rId10" Type="http://schemas.openxmlformats.org/officeDocument/2006/relationships/image" Target="../media/image16.jpeg"/><Relationship Id="rId19" Type="http://schemas.openxmlformats.org/officeDocument/2006/relationships/image" Target="../media/image25.jpeg"/><Relationship Id="rId4" Type="http://schemas.openxmlformats.org/officeDocument/2006/relationships/image" Target="../media/image10.pn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8</xdr:row>
      <xdr:rowOff>152400</xdr:rowOff>
    </xdr:from>
    <xdr:to>
      <xdr:col>7</xdr:col>
      <xdr:colOff>466725</xdr:colOff>
      <xdr:row>23</xdr:row>
      <xdr:rowOff>4445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285751</xdr:colOff>
      <xdr:row>28</xdr:row>
      <xdr:rowOff>13605</xdr:rowOff>
    </xdr:from>
    <xdr:ext cx="707572" cy="884463"/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1" y="12777105"/>
          <a:ext cx="707572" cy="884463"/>
        </a:xfrm>
        <a:prstGeom prst="rect">
          <a:avLst/>
        </a:prstGeom>
        <a:noFill/>
      </xdr:spPr>
    </xdr:pic>
    <xdr:clientData/>
  </xdr:oneCellAnchor>
  <xdr:oneCellAnchor>
    <xdr:from>
      <xdr:col>2</xdr:col>
      <xdr:colOff>123825</xdr:colOff>
      <xdr:row>16</xdr:row>
      <xdr:rowOff>171237</xdr:rowOff>
    </xdr:from>
    <xdr:ext cx="742950" cy="962370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6425" y="10648737"/>
          <a:ext cx="742950" cy="962370"/>
        </a:xfrm>
        <a:prstGeom prst="rect">
          <a:avLst/>
        </a:prstGeom>
      </xdr:spPr>
    </xdr:pic>
    <xdr:clientData/>
  </xdr:oneCellAnchor>
  <xdr:oneCellAnchor>
    <xdr:from>
      <xdr:col>6</xdr:col>
      <xdr:colOff>28576</xdr:colOff>
      <xdr:row>17</xdr:row>
      <xdr:rowOff>66675</xdr:rowOff>
    </xdr:from>
    <xdr:ext cx="923750" cy="733302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86376" y="10734675"/>
          <a:ext cx="923750" cy="733302"/>
        </a:xfrm>
        <a:prstGeom prst="rect">
          <a:avLst/>
        </a:prstGeom>
      </xdr:spPr>
    </xdr:pic>
    <xdr:clientData/>
  </xdr:oneCellAnchor>
  <xdr:twoCellAnchor>
    <xdr:from>
      <xdr:col>1</xdr:col>
      <xdr:colOff>247650</xdr:colOff>
      <xdr:row>18</xdr:row>
      <xdr:rowOff>180975</xdr:rowOff>
    </xdr:from>
    <xdr:to>
      <xdr:col>1</xdr:col>
      <xdr:colOff>470535</xdr:colOff>
      <xdr:row>20</xdr:row>
      <xdr:rowOff>1905</xdr:rowOff>
    </xdr:to>
    <xdr:sp macro="" textlink="">
      <xdr:nvSpPr>
        <xdr:cNvPr id="5" name="Flecha derecha 4"/>
        <xdr:cNvSpPr/>
      </xdr:nvSpPr>
      <xdr:spPr>
        <a:xfrm>
          <a:off x="1238250" y="1103947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4</xdr:col>
      <xdr:colOff>95250</xdr:colOff>
      <xdr:row>17</xdr:row>
      <xdr:rowOff>133349</xdr:rowOff>
    </xdr:from>
    <xdr:ext cx="809625" cy="752749"/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0853"/>
        <a:stretch/>
      </xdr:blipFill>
      <xdr:spPr>
        <a:xfrm>
          <a:off x="3600450" y="10801349"/>
          <a:ext cx="809625" cy="752749"/>
        </a:xfrm>
        <a:prstGeom prst="rect">
          <a:avLst/>
        </a:prstGeom>
      </xdr:spPr>
    </xdr:pic>
    <xdr:clientData/>
  </xdr:oneCellAnchor>
  <xdr:twoCellAnchor>
    <xdr:from>
      <xdr:col>3</xdr:col>
      <xdr:colOff>285750</xdr:colOff>
      <xdr:row>19</xdr:row>
      <xdr:rowOff>9525</xdr:rowOff>
    </xdr:from>
    <xdr:to>
      <xdr:col>3</xdr:col>
      <xdr:colOff>508635</xdr:colOff>
      <xdr:row>20</xdr:row>
      <xdr:rowOff>20955</xdr:rowOff>
    </xdr:to>
    <xdr:sp macro="" textlink="">
      <xdr:nvSpPr>
        <xdr:cNvPr id="7" name="Flecha derecha 6"/>
        <xdr:cNvSpPr/>
      </xdr:nvSpPr>
      <xdr:spPr>
        <a:xfrm>
          <a:off x="3028950" y="11058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285750</xdr:colOff>
      <xdr:row>19</xdr:row>
      <xdr:rowOff>9525</xdr:rowOff>
    </xdr:from>
    <xdr:to>
      <xdr:col>5</xdr:col>
      <xdr:colOff>508635</xdr:colOff>
      <xdr:row>20</xdr:row>
      <xdr:rowOff>20955</xdr:rowOff>
    </xdr:to>
    <xdr:sp macro="" textlink="">
      <xdr:nvSpPr>
        <xdr:cNvPr id="8" name="Flecha derecha 7"/>
        <xdr:cNvSpPr/>
      </xdr:nvSpPr>
      <xdr:spPr>
        <a:xfrm>
          <a:off x="4781550" y="11058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7</xdr:col>
      <xdr:colOff>285750</xdr:colOff>
      <xdr:row>19</xdr:row>
      <xdr:rowOff>9525</xdr:rowOff>
    </xdr:from>
    <xdr:to>
      <xdr:col>7</xdr:col>
      <xdr:colOff>508635</xdr:colOff>
      <xdr:row>20</xdr:row>
      <xdr:rowOff>20955</xdr:rowOff>
    </xdr:to>
    <xdr:sp macro="" textlink="">
      <xdr:nvSpPr>
        <xdr:cNvPr id="9" name="Flecha derecha 8"/>
        <xdr:cNvSpPr/>
      </xdr:nvSpPr>
      <xdr:spPr>
        <a:xfrm>
          <a:off x="6534150" y="11058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13</xdr:col>
      <xdr:colOff>285750</xdr:colOff>
      <xdr:row>18</xdr:row>
      <xdr:rowOff>172811</xdr:rowOff>
    </xdr:from>
    <xdr:to>
      <xdr:col>13</xdr:col>
      <xdr:colOff>508635</xdr:colOff>
      <xdr:row>19</xdr:row>
      <xdr:rowOff>184241</xdr:rowOff>
    </xdr:to>
    <xdr:sp macro="" textlink="">
      <xdr:nvSpPr>
        <xdr:cNvPr id="10" name="Flecha derecha 9"/>
        <xdr:cNvSpPr/>
      </xdr:nvSpPr>
      <xdr:spPr>
        <a:xfrm>
          <a:off x="11791950" y="11031311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57150</xdr:colOff>
      <xdr:row>14</xdr:row>
      <xdr:rowOff>126067</xdr:rowOff>
    </xdr:from>
    <xdr:to>
      <xdr:col>6</xdr:col>
      <xdr:colOff>248285</xdr:colOff>
      <xdr:row>15</xdr:row>
      <xdr:rowOff>158452</xdr:rowOff>
    </xdr:to>
    <xdr:sp macro="" textlink="">
      <xdr:nvSpPr>
        <xdr:cNvPr id="11" name="Flecha abajo 10"/>
        <xdr:cNvSpPr/>
      </xdr:nvSpPr>
      <xdr:spPr>
        <a:xfrm>
          <a:off x="5314950" y="10222567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781050</xdr:colOff>
      <xdr:row>14</xdr:row>
      <xdr:rowOff>110379</xdr:rowOff>
    </xdr:from>
    <xdr:to>
      <xdr:col>6</xdr:col>
      <xdr:colOff>972185</xdr:colOff>
      <xdr:row>15</xdr:row>
      <xdr:rowOff>142764</xdr:rowOff>
    </xdr:to>
    <xdr:sp macro="" textlink="">
      <xdr:nvSpPr>
        <xdr:cNvPr id="12" name="Flecha abajo 11"/>
        <xdr:cNvSpPr/>
      </xdr:nvSpPr>
      <xdr:spPr>
        <a:xfrm>
          <a:off x="6038850" y="10206879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827635</xdr:colOff>
      <xdr:row>22</xdr:row>
      <xdr:rowOff>167288</xdr:rowOff>
    </xdr:from>
    <xdr:to>
      <xdr:col>11</xdr:col>
      <xdr:colOff>25448</xdr:colOff>
      <xdr:row>24</xdr:row>
      <xdr:rowOff>9173</xdr:rowOff>
    </xdr:to>
    <xdr:sp macro="" textlink="">
      <xdr:nvSpPr>
        <xdr:cNvPr id="13" name="Flecha abajo 12"/>
        <xdr:cNvSpPr/>
      </xdr:nvSpPr>
      <xdr:spPr>
        <a:xfrm>
          <a:off x="9590635" y="11787788"/>
          <a:ext cx="188413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0</xdr:col>
      <xdr:colOff>134471</xdr:colOff>
      <xdr:row>16</xdr:row>
      <xdr:rowOff>22412</xdr:rowOff>
    </xdr:from>
    <xdr:ext cx="729507" cy="544632"/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471" y="10499912"/>
          <a:ext cx="729507" cy="544632"/>
        </a:xfrm>
        <a:prstGeom prst="rect">
          <a:avLst/>
        </a:prstGeom>
      </xdr:spPr>
    </xdr:pic>
    <xdr:clientData/>
  </xdr:oneCellAnchor>
  <xdr:oneCellAnchor>
    <xdr:from>
      <xdr:col>8</xdr:col>
      <xdr:colOff>138472</xdr:colOff>
      <xdr:row>17</xdr:row>
      <xdr:rowOff>45842</xdr:rowOff>
    </xdr:from>
    <xdr:ext cx="649941" cy="886647"/>
    <xdr:pic>
      <xdr:nvPicPr>
        <xdr:cNvPr id="15" name="Imagen 14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067" t="8247" r="18308" b="4954"/>
        <a:stretch/>
      </xdr:blipFill>
      <xdr:spPr>
        <a:xfrm>
          <a:off x="7148872" y="10713842"/>
          <a:ext cx="649941" cy="886647"/>
        </a:xfrm>
        <a:prstGeom prst="rect">
          <a:avLst/>
        </a:prstGeom>
      </xdr:spPr>
    </xdr:pic>
    <xdr:clientData/>
  </xdr:oneCellAnchor>
  <xdr:twoCellAnchor>
    <xdr:from>
      <xdr:col>8</xdr:col>
      <xdr:colOff>351384</xdr:colOff>
      <xdr:row>22</xdr:row>
      <xdr:rowOff>153680</xdr:rowOff>
    </xdr:from>
    <xdr:to>
      <xdr:col>8</xdr:col>
      <xdr:colOff>530678</xdr:colOff>
      <xdr:row>23</xdr:row>
      <xdr:rowOff>164886</xdr:rowOff>
    </xdr:to>
    <xdr:sp macro="" textlink="">
      <xdr:nvSpPr>
        <xdr:cNvPr id="16" name="Flecha arriba 15"/>
        <xdr:cNvSpPr/>
      </xdr:nvSpPr>
      <xdr:spPr>
        <a:xfrm>
          <a:off x="7361784" y="11774180"/>
          <a:ext cx="179294" cy="201706"/>
        </a:xfrm>
        <a:prstGeom prst="up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481853</xdr:colOff>
      <xdr:row>26</xdr:row>
      <xdr:rowOff>116368</xdr:rowOff>
    </xdr:from>
    <xdr:to>
      <xdr:col>3</xdr:col>
      <xdr:colOff>704738</xdr:colOff>
      <xdr:row>27</xdr:row>
      <xdr:rowOff>127798</xdr:rowOff>
    </xdr:to>
    <xdr:sp macro="" textlink="">
      <xdr:nvSpPr>
        <xdr:cNvPr id="17" name="Flecha derecha 16"/>
        <xdr:cNvSpPr/>
      </xdr:nvSpPr>
      <xdr:spPr>
        <a:xfrm>
          <a:off x="3225053" y="1249886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470647</xdr:colOff>
      <xdr:row>27</xdr:row>
      <xdr:rowOff>138348</xdr:rowOff>
    </xdr:from>
    <xdr:to>
      <xdr:col>3</xdr:col>
      <xdr:colOff>693532</xdr:colOff>
      <xdr:row>28</xdr:row>
      <xdr:rowOff>149778</xdr:rowOff>
    </xdr:to>
    <xdr:sp macro="" textlink="">
      <xdr:nvSpPr>
        <xdr:cNvPr id="18" name="Flecha derecha 17"/>
        <xdr:cNvSpPr/>
      </xdr:nvSpPr>
      <xdr:spPr>
        <a:xfrm>
          <a:off x="3213847" y="1271134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470647</xdr:colOff>
      <xdr:row>28</xdr:row>
      <xdr:rowOff>168518</xdr:rowOff>
    </xdr:from>
    <xdr:to>
      <xdr:col>3</xdr:col>
      <xdr:colOff>693532</xdr:colOff>
      <xdr:row>29</xdr:row>
      <xdr:rowOff>179948</xdr:rowOff>
    </xdr:to>
    <xdr:sp macro="" textlink="">
      <xdr:nvSpPr>
        <xdr:cNvPr id="19" name="Flecha derecha 18"/>
        <xdr:cNvSpPr/>
      </xdr:nvSpPr>
      <xdr:spPr>
        <a:xfrm>
          <a:off x="3213847" y="1293201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458837</xdr:colOff>
      <xdr:row>34</xdr:row>
      <xdr:rowOff>23778</xdr:rowOff>
    </xdr:from>
    <xdr:to>
      <xdr:col>3</xdr:col>
      <xdr:colOff>681722</xdr:colOff>
      <xdr:row>35</xdr:row>
      <xdr:rowOff>35208</xdr:rowOff>
    </xdr:to>
    <xdr:sp macro="" textlink="">
      <xdr:nvSpPr>
        <xdr:cNvPr id="20" name="Flecha derecha 19"/>
        <xdr:cNvSpPr/>
      </xdr:nvSpPr>
      <xdr:spPr>
        <a:xfrm>
          <a:off x="3207480" y="6500778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451510</xdr:colOff>
      <xdr:row>33</xdr:row>
      <xdr:rowOff>11033</xdr:rowOff>
    </xdr:from>
    <xdr:to>
      <xdr:col>3</xdr:col>
      <xdr:colOff>674395</xdr:colOff>
      <xdr:row>34</xdr:row>
      <xdr:rowOff>22463</xdr:rowOff>
    </xdr:to>
    <xdr:sp macro="" textlink="">
      <xdr:nvSpPr>
        <xdr:cNvPr id="21" name="Flecha derecha 20"/>
        <xdr:cNvSpPr/>
      </xdr:nvSpPr>
      <xdr:spPr>
        <a:xfrm>
          <a:off x="3194710" y="13727033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370594</xdr:colOff>
      <xdr:row>27</xdr:row>
      <xdr:rowOff>165687</xdr:rowOff>
    </xdr:from>
    <xdr:to>
      <xdr:col>6</xdr:col>
      <xdr:colOff>593479</xdr:colOff>
      <xdr:row>28</xdr:row>
      <xdr:rowOff>177117</xdr:rowOff>
    </xdr:to>
    <xdr:sp macro="" textlink="">
      <xdr:nvSpPr>
        <xdr:cNvPr id="22" name="Flecha derecha 21"/>
        <xdr:cNvSpPr/>
      </xdr:nvSpPr>
      <xdr:spPr>
        <a:xfrm>
          <a:off x="5628394" y="12738687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8</xdr:col>
      <xdr:colOff>572620</xdr:colOff>
      <xdr:row>33</xdr:row>
      <xdr:rowOff>31618</xdr:rowOff>
    </xdr:from>
    <xdr:to>
      <xdr:col>8</xdr:col>
      <xdr:colOff>763755</xdr:colOff>
      <xdr:row>34</xdr:row>
      <xdr:rowOff>64003</xdr:rowOff>
    </xdr:to>
    <xdr:sp macro="" textlink="">
      <xdr:nvSpPr>
        <xdr:cNvPr id="23" name="Flecha abajo 22"/>
        <xdr:cNvSpPr/>
      </xdr:nvSpPr>
      <xdr:spPr>
        <a:xfrm>
          <a:off x="7583020" y="13747618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412217</xdr:colOff>
      <xdr:row>27</xdr:row>
      <xdr:rowOff>165686</xdr:rowOff>
    </xdr:from>
    <xdr:to>
      <xdr:col>10</xdr:col>
      <xdr:colOff>635102</xdr:colOff>
      <xdr:row>28</xdr:row>
      <xdr:rowOff>177116</xdr:rowOff>
    </xdr:to>
    <xdr:sp macro="" textlink="">
      <xdr:nvSpPr>
        <xdr:cNvPr id="24" name="Flecha derecha 23"/>
        <xdr:cNvSpPr/>
      </xdr:nvSpPr>
      <xdr:spPr>
        <a:xfrm>
          <a:off x="9175217" y="12738686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0</xdr:col>
      <xdr:colOff>44823</xdr:colOff>
      <xdr:row>2</xdr:row>
      <xdr:rowOff>78441</xdr:rowOff>
    </xdr:from>
    <xdr:ext cx="941294" cy="705971"/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" y="459441"/>
          <a:ext cx="941294" cy="705971"/>
        </a:xfrm>
        <a:prstGeom prst="rect">
          <a:avLst/>
        </a:prstGeom>
      </xdr:spPr>
    </xdr:pic>
    <xdr:clientData/>
  </xdr:oneCellAnchor>
  <xdr:oneCellAnchor>
    <xdr:from>
      <xdr:col>0</xdr:col>
      <xdr:colOff>967469</xdr:colOff>
      <xdr:row>4</xdr:row>
      <xdr:rowOff>171237</xdr:rowOff>
    </xdr:from>
    <xdr:ext cx="742950" cy="962370"/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469" y="8362737"/>
          <a:ext cx="742950" cy="962370"/>
        </a:xfrm>
        <a:prstGeom prst="rect">
          <a:avLst/>
        </a:prstGeom>
      </xdr:spPr>
    </xdr:pic>
    <xdr:clientData/>
  </xdr:oneCellAnchor>
  <xdr:oneCellAnchor>
    <xdr:from>
      <xdr:col>4</xdr:col>
      <xdr:colOff>981075</xdr:colOff>
      <xdr:row>5</xdr:row>
      <xdr:rowOff>66675</xdr:rowOff>
    </xdr:from>
    <xdr:ext cx="923750" cy="733302"/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86275" y="8448675"/>
          <a:ext cx="923750" cy="733302"/>
        </a:xfrm>
        <a:prstGeom prst="rect">
          <a:avLst/>
        </a:prstGeom>
      </xdr:spPr>
    </xdr:pic>
    <xdr:clientData/>
  </xdr:oneCellAnchor>
  <xdr:oneCellAnchor>
    <xdr:from>
      <xdr:col>2</xdr:col>
      <xdr:colOff>938903</xdr:colOff>
      <xdr:row>5</xdr:row>
      <xdr:rowOff>133349</xdr:rowOff>
    </xdr:from>
    <xdr:ext cx="809625" cy="752749"/>
    <xdr:pic>
      <xdr:nvPicPr>
        <xdr:cNvPr id="28" name="Imagen 2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0853"/>
        <a:stretch/>
      </xdr:blipFill>
      <xdr:spPr>
        <a:xfrm>
          <a:off x="2691503" y="8515349"/>
          <a:ext cx="809625" cy="752749"/>
        </a:xfrm>
        <a:prstGeom prst="rect">
          <a:avLst/>
        </a:prstGeom>
      </xdr:spPr>
    </xdr:pic>
    <xdr:clientData/>
  </xdr:oneCellAnchor>
  <xdr:twoCellAnchor>
    <xdr:from>
      <xdr:col>2</xdr:col>
      <xdr:colOff>435427</xdr:colOff>
      <xdr:row>7</xdr:row>
      <xdr:rowOff>9525</xdr:rowOff>
    </xdr:from>
    <xdr:to>
      <xdr:col>2</xdr:col>
      <xdr:colOff>658312</xdr:colOff>
      <xdr:row>8</xdr:row>
      <xdr:rowOff>20955</xdr:rowOff>
    </xdr:to>
    <xdr:sp macro="" textlink="">
      <xdr:nvSpPr>
        <xdr:cNvPr id="29" name="Flecha derecha 28"/>
        <xdr:cNvSpPr/>
      </xdr:nvSpPr>
      <xdr:spPr>
        <a:xfrm>
          <a:off x="2188027" y="8772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4</xdr:col>
      <xdr:colOff>449034</xdr:colOff>
      <xdr:row>7</xdr:row>
      <xdr:rowOff>9525</xdr:rowOff>
    </xdr:from>
    <xdr:to>
      <xdr:col>4</xdr:col>
      <xdr:colOff>671919</xdr:colOff>
      <xdr:row>8</xdr:row>
      <xdr:rowOff>20955</xdr:rowOff>
    </xdr:to>
    <xdr:sp macro="" textlink="">
      <xdr:nvSpPr>
        <xdr:cNvPr id="30" name="Flecha derecha 29"/>
        <xdr:cNvSpPr/>
      </xdr:nvSpPr>
      <xdr:spPr>
        <a:xfrm>
          <a:off x="3954234" y="8772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449034</xdr:colOff>
      <xdr:row>7</xdr:row>
      <xdr:rowOff>9525</xdr:rowOff>
    </xdr:from>
    <xdr:to>
      <xdr:col>6</xdr:col>
      <xdr:colOff>671919</xdr:colOff>
      <xdr:row>8</xdr:row>
      <xdr:rowOff>20955</xdr:rowOff>
    </xdr:to>
    <xdr:sp macro="" textlink="">
      <xdr:nvSpPr>
        <xdr:cNvPr id="31" name="Flecha derecha 30"/>
        <xdr:cNvSpPr/>
      </xdr:nvSpPr>
      <xdr:spPr>
        <a:xfrm>
          <a:off x="5706834" y="8772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8</xdr:col>
      <xdr:colOff>408213</xdr:colOff>
      <xdr:row>7</xdr:row>
      <xdr:rowOff>9525</xdr:rowOff>
    </xdr:from>
    <xdr:to>
      <xdr:col>8</xdr:col>
      <xdr:colOff>631098</xdr:colOff>
      <xdr:row>8</xdr:row>
      <xdr:rowOff>20955</xdr:rowOff>
    </xdr:to>
    <xdr:sp macro="" textlink="">
      <xdr:nvSpPr>
        <xdr:cNvPr id="32" name="Flecha derecha 31"/>
        <xdr:cNvSpPr/>
      </xdr:nvSpPr>
      <xdr:spPr>
        <a:xfrm>
          <a:off x="7418613" y="8772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14</xdr:col>
      <xdr:colOff>285750</xdr:colOff>
      <xdr:row>7</xdr:row>
      <xdr:rowOff>9525</xdr:rowOff>
    </xdr:from>
    <xdr:to>
      <xdr:col>14</xdr:col>
      <xdr:colOff>508635</xdr:colOff>
      <xdr:row>8</xdr:row>
      <xdr:rowOff>20955</xdr:rowOff>
    </xdr:to>
    <xdr:sp macro="" textlink="">
      <xdr:nvSpPr>
        <xdr:cNvPr id="33" name="Flecha derecha 32"/>
        <xdr:cNvSpPr/>
      </xdr:nvSpPr>
      <xdr:spPr>
        <a:xfrm>
          <a:off x="12553950" y="8772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14</xdr:col>
      <xdr:colOff>285750</xdr:colOff>
      <xdr:row>7</xdr:row>
      <xdr:rowOff>9525</xdr:rowOff>
    </xdr:from>
    <xdr:to>
      <xdr:col>14</xdr:col>
      <xdr:colOff>508635</xdr:colOff>
      <xdr:row>8</xdr:row>
      <xdr:rowOff>20955</xdr:rowOff>
    </xdr:to>
    <xdr:sp macro="" textlink="">
      <xdr:nvSpPr>
        <xdr:cNvPr id="34" name="Flecha derecha 33"/>
        <xdr:cNvSpPr/>
      </xdr:nvSpPr>
      <xdr:spPr>
        <a:xfrm>
          <a:off x="12553950" y="8772525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383721</xdr:colOff>
      <xdr:row>2</xdr:row>
      <xdr:rowOff>126067</xdr:rowOff>
    </xdr:from>
    <xdr:to>
      <xdr:col>5</xdr:col>
      <xdr:colOff>574856</xdr:colOff>
      <xdr:row>3</xdr:row>
      <xdr:rowOff>158452</xdr:rowOff>
    </xdr:to>
    <xdr:sp macro="" textlink="">
      <xdr:nvSpPr>
        <xdr:cNvPr id="35" name="Flecha abajo 34"/>
        <xdr:cNvSpPr/>
      </xdr:nvSpPr>
      <xdr:spPr>
        <a:xfrm>
          <a:off x="4879521" y="7936567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781050</xdr:colOff>
      <xdr:row>2</xdr:row>
      <xdr:rowOff>110379</xdr:rowOff>
    </xdr:from>
    <xdr:to>
      <xdr:col>5</xdr:col>
      <xdr:colOff>972185</xdr:colOff>
      <xdr:row>3</xdr:row>
      <xdr:rowOff>142764</xdr:rowOff>
    </xdr:to>
    <xdr:sp macro="" textlink="">
      <xdr:nvSpPr>
        <xdr:cNvPr id="36" name="Flecha abajo 35"/>
        <xdr:cNvSpPr/>
      </xdr:nvSpPr>
      <xdr:spPr>
        <a:xfrm>
          <a:off x="5257800" y="7920879"/>
          <a:ext cx="6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7</xdr:col>
      <xdr:colOff>326572</xdr:colOff>
      <xdr:row>10</xdr:row>
      <xdr:rowOff>136070</xdr:rowOff>
    </xdr:from>
    <xdr:to>
      <xdr:col>7</xdr:col>
      <xdr:colOff>517707</xdr:colOff>
      <xdr:row>11</xdr:row>
      <xdr:rowOff>168455</xdr:rowOff>
    </xdr:to>
    <xdr:sp macro="" textlink="">
      <xdr:nvSpPr>
        <xdr:cNvPr id="37" name="Flecha abajo 36"/>
        <xdr:cNvSpPr/>
      </xdr:nvSpPr>
      <xdr:spPr>
        <a:xfrm>
          <a:off x="6574972" y="9470570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408213</xdr:colOff>
      <xdr:row>7</xdr:row>
      <xdr:rowOff>9525</xdr:rowOff>
    </xdr:from>
    <xdr:to>
      <xdr:col>10</xdr:col>
      <xdr:colOff>631098</xdr:colOff>
      <xdr:row>8</xdr:row>
      <xdr:rowOff>20955</xdr:rowOff>
    </xdr:to>
    <xdr:sp macro="" textlink="">
      <xdr:nvSpPr>
        <xdr:cNvPr id="38" name="Flecha derecha 37"/>
        <xdr:cNvSpPr/>
      </xdr:nvSpPr>
      <xdr:spPr>
        <a:xfrm>
          <a:off x="9171213" y="8772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12</xdr:col>
      <xdr:colOff>122466</xdr:colOff>
      <xdr:row>7</xdr:row>
      <xdr:rowOff>9525</xdr:rowOff>
    </xdr:from>
    <xdr:to>
      <xdr:col>12</xdr:col>
      <xdr:colOff>345351</xdr:colOff>
      <xdr:row>8</xdr:row>
      <xdr:rowOff>20955</xdr:rowOff>
    </xdr:to>
    <xdr:sp macro="" textlink="">
      <xdr:nvSpPr>
        <xdr:cNvPr id="39" name="Flecha derecha 38"/>
        <xdr:cNvSpPr/>
      </xdr:nvSpPr>
      <xdr:spPr>
        <a:xfrm>
          <a:off x="10638066" y="8772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95249</xdr:colOff>
      <xdr:row>5</xdr:row>
      <xdr:rowOff>81644</xdr:rowOff>
    </xdr:from>
    <xdr:ext cx="489858" cy="1088570"/>
    <xdr:pic>
      <xdr:nvPicPr>
        <xdr:cNvPr id="40" name="Imagen 3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49" y="8463644"/>
          <a:ext cx="489858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775607</xdr:colOff>
      <xdr:row>5</xdr:row>
      <xdr:rowOff>151288</xdr:rowOff>
    </xdr:from>
    <xdr:ext cx="1006929" cy="863805"/>
    <xdr:pic>
      <xdr:nvPicPr>
        <xdr:cNvPr id="41" name="Imagen 4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1207" y="8533288"/>
          <a:ext cx="1006929" cy="863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244929</xdr:colOff>
      <xdr:row>10</xdr:row>
      <xdr:rowOff>136072</xdr:rowOff>
    </xdr:from>
    <xdr:to>
      <xdr:col>13</xdr:col>
      <xdr:colOff>436064</xdr:colOff>
      <xdr:row>11</xdr:row>
      <xdr:rowOff>168457</xdr:rowOff>
    </xdr:to>
    <xdr:sp macro="" textlink="">
      <xdr:nvSpPr>
        <xdr:cNvPr id="42" name="Flecha abajo 41"/>
        <xdr:cNvSpPr/>
      </xdr:nvSpPr>
      <xdr:spPr>
        <a:xfrm>
          <a:off x="11751129" y="9470572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0</xdr:col>
      <xdr:colOff>397326</xdr:colOff>
      <xdr:row>6</xdr:row>
      <xdr:rowOff>180975</xdr:rowOff>
    </xdr:from>
    <xdr:to>
      <xdr:col>0</xdr:col>
      <xdr:colOff>620211</xdr:colOff>
      <xdr:row>8</xdr:row>
      <xdr:rowOff>1905</xdr:rowOff>
    </xdr:to>
    <xdr:sp macro="" textlink="">
      <xdr:nvSpPr>
        <xdr:cNvPr id="43" name="Flecha derecha 42"/>
        <xdr:cNvSpPr/>
      </xdr:nvSpPr>
      <xdr:spPr>
        <a:xfrm>
          <a:off x="397326" y="875347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408213</xdr:colOff>
      <xdr:row>7</xdr:row>
      <xdr:rowOff>9525</xdr:rowOff>
    </xdr:from>
    <xdr:to>
      <xdr:col>10</xdr:col>
      <xdr:colOff>631098</xdr:colOff>
      <xdr:row>8</xdr:row>
      <xdr:rowOff>20955</xdr:rowOff>
    </xdr:to>
    <xdr:sp macro="" textlink="">
      <xdr:nvSpPr>
        <xdr:cNvPr id="44" name="Flecha derecha 43"/>
        <xdr:cNvSpPr/>
      </xdr:nvSpPr>
      <xdr:spPr>
        <a:xfrm>
          <a:off x="9171213" y="8772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6</xdr:col>
      <xdr:colOff>884465</xdr:colOff>
      <xdr:row>5</xdr:row>
      <xdr:rowOff>164327</xdr:rowOff>
    </xdr:from>
    <xdr:ext cx="1061357" cy="735106"/>
    <xdr:pic>
      <xdr:nvPicPr>
        <xdr:cNvPr id="45" name="Imagen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2265" y="8546327"/>
          <a:ext cx="1061357" cy="735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461596</xdr:colOff>
      <xdr:row>30</xdr:row>
      <xdr:rowOff>183173</xdr:rowOff>
    </xdr:from>
    <xdr:to>
      <xdr:col>3</xdr:col>
      <xdr:colOff>684481</xdr:colOff>
      <xdr:row>32</xdr:row>
      <xdr:rowOff>4103</xdr:rowOff>
    </xdr:to>
    <xdr:sp macro="" textlink="">
      <xdr:nvSpPr>
        <xdr:cNvPr id="46" name="Flecha derecha 45"/>
        <xdr:cNvSpPr/>
      </xdr:nvSpPr>
      <xdr:spPr>
        <a:xfrm>
          <a:off x="3204796" y="13327673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468923</xdr:colOff>
      <xdr:row>29</xdr:row>
      <xdr:rowOff>175846</xdr:rowOff>
    </xdr:from>
    <xdr:to>
      <xdr:col>3</xdr:col>
      <xdr:colOff>691808</xdr:colOff>
      <xdr:row>30</xdr:row>
      <xdr:rowOff>187276</xdr:rowOff>
    </xdr:to>
    <xdr:sp macro="" textlink="">
      <xdr:nvSpPr>
        <xdr:cNvPr id="47" name="Flecha derecha 46"/>
        <xdr:cNvSpPr/>
      </xdr:nvSpPr>
      <xdr:spPr>
        <a:xfrm>
          <a:off x="3212123" y="13129846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612322</xdr:colOff>
      <xdr:row>17</xdr:row>
      <xdr:rowOff>111994</xdr:rowOff>
    </xdr:from>
    <xdr:ext cx="952499" cy="786076"/>
    <xdr:pic>
      <xdr:nvPicPr>
        <xdr:cNvPr id="48" name="Imagen 4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5922" y="10779994"/>
          <a:ext cx="952499" cy="786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517073</xdr:colOff>
      <xdr:row>17</xdr:row>
      <xdr:rowOff>95250</xdr:rowOff>
    </xdr:from>
    <xdr:ext cx="1102309" cy="843643"/>
    <xdr:pic>
      <xdr:nvPicPr>
        <xdr:cNvPr id="49" name="Imagen 4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8073" y="10763250"/>
          <a:ext cx="1102309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0</xdr:colOff>
      <xdr:row>19</xdr:row>
      <xdr:rowOff>0</xdr:rowOff>
    </xdr:from>
    <xdr:to>
      <xdr:col>9</xdr:col>
      <xdr:colOff>222885</xdr:colOff>
      <xdr:row>20</xdr:row>
      <xdr:rowOff>11430</xdr:rowOff>
    </xdr:to>
    <xdr:sp macro="" textlink="">
      <xdr:nvSpPr>
        <xdr:cNvPr id="50" name="Flecha derecha 49"/>
        <xdr:cNvSpPr/>
      </xdr:nvSpPr>
      <xdr:spPr>
        <a:xfrm>
          <a:off x="8001000" y="11049000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11</xdr:col>
      <xdr:colOff>125185</xdr:colOff>
      <xdr:row>18</xdr:row>
      <xdr:rowOff>166007</xdr:rowOff>
    </xdr:from>
    <xdr:to>
      <xdr:col>11</xdr:col>
      <xdr:colOff>348070</xdr:colOff>
      <xdr:row>19</xdr:row>
      <xdr:rowOff>177437</xdr:rowOff>
    </xdr:to>
    <xdr:sp macro="" textlink="">
      <xdr:nvSpPr>
        <xdr:cNvPr id="51" name="Flecha derecha 50"/>
        <xdr:cNvSpPr/>
      </xdr:nvSpPr>
      <xdr:spPr>
        <a:xfrm>
          <a:off x="9878785" y="11024507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625928</xdr:colOff>
      <xdr:row>28</xdr:row>
      <xdr:rowOff>108858</xdr:rowOff>
    </xdr:from>
    <xdr:ext cx="894241" cy="840441"/>
    <xdr:pic>
      <xdr:nvPicPr>
        <xdr:cNvPr id="52" name="Imagen 5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79528" y="12872358"/>
          <a:ext cx="894241" cy="840441"/>
        </a:xfrm>
        <a:prstGeom prst="rect">
          <a:avLst/>
        </a:prstGeom>
      </xdr:spPr>
    </xdr:pic>
    <xdr:clientData/>
  </xdr:oneCellAnchor>
  <xdr:twoCellAnchor>
    <xdr:from>
      <xdr:col>3</xdr:col>
      <xdr:colOff>476251</xdr:colOff>
      <xdr:row>25</xdr:row>
      <xdr:rowOff>122464</xdr:rowOff>
    </xdr:from>
    <xdr:to>
      <xdr:col>3</xdr:col>
      <xdr:colOff>699136</xdr:colOff>
      <xdr:row>26</xdr:row>
      <xdr:rowOff>133894</xdr:rowOff>
    </xdr:to>
    <xdr:sp macro="" textlink="">
      <xdr:nvSpPr>
        <xdr:cNvPr id="53" name="Flecha derecha 52"/>
        <xdr:cNvSpPr/>
      </xdr:nvSpPr>
      <xdr:spPr>
        <a:xfrm>
          <a:off x="3219451" y="12314464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9</xdr:col>
      <xdr:colOff>68035</xdr:colOff>
      <xdr:row>5</xdr:row>
      <xdr:rowOff>136072</xdr:rowOff>
    </xdr:from>
    <xdr:ext cx="816429" cy="1034142"/>
    <xdr:pic>
      <xdr:nvPicPr>
        <xdr:cNvPr id="54" name="Imagen 5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9035" y="8518072"/>
          <a:ext cx="816429" cy="1034142"/>
        </a:xfrm>
        <a:prstGeom prst="rect">
          <a:avLst/>
        </a:prstGeom>
        <a:noFill/>
      </xdr:spPr>
    </xdr:pic>
    <xdr:clientData/>
  </xdr:oneCellAnchor>
  <xdr:oneCellAnchor>
    <xdr:from>
      <xdr:col>4</xdr:col>
      <xdr:colOff>136070</xdr:colOff>
      <xdr:row>28</xdr:row>
      <xdr:rowOff>85746</xdr:rowOff>
    </xdr:from>
    <xdr:ext cx="693965" cy="757896"/>
    <xdr:pic>
      <xdr:nvPicPr>
        <xdr:cNvPr id="55" name="Imagen 5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1270" y="12849246"/>
          <a:ext cx="693965" cy="757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13608</xdr:colOff>
      <xdr:row>28</xdr:row>
      <xdr:rowOff>37055</xdr:rowOff>
    </xdr:from>
    <xdr:ext cx="707572" cy="870539"/>
    <xdr:pic>
      <xdr:nvPicPr>
        <xdr:cNvPr id="56" name="Imagen 5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9408" y="12800555"/>
          <a:ext cx="707572" cy="87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285750</xdr:colOff>
      <xdr:row>19</xdr:row>
      <xdr:rowOff>9525</xdr:rowOff>
    </xdr:from>
    <xdr:to>
      <xdr:col>5</xdr:col>
      <xdr:colOff>508635</xdr:colOff>
      <xdr:row>20</xdr:row>
      <xdr:rowOff>20955</xdr:rowOff>
    </xdr:to>
    <xdr:sp macro="" textlink="">
      <xdr:nvSpPr>
        <xdr:cNvPr id="57" name="Flecha derecha 56"/>
        <xdr:cNvSpPr/>
      </xdr:nvSpPr>
      <xdr:spPr>
        <a:xfrm>
          <a:off x="4781550" y="11058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285750</xdr:colOff>
      <xdr:row>19</xdr:row>
      <xdr:rowOff>9525</xdr:rowOff>
    </xdr:from>
    <xdr:to>
      <xdr:col>3</xdr:col>
      <xdr:colOff>508635</xdr:colOff>
      <xdr:row>20</xdr:row>
      <xdr:rowOff>20955</xdr:rowOff>
    </xdr:to>
    <xdr:sp macro="" textlink="">
      <xdr:nvSpPr>
        <xdr:cNvPr id="58" name="Flecha derecha 57"/>
        <xdr:cNvSpPr/>
      </xdr:nvSpPr>
      <xdr:spPr>
        <a:xfrm>
          <a:off x="3028950" y="11058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8</xdr:col>
      <xdr:colOff>285751</xdr:colOff>
      <xdr:row>65</xdr:row>
      <xdr:rowOff>13605</xdr:rowOff>
    </xdr:from>
    <xdr:ext cx="707572" cy="884463"/>
    <xdr:pic>
      <xdr:nvPicPr>
        <xdr:cNvPr id="60" name="Imagen 5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7037" y="5347605"/>
          <a:ext cx="707572" cy="884463"/>
        </a:xfrm>
        <a:prstGeom prst="rect">
          <a:avLst/>
        </a:prstGeom>
        <a:noFill/>
      </xdr:spPr>
    </xdr:pic>
    <xdr:clientData/>
  </xdr:oneCellAnchor>
  <xdr:oneCellAnchor>
    <xdr:from>
      <xdr:col>2</xdr:col>
      <xdr:colOff>123825</xdr:colOff>
      <xdr:row>53</xdr:row>
      <xdr:rowOff>171237</xdr:rowOff>
    </xdr:from>
    <xdr:ext cx="742950" cy="962370"/>
    <xdr:pic>
      <xdr:nvPicPr>
        <xdr:cNvPr id="61" name="Imagen 6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9146" y="3219237"/>
          <a:ext cx="742950" cy="962370"/>
        </a:xfrm>
        <a:prstGeom prst="rect">
          <a:avLst/>
        </a:prstGeom>
      </xdr:spPr>
    </xdr:pic>
    <xdr:clientData/>
  </xdr:oneCellAnchor>
  <xdr:oneCellAnchor>
    <xdr:from>
      <xdr:col>6</xdr:col>
      <xdr:colOff>28576</xdr:colOff>
      <xdr:row>54</xdr:row>
      <xdr:rowOff>66675</xdr:rowOff>
    </xdr:from>
    <xdr:ext cx="923750" cy="733302"/>
    <xdr:pic>
      <xdr:nvPicPr>
        <xdr:cNvPr id="62" name="Imagen 6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4540" y="3305175"/>
          <a:ext cx="923750" cy="733302"/>
        </a:xfrm>
        <a:prstGeom prst="rect">
          <a:avLst/>
        </a:prstGeom>
      </xdr:spPr>
    </xdr:pic>
    <xdr:clientData/>
  </xdr:oneCellAnchor>
  <xdr:twoCellAnchor>
    <xdr:from>
      <xdr:col>1</xdr:col>
      <xdr:colOff>247650</xdr:colOff>
      <xdr:row>55</xdr:row>
      <xdr:rowOff>180975</xdr:rowOff>
    </xdr:from>
    <xdr:to>
      <xdr:col>1</xdr:col>
      <xdr:colOff>470535</xdr:colOff>
      <xdr:row>57</xdr:row>
      <xdr:rowOff>1905</xdr:rowOff>
    </xdr:to>
    <xdr:sp macro="" textlink="">
      <xdr:nvSpPr>
        <xdr:cNvPr id="63" name="Flecha derecha 62"/>
        <xdr:cNvSpPr/>
      </xdr:nvSpPr>
      <xdr:spPr>
        <a:xfrm>
          <a:off x="1240971" y="360997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4</xdr:col>
      <xdr:colOff>95250</xdr:colOff>
      <xdr:row>54</xdr:row>
      <xdr:rowOff>133349</xdr:rowOff>
    </xdr:from>
    <xdr:ext cx="809625" cy="752749"/>
    <xdr:pic>
      <xdr:nvPicPr>
        <xdr:cNvPr id="64" name="Imagen 6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0853"/>
        <a:stretch/>
      </xdr:blipFill>
      <xdr:spPr>
        <a:xfrm>
          <a:off x="3605893" y="3371849"/>
          <a:ext cx="809625" cy="752749"/>
        </a:xfrm>
        <a:prstGeom prst="rect">
          <a:avLst/>
        </a:prstGeom>
      </xdr:spPr>
    </xdr:pic>
    <xdr:clientData/>
  </xdr:oneCellAnchor>
  <xdr:twoCellAnchor>
    <xdr:from>
      <xdr:col>3</xdr:col>
      <xdr:colOff>285750</xdr:colOff>
      <xdr:row>56</xdr:row>
      <xdr:rowOff>9525</xdr:rowOff>
    </xdr:from>
    <xdr:to>
      <xdr:col>3</xdr:col>
      <xdr:colOff>508635</xdr:colOff>
      <xdr:row>57</xdr:row>
      <xdr:rowOff>20955</xdr:rowOff>
    </xdr:to>
    <xdr:sp macro="" textlink="">
      <xdr:nvSpPr>
        <xdr:cNvPr id="65" name="Flecha derecha 64"/>
        <xdr:cNvSpPr/>
      </xdr:nvSpPr>
      <xdr:spPr>
        <a:xfrm>
          <a:off x="3034393" y="3629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285750</xdr:colOff>
      <xdr:row>56</xdr:row>
      <xdr:rowOff>9525</xdr:rowOff>
    </xdr:from>
    <xdr:to>
      <xdr:col>5</xdr:col>
      <xdr:colOff>508635</xdr:colOff>
      <xdr:row>57</xdr:row>
      <xdr:rowOff>20955</xdr:rowOff>
    </xdr:to>
    <xdr:sp macro="" textlink="">
      <xdr:nvSpPr>
        <xdr:cNvPr id="66" name="Flecha derecha 65"/>
        <xdr:cNvSpPr/>
      </xdr:nvSpPr>
      <xdr:spPr>
        <a:xfrm>
          <a:off x="4789714" y="3629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7</xdr:col>
      <xdr:colOff>285750</xdr:colOff>
      <xdr:row>56</xdr:row>
      <xdr:rowOff>9525</xdr:rowOff>
    </xdr:from>
    <xdr:to>
      <xdr:col>7</xdr:col>
      <xdr:colOff>508635</xdr:colOff>
      <xdr:row>57</xdr:row>
      <xdr:rowOff>20955</xdr:rowOff>
    </xdr:to>
    <xdr:sp macro="" textlink="">
      <xdr:nvSpPr>
        <xdr:cNvPr id="67" name="Flecha derecha 66"/>
        <xdr:cNvSpPr/>
      </xdr:nvSpPr>
      <xdr:spPr>
        <a:xfrm>
          <a:off x="6545036" y="3629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13</xdr:col>
      <xdr:colOff>285750</xdr:colOff>
      <xdr:row>55</xdr:row>
      <xdr:rowOff>172811</xdr:rowOff>
    </xdr:from>
    <xdr:to>
      <xdr:col>13</xdr:col>
      <xdr:colOff>508635</xdr:colOff>
      <xdr:row>56</xdr:row>
      <xdr:rowOff>184241</xdr:rowOff>
    </xdr:to>
    <xdr:sp macro="" textlink="">
      <xdr:nvSpPr>
        <xdr:cNvPr id="68" name="Flecha derecha 67"/>
        <xdr:cNvSpPr/>
      </xdr:nvSpPr>
      <xdr:spPr>
        <a:xfrm>
          <a:off x="11811000" y="3601811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57150</xdr:colOff>
      <xdr:row>51</xdr:row>
      <xdr:rowOff>126067</xdr:rowOff>
    </xdr:from>
    <xdr:to>
      <xdr:col>6</xdr:col>
      <xdr:colOff>248285</xdr:colOff>
      <xdr:row>52</xdr:row>
      <xdr:rowOff>158452</xdr:rowOff>
    </xdr:to>
    <xdr:sp macro="" textlink="">
      <xdr:nvSpPr>
        <xdr:cNvPr id="69" name="Flecha abajo 68"/>
        <xdr:cNvSpPr/>
      </xdr:nvSpPr>
      <xdr:spPr>
        <a:xfrm>
          <a:off x="5323114" y="2793067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781050</xdr:colOff>
      <xdr:row>51</xdr:row>
      <xdr:rowOff>110379</xdr:rowOff>
    </xdr:from>
    <xdr:to>
      <xdr:col>6</xdr:col>
      <xdr:colOff>972185</xdr:colOff>
      <xdr:row>52</xdr:row>
      <xdr:rowOff>142764</xdr:rowOff>
    </xdr:to>
    <xdr:sp macro="" textlink="">
      <xdr:nvSpPr>
        <xdr:cNvPr id="70" name="Flecha abajo 69"/>
        <xdr:cNvSpPr/>
      </xdr:nvSpPr>
      <xdr:spPr>
        <a:xfrm>
          <a:off x="6047014" y="2777379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827635</xdr:colOff>
      <xdr:row>59</xdr:row>
      <xdr:rowOff>167288</xdr:rowOff>
    </xdr:from>
    <xdr:to>
      <xdr:col>11</xdr:col>
      <xdr:colOff>25448</xdr:colOff>
      <xdr:row>61</xdr:row>
      <xdr:rowOff>9173</xdr:rowOff>
    </xdr:to>
    <xdr:sp macro="" textlink="">
      <xdr:nvSpPr>
        <xdr:cNvPr id="71" name="Flecha abajo 70"/>
        <xdr:cNvSpPr/>
      </xdr:nvSpPr>
      <xdr:spPr>
        <a:xfrm>
          <a:off x="9604242" y="4358288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0</xdr:col>
      <xdr:colOff>134471</xdr:colOff>
      <xdr:row>53</xdr:row>
      <xdr:rowOff>22412</xdr:rowOff>
    </xdr:from>
    <xdr:ext cx="729507" cy="544632"/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471" y="3070412"/>
          <a:ext cx="729507" cy="544632"/>
        </a:xfrm>
        <a:prstGeom prst="rect">
          <a:avLst/>
        </a:prstGeom>
      </xdr:spPr>
    </xdr:pic>
    <xdr:clientData/>
  </xdr:oneCellAnchor>
  <xdr:oneCellAnchor>
    <xdr:from>
      <xdr:col>8</xdr:col>
      <xdr:colOff>138472</xdr:colOff>
      <xdr:row>54</xdr:row>
      <xdr:rowOff>45842</xdr:rowOff>
    </xdr:from>
    <xdr:ext cx="649941" cy="886647"/>
    <xdr:pic>
      <xdr:nvPicPr>
        <xdr:cNvPr id="73" name="Imagen 7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067" t="8247" r="18308" b="4954"/>
        <a:stretch/>
      </xdr:blipFill>
      <xdr:spPr>
        <a:xfrm>
          <a:off x="7159758" y="3284342"/>
          <a:ext cx="649941" cy="886647"/>
        </a:xfrm>
        <a:prstGeom prst="rect">
          <a:avLst/>
        </a:prstGeom>
      </xdr:spPr>
    </xdr:pic>
    <xdr:clientData/>
  </xdr:oneCellAnchor>
  <xdr:twoCellAnchor>
    <xdr:from>
      <xdr:col>8</xdr:col>
      <xdr:colOff>351384</xdr:colOff>
      <xdr:row>59</xdr:row>
      <xdr:rowOff>153680</xdr:rowOff>
    </xdr:from>
    <xdr:to>
      <xdr:col>8</xdr:col>
      <xdr:colOff>530678</xdr:colOff>
      <xdr:row>60</xdr:row>
      <xdr:rowOff>164886</xdr:rowOff>
    </xdr:to>
    <xdr:sp macro="" textlink="">
      <xdr:nvSpPr>
        <xdr:cNvPr id="74" name="Flecha arriba 73"/>
        <xdr:cNvSpPr/>
      </xdr:nvSpPr>
      <xdr:spPr>
        <a:xfrm>
          <a:off x="7372670" y="4344680"/>
          <a:ext cx="179294" cy="201706"/>
        </a:xfrm>
        <a:prstGeom prst="up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481853</xdr:colOff>
      <xdr:row>63</xdr:row>
      <xdr:rowOff>116368</xdr:rowOff>
    </xdr:from>
    <xdr:to>
      <xdr:col>3</xdr:col>
      <xdr:colOff>704738</xdr:colOff>
      <xdr:row>64</xdr:row>
      <xdr:rowOff>127798</xdr:rowOff>
    </xdr:to>
    <xdr:sp macro="" textlink="">
      <xdr:nvSpPr>
        <xdr:cNvPr id="75" name="Flecha derecha 74"/>
        <xdr:cNvSpPr/>
      </xdr:nvSpPr>
      <xdr:spPr>
        <a:xfrm>
          <a:off x="3230496" y="506936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470647</xdr:colOff>
      <xdr:row>64</xdr:row>
      <xdr:rowOff>138348</xdr:rowOff>
    </xdr:from>
    <xdr:to>
      <xdr:col>3</xdr:col>
      <xdr:colOff>693532</xdr:colOff>
      <xdr:row>65</xdr:row>
      <xdr:rowOff>149778</xdr:rowOff>
    </xdr:to>
    <xdr:sp macro="" textlink="">
      <xdr:nvSpPr>
        <xdr:cNvPr id="76" name="Flecha derecha 75"/>
        <xdr:cNvSpPr/>
      </xdr:nvSpPr>
      <xdr:spPr>
        <a:xfrm>
          <a:off x="3219290" y="528184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470647</xdr:colOff>
      <xdr:row>65</xdr:row>
      <xdr:rowOff>168518</xdr:rowOff>
    </xdr:from>
    <xdr:to>
      <xdr:col>3</xdr:col>
      <xdr:colOff>693532</xdr:colOff>
      <xdr:row>66</xdr:row>
      <xdr:rowOff>179948</xdr:rowOff>
    </xdr:to>
    <xdr:sp macro="" textlink="">
      <xdr:nvSpPr>
        <xdr:cNvPr id="77" name="Flecha derecha 76"/>
        <xdr:cNvSpPr/>
      </xdr:nvSpPr>
      <xdr:spPr>
        <a:xfrm>
          <a:off x="3219290" y="550251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458837</xdr:colOff>
      <xdr:row>69</xdr:row>
      <xdr:rowOff>187061</xdr:rowOff>
    </xdr:from>
    <xdr:to>
      <xdr:col>3</xdr:col>
      <xdr:colOff>681722</xdr:colOff>
      <xdr:row>71</xdr:row>
      <xdr:rowOff>7991</xdr:rowOff>
    </xdr:to>
    <xdr:sp macro="" textlink="">
      <xdr:nvSpPr>
        <xdr:cNvPr id="78" name="Flecha derecha 77"/>
        <xdr:cNvSpPr/>
      </xdr:nvSpPr>
      <xdr:spPr>
        <a:xfrm>
          <a:off x="3207480" y="13331561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451510</xdr:colOff>
      <xdr:row>70</xdr:row>
      <xdr:rowOff>187924</xdr:rowOff>
    </xdr:from>
    <xdr:to>
      <xdr:col>3</xdr:col>
      <xdr:colOff>674395</xdr:colOff>
      <xdr:row>72</xdr:row>
      <xdr:rowOff>8854</xdr:rowOff>
    </xdr:to>
    <xdr:sp macro="" textlink="">
      <xdr:nvSpPr>
        <xdr:cNvPr id="79" name="Flecha derecha 78"/>
        <xdr:cNvSpPr/>
      </xdr:nvSpPr>
      <xdr:spPr>
        <a:xfrm>
          <a:off x="3200153" y="13522924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370594</xdr:colOff>
      <xdr:row>64</xdr:row>
      <xdr:rowOff>165687</xdr:rowOff>
    </xdr:from>
    <xdr:to>
      <xdr:col>6</xdr:col>
      <xdr:colOff>593479</xdr:colOff>
      <xdr:row>65</xdr:row>
      <xdr:rowOff>177117</xdr:rowOff>
    </xdr:to>
    <xdr:sp macro="" textlink="">
      <xdr:nvSpPr>
        <xdr:cNvPr id="80" name="Flecha derecha 79"/>
        <xdr:cNvSpPr/>
      </xdr:nvSpPr>
      <xdr:spPr>
        <a:xfrm>
          <a:off x="5636558" y="5309187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8</xdr:col>
      <xdr:colOff>572620</xdr:colOff>
      <xdr:row>70</xdr:row>
      <xdr:rowOff>31618</xdr:rowOff>
    </xdr:from>
    <xdr:to>
      <xdr:col>8</xdr:col>
      <xdr:colOff>763755</xdr:colOff>
      <xdr:row>71</xdr:row>
      <xdr:rowOff>64003</xdr:rowOff>
    </xdr:to>
    <xdr:sp macro="" textlink="">
      <xdr:nvSpPr>
        <xdr:cNvPr id="81" name="Flecha abajo 80"/>
        <xdr:cNvSpPr/>
      </xdr:nvSpPr>
      <xdr:spPr>
        <a:xfrm>
          <a:off x="7593906" y="6318118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412217</xdr:colOff>
      <xdr:row>64</xdr:row>
      <xdr:rowOff>165686</xdr:rowOff>
    </xdr:from>
    <xdr:to>
      <xdr:col>10</xdr:col>
      <xdr:colOff>635102</xdr:colOff>
      <xdr:row>65</xdr:row>
      <xdr:rowOff>177116</xdr:rowOff>
    </xdr:to>
    <xdr:sp macro="" textlink="">
      <xdr:nvSpPr>
        <xdr:cNvPr id="82" name="Flecha derecha 81"/>
        <xdr:cNvSpPr/>
      </xdr:nvSpPr>
      <xdr:spPr>
        <a:xfrm>
          <a:off x="9188824" y="5309186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0</xdr:col>
      <xdr:colOff>967469</xdr:colOff>
      <xdr:row>41</xdr:row>
      <xdr:rowOff>171237</xdr:rowOff>
    </xdr:from>
    <xdr:ext cx="742950" cy="962370"/>
    <xdr:pic>
      <xdr:nvPicPr>
        <xdr:cNvPr id="84" name="Imagen 8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469" y="933237"/>
          <a:ext cx="742950" cy="962370"/>
        </a:xfrm>
        <a:prstGeom prst="rect">
          <a:avLst/>
        </a:prstGeom>
      </xdr:spPr>
    </xdr:pic>
    <xdr:clientData/>
  </xdr:oneCellAnchor>
  <xdr:oneCellAnchor>
    <xdr:from>
      <xdr:col>4</xdr:col>
      <xdr:colOff>981075</xdr:colOff>
      <xdr:row>42</xdr:row>
      <xdr:rowOff>66675</xdr:rowOff>
    </xdr:from>
    <xdr:ext cx="923750" cy="733302"/>
    <xdr:pic>
      <xdr:nvPicPr>
        <xdr:cNvPr id="85" name="Imagen 8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91718" y="1019175"/>
          <a:ext cx="923750" cy="733302"/>
        </a:xfrm>
        <a:prstGeom prst="rect">
          <a:avLst/>
        </a:prstGeom>
      </xdr:spPr>
    </xdr:pic>
    <xdr:clientData/>
  </xdr:oneCellAnchor>
  <xdr:oneCellAnchor>
    <xdr:from>
      <xdr:col>2</xdr:col>
      <xdr:colOff>938903</xdr:colOff>
      <xdr:row>42</xdr:row>
      <xdr:rowOff>133349</xdr:rowOff>
    </xdr:from>
    <xdr:ext cx="809625" cy="752749"/>
    <xdr:pic>
      <xdr:nvPicPr>
        <xdr:cNvPr id="86" name="Imagen 8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0853"/>
        <a:stretch/>
      </xdr:blipFill>
      <xdr:spPr>
        <a:xfrm>
          <a:off x="2694224" y="1085849"/>
          <a:ext cx="809625" cy="752749"/>
        </a:xfrm>
        <a:prstGeom prst="rect">
          <a:avLst/>
        </a:prstGeom>
      </xdr:spPr>
    </xdr:pic>
    <xdr:clientData/>
  </xdr:oneCellAnchor>
  <xdr:twoCellAnchor>
    <xdr:from>
      <xdr:col>2</xdr:col>
      <xdr:colOff>435427</xdr:colOff>
      <xdr:row>44</xdr:row>
      <xdr:rowOff>9525</xdr:rowOff>
    </xdr:from>
    <xdr:to>
      <xdr:col>2</xdr:col>
      <xdr:colOff>658312</xdr:colOff>
      <xdr:row>45</xdr:row>
      <xdr:rowOff>20955</xdr:rowOff>
    </xdr:to>
    <xdr:sp macro="" textlink="">
      <xdr:nvSpPr>
        <xdr:cNvPr id="87" name="Flecha derecha 86"/>
        <xdr:cNvSpPr/>
      </xdr:nvSpPr>
      <xdr:spPr>
        <a:xfrm>
          <a:off x="2190748" y="1343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4</xdr:col>
      <xdr:colOff>449034</xdr:colOff>
      <xdr:row>44</xdr:row>
      <xdr:rowOff>9525</xdr:rowOff>
    </xdr:from>
    <xdr:to>
      <xdr:col>4</xdr:col>
      <xdr:colOff>671919</xdr:colOff>
      <xdr:row>45</xdr:row>
      <xdr:rowOff>20955</xdr:rowOff>
    </xdr:to>
    <xdr:sp macro="" textlink="">
      <xdr:nvSpPr>
        <xdr:cNvPr id="88" name="Flecha derecha 87"/>
        <xdr:cNvSpPr/>
      </xdr:nvSpPr>
      <xdr:spPr>
        <a:xfrm>
          <a:off x="3959677" y="1343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449034</xdr:colOff>
      <xdr:row>44</xdr:row>
      <xdr:rowOff>9525</xdr:rowOff>
    </xdr:from>
    <xdr:to>
      <xdr:col>6</xdr:col>
      <xdr:colOff>671919</xdr:colOff>
      <xdr:row>45</xdr:row>
      <xdr:rowOff>20955</xdr:rowOff>
    </xdr:to>
    <xdr:sp macro="" textlink="">
      <xdr:nvSpPr>
        <xdr:cNvPr id="89" name="Flecha derecha 88"/>
        <xdr:cNvSpPr/>
      </xdr:nvSpPr>
      <xdr:spPr>
        <a:xfrm>
          <a:off x="5714998" y="1343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8</xdr:col>
      <xdr:colOff>408213</xdr:colOff>
      <xdr:row>44</xdr:row>
      <xdr:rowOff>9525</xdr:rowOff>
    </xdr:from>
    <xdr:to>
      <xdr:col>8</xdr:col>
      <xdr:colOff>631098</xdr:colOff>
      <xdr:row>45</xdr:row>
      <xdr:rowOff>20955</xdr:rowOff>
    </xdr:to>
    <xdr:sp macro="" textlink="">
      <xdr:nvSpPr>
        <xdr:cNvPr id="90" name="Flecha derecha 89"/>
        <xdr:cNvSpPr/>
      </xdr:nvSpPr>
      <xdr:spPr>
        <a:xfrm>
          <a:off x="7429499" y="1343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14</xdr:col>
      <xdr:colOff>285750</xdr:colOff>
      <xdr:row>44</xdr:row>
      <xdr:rowOff>9525</xdr:rowOff>
    </xdr:from>
    <xdr:to>
      <xdr:col>14</xdr:col>
      <xdr:colOff>508635</xdr:colOff>
      <xdr:row>45</xdr:row>
      <xdr:rowOff>20955</xdr:rowOff>
    </xdr:to>
    <xdr:sp macro="" textlink="">
      <xdr:nvSpPr>
        <xdr:cNvPr id="91" name="Flecha derecha 90"/>
        <xdr:cNvSpPr/>
      </xdr:nvSpPr>
      <xdr:spPr>
        <a:xfrm>
          <a:off x="12573000" y="1343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14</xdr:col>
      <xdr:colOff>285750</xdr:colOff>
      <xdr:row>44</xdr:row>
      <xdr:rowOff>9525</xdr:rowOff>
    </xdr:from>
    <xdr:to>
      <xdr:col>14</xdr:col>
      <xdr:colOff>508635</xdr:colOff>
      <xdr:row>45</xdr:row>
      <xdr:rowOff>20955</xdr:rowOff>
    </xdr:to>
    <xdr:sp macro="" textlink="">
      <xdr:nvSpPr>
        <xdr:cNvPr id="92" name="Flecha derecha 91"/>
        <xdr:cNvSpPr/>
      </xdr:nvSpPr>
      <xdr:spPr>
        <a:xfrm>
          <a:off x="12573000" y="1343025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383721</xdr:colOff>
      <xdr:row>39</xdr:row>
      <xdr:rowOff>126067</xdr:rowOff>
    </xdr:from>
    <xdr:to>
      <xdr:col>5</xdr:col>
      <xdr:colOff>574856</xdr:colOff>
      <xdr:row>40</xdr:row>
      <xdr:rowOff>158452</xdr:rowOff>
    </xdr:to>
    <xdr:sp macro="" textlink="">
      <xdr:nvSpPr>
        <xdr:cNvPr id="93" name="Flecha abajo 92"/>
        <xdr:cNvSpPr/>
      </xdr:nvSpPr>
      <xdr:spPr>
        <a:xfrm>
          <a:off x="4887685" y="507067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781050</xdr:colOff>
      <xdr:row>39</xdr:row>
      <xdr:rowOff>110379</xdr:rowOff>
    </xdr:from>
    <xdr:to>
      <xdr:col>5</xdr:col>
      <xdr:colOff>972185</xdr:colOff>
      <xdr:row>40</xdr:row>
      <xdr:rowOff>142764</xdr:rowOff>
    </xdr:to>
    <xdr:sp macro="" textlink="">
      <xdr:nvSpPr>
        <xdr:cNvPr id="94" name="Flecha abajo 93"/>
        <xdr:cNvSpPr/>
      </xdr:nvSpPr>
      <xdr:spPr>
        <a:xfrm>
          <a:off x="5265964" y="491379"/>
          <a:ext cx="6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7</xdr:col>
      <xdr:colOff>326572</xdr:colOff>
      <xdr:row>47</xdr:row>
      <xdr:rowOff>136070</xdr:rowOff>
    </xdr:from>
    <xdr:to>
      <xdr:col>7</xdr:col>
      <xdr:colOff>517707</xdr:colOff>
      <xdr:row>48</xdr:row>
      <xdr:rowOff>168455</xdr:rowOff>
    </xdr:to>
    <xdr:sp macro="" textlink="">
      <xdr:nvSpPr>
        <xdr:cNvPr id="95" name="Flecha abajo 94"/>
        <xdr:cNvSpPr/>
      </xdr:nvSpPr>
      <xdr:spPr>
        <a:xfrm>
          <a:off x="6585858" y="2041070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408213</xdr:colOff>
      <xdr:row>44</xdr:row>
      <xdr:rowOff>9525</xdr:rowOff>
    </xdr:from>
    <xdr:to>
      <xdr:col>10</xdr:col>
      <xdr:colOff>631098</xdr:colOff>
      <xdr:row>45</xdr:row>
      <xdr:rowOff>20955</xdr:rowOff>
    </xdr:to>
    <xdr:sp macro="" textlink="">
      <xdr:nvSpPr>
        <xdr:cNvPr id="96" name="Flecha derecha 95"/>
        <xdr:cNvSpPr/>
      </xdr:nvSpPr>
      <xdr:spPr>
        <a:xfrm>
          <a:off x="9184820" y="1343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12</xdr:col>
      <xdr:colOff>122466</xdr:colOff>
      <xdr:row>44</xdr:row>
      <xdr:rowOff>9525</xdr:rowOff>
    </xdr:from>
    <xdr:to>
      <xdr:col>12</xdr:col>
      <xdr:colOff>345351</xdr:colOff>
      <xdr:row>45</xdr:row>
      <xdr:rowOff>20955</xdr:rowOff>
    </xdr:to>
    <xdr:sp macro="" textlink="">
      <xdr:nvSpPr>
        <xdr:cNvPr id="97" name="Flecha derecha 96"/>
        <xdr:cNvSpPr/>
      </xdr:nvSpPr>
      <xdr:spPr>
        <a:xfrm>
          <a:off x="10654395" y="1343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95249</xdr:colOff>
      <xdr:row>42</xdr:row>
      <xdr:rowOff>81644</xdr:rowOff>
    </xdr:from>
    <xdr:ext cx="489858" cy="1088570"/>
    <xdr:pic>
      <xdr:nvPicPr>
        <xdr:cNvPr id="98" name="Imagen 9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5178" y="1034144"/>
          <a:ext cx="489858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775607</xdr:colOff>
      <xdr:row>42</xdr:row>
      <xdr:rowOff>151288</xdr:rowOff>
    </xdr:from>
    <xdr:ext cx="1006929" cy="863805"/>
    <xdr:pic>
      <xdr:nvPicPr>
        <xdr:cNvPr id="99" name="Imagen 9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7536" y="1103788"/>
          <a:ext cx="1006929" cy="863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244929</xdr:colOff>
      <xdr:row>47</xdr:row>
      <xdr:rowOff>136072</xdr:rowOff>
    </xdr:from>
    <xdr:to>
      <xdr:col>13</xdr:col>
      <xdr:colOff>436064</xdr:colOff>
      <xdr:row>48</xdr:row>
      <xdr:rowOff>168457</xdr:rowOff>
    </xdr:to>
    <xdr:sp macro="" textlink="">
      <xdr:nvSpPr>
        <xdr:cNvPr id="100" name="Flecha abajo 99"/>
        <xdr:cNvSpPr/>
      </xdr:nvSpPr>
      <xdr:spPr>
        <a:xfrm>
          <a:off x="11770179" y="2041072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0</xdr:col>
      <xdr:colOff>397326</xdr:colOff>
      <xdr:row>43</xdr:row>
      <xdr:rowOff>180975</xdr:rowOff>
    </xdr:from>
    <xdr:to>
      <xdr:col>0</xdr:col>
      <xdr:colOff>620211</xdr:colOff>
      <xdr:row>45</xdr:row>
      <xdr:rowOff>1905</xdr:rowOff>
    </xdr:to>
    <xdr:sp macro="" textlink="">
      <xdr:nvSpPr>
        <xdr:cNvPr id="101" name="Flecha derecha 100"/>
        <xdr:cNvSpPr/>
      </xdr:nvSpPr>
      <xdr:spPr>
        <a:xfrm>
          <a:off x="397326" y="132397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408213</xdr:colOff>
      <xdr:row>44</xdr:row>
      <xdr:rowOff>9525</xdr:rowOff>
    </xdr:from>
    <xdr:to>
      <xdr:col>10</xdr:col>
      <xdr:colOff>631098</xdr:colOff>
      <xdr:row>45</xdr:row>
      <xdr:rowOff>20955</xdr:rowOff>
    </xdr:to>
    <xdr:sp macro="" textlink="">
      <xdr:nvSpPr>
        <xdr:cNvPr id="102" name="Flecha derecha 101"/>
        <xdr:cNvSpPr/>
      </xdr:nvSpPr>
      <xdr:spPr>
        <a:xfrm>
          <a:off x="9184820" y="1343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461596</xdr:colOff>
      <xdr:row>67</xdr:row>
      <xdr:rowOff>183173</xdr:rowOff>
    </xdr:from>
    <xdr:to>
      <xdr:col>3</xdr:col>
      <xdr:colOff>684481</xdr:colOff>
      <xdr:row>69</xdr:row>
      <xdr:rowOff>4103</xdr:rowOff>
    </xdr:to>
    <xdr:sp macro="" textlink="">
      <xdr:nvSpPr>
        <xdr:cNvPr id="104" name="Flecha derecha 103"/>
        <xdr:cNvSpPr/>
      </xdr:nvSpPr>
      <xdr:spPr>
        <a:xfrm>
          <a:off x="3210239" y="5898173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468923</xdr:colOff>
      <xdr:row>66</xdr:row>
      <xdr:rowOff>175846</xdr:rowOff>
    </xdr:from>
    <xdr:to>
      <xdr:col>3</xdr:col>
      <xdr:colOff>691808</xdr:colOff>
      <xdr:row>67</xdr:row>
      <xdr:rowOff>187276</xdr:rowOff>
    </xdr:to>
    <xdr:sp macro="" textlink="">
      <xdr:nvSpPr>
        <xdr:cNvPr id="105" name="Flecha derecha 104"/>
        <xdr:cNvSpPr/>
      </xdr:nvSpPr>
      <xdr:spPr>
        <a:xfrm>
          <a:off x="3217566" y="5700346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612322</xdr:colOff>
      <xdr:row>54</xdr:row>
      <xdr:rowOff>111994</xdr:rowOff>
    </xdr:from>
    <xdr:ext cx="952499" cy="786076"/>
    <xdr:pic>
      <xdr:nvPicPr>
        <xdr:cNvPr id="106" name="Imagen 10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1" y="3350494"/>
          <a:ext cx="952499" cy="786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517073</xdr:colOff>
      <xdr:row>54</xdr:row>
      <xdr:rowOff>95250</xdr:rowOff>
    </xdr:from>
    <xdr:ext cx="1102309" cy="843643"/>
    <xdr:pic>
      <xdr:nvPicPr>
        <xdr:cNvPr id="107" name="Imagen 10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1680" y="3333750"/>
          <a:ext cx="1102309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0</xdr:colOff>
      <xdr:row>56</xdr:row>
      <xdr:rowOff>0</xdr:rowOff>
    </xdr:from>
    <xdr:to>
      <xdr:col>9</xdr:col>
      <xdr:colOff>222885</xdr:colOff>
      <xdr:row>57</xdr:row>
      <xdr:rowOff>11430</xdr:rowOff>
    </xdr:to>
    <xdr:sp macro="" textlink="">
      <xdr:nvSpPr>
        <xdr:cNvPr id="108" name="Flecha derecha 107"/>
        <xdr:cNvSpPr/>
      </xdr:nvSpPr>
      <xdr:spPr>
        <a:xfrm>
          <a:off x="8014607" y="3619500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11</xdr:col>
      <xdr:colOff>125185</xdr:colOff>
      <xdr:row>55</xdr:row>
      <xdr:rowOff>166007</xdr:rowOff>
    </xdr:from>
    <xdr:to>
      <xdr:col>11</xdr:col>
      <xdr:colOff>348070</xdr:colOff>
      <xdr:row>56</xdr:row>
      <xdr:rowOff>177437</xdr:rowOff>
    </xdr:to>
    <xdr:sp macro="" textlink="">
      <xdr:nvSpPr>
        <xdr:cNvPr id="109" name="Flecha derecha 108"/>
        <xdr:cNvSpPr/>
      </xdr:nvSpPr>
      <xdr:spPr>
        <a:xfrm>
          <a:off x="9895114" y="3595007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625928</xdr:colOff>
      <xdr:row>65</xdr:row>
      <xdr:rowOff>108858</xdr:rowOff>
    </xdr:from>
    <xdr:ext cx="894241" cy="840441"/>
    <xdr:pic>
      <xdr:nvPicPr>
        <xdr:cNvPr id="110" name="Imagen 10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95857" y="5442858"/>
          <a:ext cx="894241" cy="840441"/>
        </a:xfrm>
        <a:prstGeom prst="rect">
          <a:avLst/>
        </a:prstGeom>
      </xdr:spPr>
    </xdr:pic>
    <xdr:clientData/>
  </xdr:oneCellAnchor>
  <xdr:twoCellAnchor>
    <xdr:from>
      <xdr:col>3</xdr:col>
      <xdr:colOff>476251</xdr:colOff>
      <xdr:row>62</xdr:row>
      <xdr:rowOff>122464</xdr:rowOff>
    </xdr:from>
    <xdr:to>
      <xdr:col>3</xdr:col>
      <xdr:colOff>699136</xdr:colOff>
      <xdr:row>63</xdr:row>
      <xdr:rowOff>133894</xdr:rowOff>
    </xdr:to>
    <xdr:sp macro="" textlink="">
      <xdr:nvSpPr>
        <xdr:cNvPr id="111" name="Flecha derecha 110"/>
        <xdr:cNvSpPr/>
      </xdr:nvSpPr>
      <xdr:spPr>
        <a:xfrm>
          <a:off x="3224894" y="4884964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9</xdr:col>
      <xdr:colOff>68035</xdr:colOff>
      <xdr:row>42</xdr:row>
      <xdr:rowOff>136072</xdr:rowOff>
    </xdr:from>
    <xdr:ext cx="816429" cy="1034142"/>
    <xdr:pic>
      <xdr:nvPicPr>
        <xdr:cNvPr id="112" name="Imagen 11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2642" y="1088572"/>
          <a:ext cx="816429" cy="1034142"/>
        </a:xfrm>
        <a:prstGeom prst="rect">
          <a:avLst/>
        </a:prstGeom>
        <a:noFill/>
      </xdr:spPr>
    </xdr:pic>
    <xdr:clientData/>
  </xdr:oneCellAnchor>
  <xdr:oneCellAnchor>
    <xdr:from>
      <xdr:col>4</xdr:col>
      <xdr:colOff>136070</xdr:colOff>
      <xdr:row>65</xdr:row>
      <xdr:rowOff>85746</xdr:rowOff>
    </xdr:from>
    <xdr:ext cx="693965" cy="757896"/>
    <xdr:pic>
      <xdr:nvPicPr>
        <xdr:cNvPr id="113" name="Imagen 11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6713" y="5419746"/>
          <a:ext cx="693965" cy="757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13608</xdr:colOff>
      <xdr:row>65</xdr:row>
      <xdr:rowOff>37055</xdr:rowOff>
    </xdr:from>
    <xdr:ext cx="707572" cy="870539"/>
    <xdr:pic>
      <xdr:nvPicPr>
        <xdr:cNvPr id="114" name="Imagen 1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7572" y="5371055"/>
          <a:ext cx="707572" cy="87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285750</xdr:colOff>
      <xdr:row>56</xdr:row>
      <xdr:rowOff>9525</xdr:rowOff>
    </xdr:from>
    <xdr:to>
      <xdr:col>5</xdr:col>
      <xdr:colOff>508635</xdr:colOff>
      <xdr:row>57</xdr:row>
      <xdr:rowOff>20955</xdr:rowOff>
    </xdr:to>
    <xdr:sp macro="" textlink="">
      <xdr:nvSpPr>
        <xdr:cNvPr id="115" name="Flecha derecha 114"/>
        <xdr:cNvSpPr/>
      </xdr:nvSpPr>
      <xdr:spPr>
        <a:xfrm>
          <a:off x="4789714" y="3629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285750</xdr:colOff>
      <xdr:row>56</xdr:row>
      <xdr:rowOff>9525</xdr:rowOff>
    </xdr:from>
    <xdr:to>
      <xdr:col>3</xdr:col>
      <xdr:colOff>508635</xdr:colOff>
      <xdr:row>57</xdr:row>
      <xdr:rowOff>20955</xdr:rowOff>
    </xdr:to>
    <xdr:sp macro="" textlink="">
      <xdr:nvSpPr>
        <xdr:cNvPr id="116" name="Flecha derecha 115"/>
        <xdr:cNvSpPr/>
      </xdr:nvSpPr>
      <xdr:spPr>
        <a:xfrm>
          <a:off x="3034393" y="3629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6</xdr:col>
      <xdr:colOff>979715</xdr:colOff>
      <xdr:row>43</xdr:row>
      <xdr:rowOff>27215</xdr:rowOff>
    </xdr:from>
    <xdr:to>
      <xdr:col>8</xdr:col>
      <xdr:colOff>69277</xdr:colOff>
      <xdr:row>46</xdr:row>
      <xdr:rowOff>122467</xdr:rowOff>
    </xdr:to>
    <xdr:pic>
      <xdr:nvPicPr>
        <xdr:cNvPr id="118" name="Imagen 1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679" y="8218715"/>
          <a:ext cx="844884" cy="666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40</xdr:row>
      <xdr:rowOff>95249</xdr:rowOff>
    </xdr:from>
    <xdr:to>
      <xdr:col>0</xdr:col>
      <xdr:colOff>867067</xdr:colOff>
      <xdr:row>43</xdr:row>
      <xdr:rowOff>36284</xdr:rowOff>
    </xdr:to>
    <xdr:pic>
      <xdr:nvPicPr>
        <xdr:cNvPr id="119" name="Imagen 1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0" y="7715249"/>
          <a:ext cx="771817" cy="512535"/>
        </a:xfrm>
        <a:prstGeom prst="rect">
          <a:avLst/>
        </a:prstGeom>
      </xdr:spPr>
    </xdr:pic>
    <xdr:clientData/>
  </xdr:twoCellAnchor>
  <xdr:oneCellAnchor>
    <xdr:from>
      <xdr:col>8</xdr:col>
      <xdr:colOff>285751</xdr:colOff>
      <xdr:row>102</xdr:row>
      <xdr:rowOff>13605</xdr:rowOff>
    </xdr:from>
    <xdr:ext cx="707572" cy="884463"/>
    <xdr:pic>
      <xdr:nvPicPr>
        <xdr:cNvPr id="120" name="Imagen 11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2296" y="12396105"/>
          <a:ext cx="707572" cy="884463"/>
        </a:xfrm>
        <a:prstGeom prst="rect">
          <a:avLst/>
        </a:prstGeom>
        <a:noFill/>
      </xdr:spPr>
    </xdr:pic>
    <xdr:clientData/>
  </xdr:oneCellAnchor>
  <xdr:oneCellAnchor>
    <xdr:from>
      <xdr:col>2</xdr:col>
      <xdr:colOff>123825</xdr:colOff>
      <xdr:row>90</xdr:row>
      <xdr:rowOff>171237</xdr:rowOff>
    </xdr:from>
    <xdr:ext cx="742950" cy="962370"/>
    <xdr:pic>
      <xdr:nvPicPr>
        <xdr:cNvPr id="121" name="Imagen 1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2961" y="10267737"/>
          <a:ext cx="742950" cy="962370"/>
        </a:xfrm>
        <a:prstGeom prst="rect">
          <a:avLst/>
        </a:prstGeom>
      </xdr:spPr>
    </xdr:pic>
    <xdr:clientData/>
  </xdr:oneCellAnchor>
  <xdr:oneCellAnchor>
    <xdr:from>
      <xdr:col>6</xdr:col>
      <xdr:colOff>28576</xdr:colOff>
      <xdr:row>91</xdr:row>
      <xdr:rowOff>66675</xdr:rowOff>
    </xdr:from>
    <xdr:ext cx="923750" cy="733302"/>
    <xdr:pic>
      <xdr:nvPicPr>
        <xdr:cNvPr id="122" name="Imagen 1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75985" y="10353675"/>
          <a:ext cx="923750" cy="733302"/>
        </a:xfrm>
        <a:prstGeom prst="rect">
          <a:avLst/>
        </a:prstGeom>
      </xdr:spPr>
    </xdr:pic>
    <xdr:clientData/>
  </xdr:oneCellAnchor>
  <xdr:twoCellAnchor>
    <xdr:from>
      <xdr:col>1</xdr:col>
      <xdr:colOff>247650</xdr:colOff>
      <xdr:row>92</xdr:row>
      <xdr:rowOff>180975</xdr:rowOff>
    </xdr:from>
    <xdr:to>
      <xdr:col>1</xdr:col>
      <xdr:colOff>470535</xdr:colOff>
      <xdr:row>94</xdr:row>
      <xdr:rowOff>1905</xdr:rowOff>
    </xdr:to>
    <xdr:sp macro="" textlink="">
      <xdr:nvSpPr>
        <xdr:cNvPr id="123" name="Flecha derecha 122"/>
        <xdr:cNvSpPr/>
      </xdr:nvSpPr>
      <xdr:spPr>
        <a:xfrm>
          <a:off x="1234786" y="1065847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4</xdr:col>
      <xdr:colOff>95250</xdr:colOff>
      <xdr:row>91</xdr:row>
      <xdr:rowOff>133349</xdr:rowOff>
    </xdr:from>
    <xdr:ext cx="809625" cy="752749"/>
    <xdr:pic>
      <xdr:nvPicPr>
        <xdr:cNvPr id="124" name="Imagen 12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0853"/>
        <a:stretch/>
      </xdr:blipFill>
      <xdr:spPr>
        <a:xfrm>
          <a:off x="3593523" y="10420349"/>
          <a:ext cx="809625" cy="752749"/>
        </a:xfrm>
        <a:prstGeom prst="rect">
          <a:avLst/>
        </a:prstGeom>
      </xdr:spPr>
    </xdr:pic>
    <xdr:clientData/>
  </xdr:oneCellAnchor>
  <xdr:twoCellAnchor>
    <xdr:from>
      <xdr:col>3</xdr:col>
      <xdr:colOff>285750</xdr:colOff>
      <xdr:row>93</xdr:row>
      <xdr:rowOff>9525</xdr:rowOff>
    </xdr:from>
    <xdr:to>
      <xdr:col>3</xdr:col>
      <xdr:colOff>508635</xdr:colOff>
      <xdr:row>94</xdr:row>
      <xdr:rowOff>20955</xdr:rowOff>
    </xdr:to>
    <xdr:sp macro="" textlink="">
      <xdr:nvSpPr>
        <xdr:cNvPr id="125" name="Flecha derecha 124"/>
        <xdr:cNvSpPr/>
      </xdr:nvSpPr>
      <xdr:spPr>
        <a:xfrm>
          <a:off x="3022023" y="10677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285750</xdr:colOff>
      <xdr:row>93</xdr:row>
      <xdr:rowOff>9525</xdr:rowOff>
    </xdr:from>
    <xdr:to>
      <xdr:col>5</xdr:col>
      <xdr:colOff>508635</xdr:colOff>
      <xdr:row>94</xdr:row>
      <xdr:rowOff>20955</xdr:rowOff>
    </xdr:to>
    <xdr:sp macro="" textlink="">
      <xdr:nvSpPr>
        <xdr:cNvPr id="126" name="Flecha derecha 125"/>
        <xdr:cNvSpPr/>
      </xdr:nvSpPr>
      <xdr:spPr>
        <a:xfrm>
          <a:off x="4771159" y="10677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7</xdr:col>
      <xdr:colOff>285750</xdr:colOff>
      <xdr:row>93</xdr:row>
      <xdr:rowOff>9525</xdr:rowOff>
    </xdr:from>
    <xdr:to>
      <xdr:col>7</xdr:col>
      <xdr:colOff>508635</xdr:colOff>
      <xdr:row>94</xdr:row>
      <xdr:rowOff>20955</xdr:rowOff>
    </xdr:to>
    <xdr:sp macro="" textlink="">
      <xdr:nvSpPr>
        <xdr:cNvPr id="127" name="Flecha derecha 126"/>
        <xdr:cNvSpPr/>
      </xdr:nvSpPr>
      <xdr:spPr>
        <a:xfrm>
          <a:off x="6520295" y="10677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13</xdr:col>
      <xdr:colOff>285750</xdr:colOff>
      <xdr:row>92</xdr:row>
      <xdr:rowOff>172811</xdr:rowOff>
    </xdr:from>
    <xdr:to>
      <xdr:col>13</xdr:col>
      <xdr:colOff>508635</xdr:colOff>
      <xdr:row>93</xdr:row>
      <xdr:rowOff>184241</xdr:rowOff>
    </xdr:to>
    <xdr:sp macro="" textlink="">
      <xdr:nvSpPr>
        <xdr:cNvPr id="128" name="Flecha derecha 127"/>
        <xdr:cNvSpPr/>
      </xdr:nvSpPr>
      <xdr:spPr>
        <a:xfrm>
          <a:off x="11767705" y="10650311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57150</xdr:colOff>
      <xdr:row>88</xdr:row>
      <xdr:rowOff>126067</xdr:rowOff>
    </xdr:from>
    <xdr:to>
      <xdr:col>6</xdr:col>
      <xdr:colOff>248285</xdr:colOff>
      <xdr:row>89</xdr:row>
      <xdr:rowOff>158452</xdr:rowOff>
    </xdr:to>
    <xdr:sp macro="" textlink="">
      <xdr:nvSpPr>
        <xdr:cNvPr id="129" name="Flecha abajo 128"/>
        <xdr:cNvSpPr/>
      </xdr:nvSpPr>
      <xdr:spPr>
        <a:xfrm>
          <a:off x="5304559" y="9841567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781050</xdr:colOff>
      <xdr:row>88</xdr:row>
      <xdr:rowOff>110379</xdr:rowOff>
    </xdr:from>
    <xdr:to>
      <xdr:col>6</xdr:col>
      <xdr:colOff>972185</xdr:colOff>
      <xdr:row>89</xdr:row>
      <xdr:rowOff>142764</xdr:rowOff>
    </xdr:to>
    <xdr:sp macro="" textlink="">
      <xdr:nvSpPr>
        <xdr:cNvPr id="130" name="Flecha abajo 129"/>
        <xdr:cNvSpPr/>
      </xdr:nvSpPr>
      <xdr:spPr>
        <a:xfrm>
          <a:off x="6028459" y="9825879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827635</xdr:colOff>
      <xdr:row>96</xdr:row>
      <xdr:rowOff>167288</xdr:rowOff>
    </xdr:from>
    <xdr:to>
      <xdr:col>11</xdr:col>
      <xdr:colOff>25448</xdr:colOff>
      <xdr:row>98</xdr:row>
      <xdr:rowOff>9173</xdr:rowOff>
    </xdr:to>
    <xdr:sp macro="" textlink="">
      <xdr:nvSpPr>
        <xdr:cNvPr id="131" name="Flecha abajo 130"/>
        <xdr:cNvSpPr/>
      </xdr:nvSpPr>
      <xdr:spPr>
        <a:xfrm>
          <a:off x="9573317" y="11406788"/>
          <a:ext cx="184949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0</xdr:col>
      <xdr:colOff>134471</xdr:colOff>
      <xdr:row>90</xdr:row>
      <xdr:rowOff>22412</xdr:rowOff>
    </xdr:from>
    <xdr:ext cx="729507" cy="544632"/>
    <xdr:pic>
      <xdr:nvPicPr>
        <xdr:cNvPr id="132" name="Imagen 13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471" y="10118912"/>
          <a:ext cx="729507" cy="544632"/>
        </a:xfrm>
        <a:prstGeom prst="rect">
          <a:avLst/>
        </a:prstGeom>
      </xdr:spPr>
    </xdr:pic>
    <xdr:clientData/>
  </xdr:oneCellAnchor>
  <xdr:oneCellAnchor>
    <xdr:from>
      <xdr:col>8</xdr:col>
      <xdr:colOff>138472</xdr:colOff>
      <xdr:row>91</xdr:row>
      <xdr:rowOff>45842</xdr:rowOff>
    </xdr:from>
    <xdr:ext cx="649941" cy="886647"/>
    <xdr:pic>
      <xdr:nvPicPr>
        <xdr:cNvPr id="133" name="Imagen 13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067" t="8247" r="18308" b="4954"/>
        <a:stretch/>
      </xdr:blipFill>
      <xdr:spPr>
        <a:xfrm>
          <a:off x="7135017" y="10332842"/>
          <a:ext cx="649941" cy="886647"/>
        </a:xfrm>
        <a:prstGeom prst="rect">
          <a:avLst/>
        </a:prstGeom>
      </xdr:spPr>
    </xdr:pic>
    <xdr:clientData/>
  </xdr:oneCellAnchor>
  <xdr:twoCellAnchor>
    <xdr:from>
      <xdr:col>8</xdr:col>
      <xdr:colOff>351384</xdr:colOff>
      <xdr:row>96</xdr:row>
      <xdr:rowOff>153680</xdr:rowOff>
    </xdr:from>
    <xdr:to>
      <xdr:col>8</xdr:col>
      <xdr:colOff>530678</xdr:colOff>
      <xdr:row>97</xdr:row>
      <xdr:rowOff>164886</xdr:rowOff>
    </xdr:to>
    <xdr:sp macro="" textlink="">
      <xdr:nvSpPr>
        <xdr:cNvPr id="134" name="Flecha arriba 133"/>
        <xdr:cNvSpPr/>
      </xdr:nvSpPr>
      <xdr:spPr>
        <a:xfrm>
          <a:off x="7347929" y="11393180"/>
          <a:ext cx="179294" cy="201706"/>
        </a:xfrm>
        <a:prstGeom prst="up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481853</xdr:colOff>
      <xdr:row>100</xdr:row>
      <xdr:rowOff>116368</xdr:rowOff>
    </xdr:from>
    <xdr:to>
      <xdr:col>3</xdr:col>
      <xdr:colOff>704738</xdr:colOff>
      <xdr:row>101</xdr:row>
      <xdr:rowOff>127798</xdr:rowOff>
    </xdr:to>
    <xdr:sp macro="" textlink="">
      <xdr:nvSpPr>
        <xdr:cNvPr id="135" name="Flecha derecha 134"/>
        <xdr:cNvSpPr/>
      </xdr:nvSpPr>
      <xdr:spPr>
        <a:xfrm>
          <a:off x="3218126" y="1211786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470647</xdr:colOff>
      <xdr:row>101</xdr:row>
      <xdr:rowOff>138348</xdr:rowOff>
    </xdr:from>
    <xdr:to>
      <xdr:col>3</xdr:col>
      <xdr:colOff>693532</xdr:colOff>
      <xdr:row>102</xdr:row>
      <xdr:rowOff>149778</xdr:rowOff>
    </xdr:to>
    <xdr:sp macro="" textlink="">
      <xdr:nvSpPr>
        <xdr:cNvPr id="136" name="Flecha derecha 135"/>
        <xdr:cNvSpPr/>
      </xdr:nvSpPr>
      <xdr:spPr>
        <a:xfrm>
          <a:off x="3206920" y="1233034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470647</xdr:colOff>
      <xdr:row>102</xdr:row>
      <xdr:rowOff>168518</xdr:rowOff>
    </xdr:from>
    <xdr:to>
      <xdr:col>3</xdr:col>
      <xdr:colOff>693532</xdr:colOff>
      <xdr:row>103</xdr:row>
      <xdr:rowOff>179948</xdr:rowOff>
    </xdr:to>
    <xdr:sp macro="" textlink="">
      <xdr:nvSpPr>
        <xdr:cNvPr id="137" name="Flecha derecha 136"/>
        <xdr:cNvSpPr/>
      </xdr:nvSpPr>
      <xdr:spPr>
        <a:xfrm>
          <a:off x="3206920" y="1255101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458837</xdr:colOff>
      <xdr:row>106</xdr:row>
      <xdr:rowOff>173454</xdr:rowOff>
    </xdr:from>
    <xdr:to>
      <xdr:col>3</xdr:col>
      <xdr:colOff>681722</xdr:colOff>
      <xdr:row>107</xdr:row>
      <xdr:rowOff>184884</xdr:rowOff>
    </xdr:to>
    <xdr:sp macro="" textlink="">
      <xdr:nvSpPr>
        <xdr:cNvPr id="138" name="Flecha derecha 137"/>
        <xdr:cNvSpPr/>
      </xdr:nvSpPr>
      <xdr:spPr>
        <a:xfrm>
          <a:off x="3207480" y="20366454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451510</xdr:colOff>
      <xdr:row>107</xdr:row>
      <xdr:rowOff>174317</xdr:rowOff>
    </xdr:from>
    <xdr:to>
      <xdr:col>3</xdr:col>
      <xdr:colOff>674395</xdr:colOff>
      <xdr:row>108</xdr:row>
      <xdr:rowOff>185747</xdr:rowOff>
    </xdr:to>
    <xdr:sp macro="" textlink="">
      <xdr:nvSpPr>
        <xdr:cNvPr id="139" name="Flecha derecha 138"/>
        <xdr:cNvSpPr/>
      </xdr:nvSpPr>
      <xdr:spPr>
        <a:xfrm>
          <a:off x="3200153" y="20557817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370594</xdr:colOff>
      <xdr:row>101</xdr:row>
      <xdr:rowOff>165687</xdr:rowOff>
    </xdr:from>
    <xdr:to>
      <xdr:col>6</xdr:col>
      <xdr:colOff>593479</xdr:colOff>
      <xdr:row>102</xdr:row>
      <xdr:rowOff>177117</xdr:rowOff>
    </xdr:to>
    <xdr:sp macro="" textlink="">
      <xdr:nvSpPr>
        <xdr:cNvPr id="140" name="Flecha derecha 139"/>
        <xdr:cNvSpPr/>
      </xdr:nvSpPr>
      <xdr:spPr>
        <a:xfrm>
          <a:off x="5618003" y="12357687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8</xdr:col>
      <xdr:colOff>572620</xdr:colOff>
      <xdr:row>107</xdr:row>
      <xdr:rowOff>31618</xdr:rowOff>
    </xdr:from>
    <xdr:to>
      <xdr:col>8</xdr:col>
      <xdr:colOff>763755</xdr:colOff>
      <xdr:row>108</xdr:row>
      <xdr:rowOff>64003</xdr:rowOff>
    </xdr:to>
    <xdr:sp macro="" textlink="">
      <xdr:nvSpPr>
        <xdr:cNvPr id="141" name="Flecha abajo 140"/>
        <xdr:cNvSpPr/>
      </xdr:nvSpPr>
      <xdr:spPr>
        <a:xfrm>
          <a:off x="7569165" y="13366618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412217</xdr:colOff>
      <xdr:row>101</xdr:row>
      <xdr:rowOff>165686</xdr:rowOff>
    </xdr:from>
    <xdr:to>
      <xdr:col>10</xdr:col>
      <xdr:colOff>635102</xdr:colOff>
      <xdr:row>102</xdr:row>
      <xdr:rowOff>177116</xdr:rowOff>
    </xdr:to>
    <xdr:sp macro="" textlink="">
      <xdr:nvSpPr>
        <xdr:cNvPr id="142" name="Flecha derecha 141"/>
        <xdr:cNvSpPr/>
      </xdr:nvSpPr>
      <xdr:spPr>
        <a:xfrm>
          <a:off x="9157899" y="12357686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0</xdr:col>
      <xdr:colOff>967469</xdr:colOff>
      <xdr:row>78</xdr:row>
      <xdr:rowOff>171237</xdr:rowOff>
    </xdr:from>
    <xdr:ext cx="742950" cy="962370"/>
    <xdr:pic>
      <xdr:nvPicPr>
        <xdr:cNvPr id="143" name="Imagen 14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469" y="7981737"/>
          <a:ext cx="742950" cy="962370"/>
        </a:xfrm>
        <a:prstGeom prst="rect">
          <a:avLst/>
        </a:prstGeom>
      </xdr:spPr>
    </xdr:pic>
    <xdr:clientData/>
  </xdr:oneCellAnchor>
  <xdr:oneCellAnchor>
    <xdr:from>
      <xdr:col>4</xdr:col>
      <xdr:colOff>981075</xdr:colOff>
      <xdr:row>79</xdr:row>
      <xdr:rowOff>66675</xdr:rowOff>
    </xdr:from>
    <xdr:ext cx="923750" cy="733302"/>
    <xdr:pic>
      <xdr:nvPicPr>
        <xdr:cNvPr id="144" name="Imagen 14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9348" y="8067675"/>
          <a:ext cx="923750" cy="733302"/>
        </a:xfrm>
        <a:prstGeom prst="rect">
          <a:avLst/>
        </a:prstGeom>
      </xdr:spPr>
    </xdr:pic>
    <xdr:clientData/>
  </xdr:oneCellAnchor>
  <xdr:oneCellAnchor>
    <xdr:from>
      <xdr:col>2</xdr:col>
      <xdr:colOff>938903</xdr:colOff>
      <xdr:row>79</xdr:row>
      <xdr:rowOff>133349</xdr:rowOff>
    </xdr:from>
    <xdr:ext cx="809625" cy="752749"/>
    <xdr:pic>
      <xdr:nvPicPr>
        <xdr:cNvPr id="145" name="Imagen 14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0853"/>
        <a:stretch/>
      </xdr:blipFill>
      <xdr:spPr>
        <a:xfrm>
          <a:off x="2688039" y="8134349"/>
          <a:ext cx="809625" cy="752749"/>
        </a:xfrm>
        <a:prstGeom prst="rect">
          <a:avLst/>
        </a:prstGeom>
      </xdr:spPr>
    </xdr:pic>
    <xdr:clientData/>
  </xdr:oneCellAnchor>
  <xdr:twoCellAnchor>
    <xdr:from>
      <xdr:col>2</xdr:col>
      <xdr:colOff>435427</xdr:colOff>
      <xdr:row>81</xdr:row>
      <xdr:rowOff>9525</xdr:rowOff>
    </xdr:from>
    <xdr:to>
      <xdr:col>2</xdr:col>
      <xdr:colOff>658312</xdr:colOff>
      <xdr:row>82</xdr:row>
      <xdr:rowOff>20955</xdr:rowOff>
    </xdr:to>
    <xdr:sp macro="" textlink="">
      <xdr:nvSpPr>
        <xdr:cNvPr id="146" name="Flecha derecha 145"/>
        <xdr:cNvSpPr/>
      </xdr:nvSpPr>
      <xdr:spPr>
        <a:xfrm>
          <a:off x="2184563" y="8391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4</xdr:col>
      <xdr:colOff>449034</xdr:colOff>
      <xdr:row>81</xdr:row>
      <xdr:rowOff>9525</xdr:rowOff>
    </xdr:from>
    <xdr:to>
      <xdr:col>4</xdr:col>
      <xdr:colOff>671919</xdr:colOff>
      <xdr:row>82</xdr:row>
      <xdr:rowOff>20955</xdr:rowOff>
    </xdr:to>
    <xdr:sp macro="" textlink="">
      <xdr:nvSpPr>
        <xdr:cNvPr id="147" name="Flecha derecha 146"/>
        <xdr:cNvSpPr/>
      </xdr:nvSpPr>
      <xdr:spPr>
        <a:xfrm>
          <a:off x="3947307" y="8391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449034</xdr:colOff>
      <xdr:row>81</xdr:row>
      <xdr:rowOff>9525</xdr:rowOff>
    </xdr:from>
    <xdr:to>
      <xdr:col>6</xdr:col>
      <xdr:colOff>671919</xdr:colOff>
      <xdr:row>82</xdr:row>
      <xdr:rowOff>20955</xdr:rowOff>
    </xdr:to>
    <xdr:sp macro="" textlink="">
      <xdr:nvSpPr>
        <xdr:cNvPr id="148" name="Flecha derecha 147"/>
        <xdr:cNvSpPr/>
      </xdr:nvSpPr>
      <xdr:spPr>
        <a:xfrm>
          <a:off x="5696443" y="8391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8</xdr:col>
      <xdr:colOff>408213</xdr:colOff>
      <xdr:row>81</xdr:row>
      <xdr:rowOff>9525</xdr:rowOff>
    </xdr:from>
    <xdr:to>
      <xdr:col>8</xdr:col>
      <xdr:colOff>631098</xdr:colOff>
      <xdr:row>82</xdr:row>
      <xdr:rowOff>20955</xdr:rowOff>
    </xdr:to>
    <xdr:sp macro="" textlink="">
      <xdr:nvSpPr>
        <xdr:cNvPr id="149" name="Flecha derecha 148"/>
        <xdr:cNvSpPr/>
      </xdr:nvSpPr>
      <xdr:spPr>
        <a:xfrm>
          <a:off x="7404758" y="8391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14</xdr:col>
      <xdr:colOff>285750</xdr:colOff>
      <xdr:row>81</xdr:row>
      <xdr:rowOff>9525</xdr:rowOff>
    </xdr:from>
    <xdr:to>
      <xdr:col>14</xdr:col>
      <xdr:colOff>508635</xdr:colOff>
      <xdr:row>82</xdr:row>
      <xdr:rowOff>20955</xdr:rowOff>
    </xdr:to>
    <xdr:sp macro="" textlink="">
      <xdr:nvSpPr>
        <xdr:cNvPr id="150" name="Flecha derecha 149"/>
        <xdr:cNvSpPr/>
      </xdr:nvSpPr>
      <xdr:spPr>
        <a:xfrm>
          <a:off x="12529705" y="8391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14</xdr:col>
      <xdr:colOff>285750</xdr:colOff>
      <xdr:row>81</xdr:row>
      <xdr:rowOff>9525</xdr:rowOff>
    </xdr:from>
    <xdr:to>
      <xdr:col>14</xdr:col>
      <xdr:colOff>508635</xdr:colOff>
      <xdr:row>82</xdr:row>
      <xdr:rowOff>20955</xdr:rowOff>
    </xdr:to>
    <xdr:sp macro="" textlink="">
      <xdr:nvSpPr>
        <xdr:cNvPr id="151" name="Flecha derecha 150"/>
        <xdr:cNvSpPr/>
      </xdr:nvSpPr>
      <xdr:spPr>
        <a:xfrm>
          <a:off x="12529705" y="8391525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383721</xdr:colOff>
      <xdr:row>76</xdr:row>
      <xdr:rowOff>126067</xdr:rowOff>
    </xdr:from>
    <xdr:to>
      <xdr:col>5</xdr:col>
      <xdr:colOff>574856</xdr:colOff>
      <xdr:row>77</xdr:row>
      <xdr:rowOff>158452</xdr:rowOff>
    </xdr:to>
    <xdr:sp macro="" textlink="">
      <xdr:nvSpPr>
        <xdr:cNvPr id="152" name="Flecha abajo 151"/>
        <xdr:cNvSpPr/>
      </xdr:nvSpPr>
      <xdr:spPr>
        <a:xfrm>
          <a:off x="4869130" y="7555567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781050</xdr:colOff>
      <xdr:row>76</xdr:row>
      <xdr:rowOff>110379</xdr:rowOff>
    </xdr:from>
    <xdr:to>
      <xdr:col>5</xdr:col>
      <xdr:colOff>972185</xdr:colOff>
      <xdr:row>77</xdr:row>
      <xdr:rowOff>142764</xdr:rowOff>
    </xdr:to>
    <xdr:sp macro="" textlink="">
      <xdr:nvSpPr>
        <xdr:cNvPr id="153" name="Flecha abajo 152"/>
        <xdr:cNvSpPr/>
      </xdr:nvSpPr>
      <xdr:spPr>
        <a:xfrm>
          <a:off x="5247409" y="7539879"/>
          <a:ext cx="6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7</xdr:col>
      <xdr:colOff>326572</xdr:colOff>
      <xdr:row>84</xdr:row>
      <xdr:rowOff>136070</xdr:rowOff>
    </xdr:from>
    <xdr:to>
      <xdr:col>7</xdr:col>
      <xdr:colOff>517707</xdr:colOff>
      <xdr:row>85</xdr:row>
      <xdr:rowOff>168455</xdr:rowOff>
    </xdr:to>
    <xdr:sp macro="" textlink="">
      <xdr:nvSpPr>
        <xdr:cNvPr id="154" name="Flecha abajo 153"/>
        <xdr:cNvSpPr/>
      </xdr:nvSpPr>
      <xdr:spPr>
        <a:xfrm>
          <a:off x="6561117" y="9089570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408213</xdr:colOff>
      <xdr:row>81</xdr:row>
      <xdr:rowOff>9525</xdr:rowOff>
    </xdr:from>
    <xdr:to>
      <xdr:col>10</xdr:col>
      <xdr:colOff>631098</xdr:colOff>
      <xdr:row>82</xdr:row>
      <xdr:rowOff>20955</xdr:rowOff>
    </xdr:to>
    <xdr:sp macro="" textlink="">
      <xdr:nvSpPr>
        <xdr:cNvPr id="155" name="Flecha derecha 154"/>
        <xdr:cNvSpPr/>
      </xdr:nvSpPr>
      <xdr:spPr>
        <a:xfrm>
          <a:off x="9153895" y="8391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12</xdr:col>
      <xdr:colOff>122466</xdr:colOff>
      <xdr:row>81</xdr:row>
      <xdr:rowOff>9525</xdr:rowOff>
    </xdr:from>
    <xdr:to>
      <xdr:col>12</xdr:col>
      <xdr:colOff>345351</xdr:colOff>
      <xdr:row>82</xdr:row>
      <xdr:rowOff>20955</xdr:rowOff>
    </xdr:to>
    <xdr:sp macro="" textlink="">
      <xdr:nvSpPr>
        <xdr:cNvPr id="156" name="Flecha derecha 155"/>
        <xdr:cNvSpPr/>
      </xdr:nvSpPr>
      <xdr:spPr>
        <a:xfrm>
          <a:off x="10617284" y="8391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95249</xdr:colOff>
      <xdr:row>79</xdr:row>
      <xdr:rowOff>81644</xdr:rowOff>
    </xdr:from>
    <xdr:ext cx="489858" cy="1088570"/>
    <xdr:pic>
      <xdr:nvPicPr>
        <xdr:cNvPr id="157" name="Imagen 15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8067" y="8082644"/>
          <a:ext cx="489858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775607</xdr:colOff>
      <xdr:row>79</xdr:row>
      <xdr:rowOff>151288</xdr:rowOff>
    </xdr:from>
    <xdr:ext cx="1006929" cy="863805"/>
    <xdr:pic>
      <xdr:nvPicPr>
        <xdr:cNvPr id="158" name="Imagen 15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0425" y="8152288"/>
          <a:ext cx="1006929" cy="863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244929</xdr:colOff>
      <xdr:row>84</xdr:row>
      <xdr:rowOff>136072</xdr:rowOff>
    </xdr:from>
    <xdr:to>
      <xdr:col>13</xdr:col>
      <xdr:colOff>436064</xdr:colOff>
      <xdr:row>85</xdr:row>
      <xdr:rowOff>168457</xdr:rowOff>
    </xdr:to>
    <xdr:sp macro="" textlink="">
      <xdr:nvSpPr>
        <xdr:cNvPr id="159" name="Flecha abajo 158"/>
        <xdr:cNvSpPr/>
      </xdr:nvSpPr>
      <xdr:spPr>
        <a:xfrm>
          <a:off x="11726884" y="9089572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0</xdr:col>
      <xdr:colOff>397326</xdr:colOff>
      <xdr:row>80</xdr:row>
      <xdr:rowOff>180975</xdr:rowOff>
    </xdr:from>
    <xdr:to>
      <xdr:col>0</xdr:col>
      <xdr:colOff>620211</xdr:colOff>
      <xdr:row>82</xdr:row>
      <xdr:rowOff>1905</xdr:rowOff>
    </xdr:to>
    <xdr:sp macro="" textlink="">
      <xdr:nvSpPr>
        <xdr:cNvPr id="160" name="Flecha derecha 159"/>
        <xdr:cNvSpPr/>
      </xdr:nvSpPr>
      <xdr:spPr>
        <a:xfrm>
          <a:off x="397326" y="837247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408213</xdr:colOff>
      <xdr:row>81</xdr:row>
      <xdr:rowOff>9525</xdr:rowOff>
    </xdr:from>
    <xdr:to>
      <xdr:col>10</xdr:col>
      <xdr:colOff>631098</xdr:colOff>
      <xdr:row>82</xdr:row>
      <xdr:rowOff>20955</xdr:rowOff>
    </xdr:to>
    <xdr:sp macro="" textlink="">
      <xdr:nvSpPr>
        <xdr:cNvPr id="161" name="Flecha derecha 160"/>
        <xdr:cNvSpPr/>
      </xdr:nvSpPr>
      <xdr:spPr>
        <a:xfrm>
          <a:off x="9153895" y="8391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461596</xdr:colOff>
      <xdr:row>105</xdr:row>
      <xdr:rowOff>183171</xdr:rowOff>
    </xdr:from>
    <xdr:to>
      <xdr:col>3</xdr:col>
      <xdr:colOff>684481</xdr:colOff>
      <xdr:row>107</xdr:row>
      <xdr:rowOff>4101</xdr:rowOff>
    </xdr:to>
    <xdr:sp macro="" textlink="">
      <xdr:nvSpPr>
        <xdr:cNvPr id="162" name="Flecha derecha 161"/>
        <xdr:cNvSpPr/>
      </xdr:nvSpPr>
      <xdr:spPr>
        <a:xfrm>
          <a:off x="3210239" y="20185671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468923</xdr:colOff>
      <xdr:row>103</xdr:row>
      <xdr:rowOff>175846</xdr:rowOff>
    </xdr:from>
    <xdr:to>
      <xdr:col>3</xdr:col>
      <xdr:colOff>691808</xdr:colOff>
      <xdr:row>104</xdr:row>
      <xdr:rowOff>187276</xdr:rowOff>
    </xdr:to>
    <xdr:sp macro="" textlink="">
      <xdr:nvSpPr>
        <xdr:cNvPr id="163" name="Flecha derecha 162"/>
        <xdr:cNvSpPr/>
      </xdr:nvSpPr>
      <xdr:spPr>
        <a:xfrm>
          <a:off x="3205196" y="12748846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612322</xdr:colOff>
      <xdr:row>91</xdr:row>
      <xdr:rowOff>111994</xdr:rowOff>
    </xdr:from>
    <xdr:ext cx="952499" cy="786076"/>
    <xdr:pic>
      <xdr:nvPicPr>
        <xdr:cNvPr id="164" name="Imagen 16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5140" y="10398994"/>
          <a:ext cx="952499" cy="786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517073</xdr:colOff>
      <xdr:row>91</xdr:row>
      <xdr:rowOff>95250</xdr:rowOff>
    </xdr:from>
    <xdr:ext cx="1102309" cy="843643"/>
    <xdr:pic>
      <xdr:nvPicPr>
        <xdr:cNvPr id="165" name="Imagen 16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0755" y="10382250"/>
          <a:ext cx="1102309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0</xdr:colOff>
      <xdr:row>93</xdr:row>
      <xdr:rowOff>0</xdr:rowOff>
    </xdr:from>
    <xdr:to>
      <xdr:col>9</xdr:col>
      <xdr:colOff>222885</xdr:colOff>
      <xdr:row>94</xdr:row>
      <xdr:rowOff>11430</xdr:rowOff>
    </xdr:to>
    <xdr:sp macro="" textlink="">
      <xdr:nvSpPr>
        <xdr:cNvPr id="166" name="Flecha derecha 165"/>
        <xdr:cNvSpPr/>
      </xdr:nvSpPr>
      <xdr:spPr>
        <a:xfrm>
          <a:off x="7983682" y="10668000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11</xdr:col>
      <xdr:colOff>125185</xdr:colOff>
      <xdr:row>92</xdr:row>
      <xdr:rowOff>166007</xdr:rowOff>
    </xdr:from>
    <xdr:to>
      <xdr:col>11</xdr:col>
      <xdr:colOff>348070</xdr:colOff>
      <xdr:row>93</xdr:row>
      <xdr:rowOff>177437</xdr:rowOff>
    </xdr:to>
    <xdr:sp macro="" textlink="">
      <xdr:nvSpPr>
        <xdr:cNvPr id="167" name="Flecha derecha 166"/>
        <xdr:cNvSpPr/>
      </xdr:nvSpPr>
      <xdr:spPr>
        <a:xfrm>
          <a:off x="9858003" y="10643507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625928</xdr:colOff>
      <xdr:row>102</xdr:row>
      <xdr:rowOff>108858</xdr:rowOff>
    </xdr:from>
    <xdr:ext cx="894241" cy="840441"/>
    <xdr:pic>
      <xdr:nvPicPr>
        <xdr:cNvPr id="168" name="Imagen 16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58746" y="12491358"/>
          <a:ext cx="894241" cy="840441"/>
        </a:xfrm>
        <a:prstGeom prst="rect">
          <a:avLst/>
        </a:prstGeom>
      </xdr:spPr>
    </xdr:pic>
    <xdr:clientData/>
  </xdr:oneCellAnchor>
  <xdr:twoCellAnchor>
    <xdr:from>
      <xdr:col>3</xdr:col>
      <xdr:colOff>476251</xdr:colOff>
      <xdr:row>99</xdr:row>
      <xdr:rowOff>122464</xdr:rowOff>
    </xdr:from>
    <xdr:to>
      <xdr:col>3</xdr:col>
      <xdr:colOff>699136</xdr:colOff>
      <xdr:row>100</xdr:row>
      <xdr:rowOff>133894</xdr:rowOff>
    </xdr:to>
    <xdr:sp macro="" textlink="">
      <xdr:nvSpPr>
        <xdr:cNvPr id="169" name="Flecha derecha 168"/>
        <xdr:cNvSpPr/>
      </xdr:nvSpPr>
      <xdr:spPr>
        <a:xfrm>
          <a:off x="3212524" y="11933464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9</xdr:col>
      <xdr:colOff>68035</xdr:colOff>
      <xdr:row>79</xdr:row>
      <xdr:rowOff>136072</xdr:rowOff>
    </xdr:from>
    <xdr:ext cx="816429" cy="1034142"/>
    <xdr:pic>
      <xdr:nvPicPr>
        <xdr:cNvPr id="170" name="Imagen 16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1717" y="8137072"/>
          <a:ext cx="816429" cy="1034142"/>
        </a:xfrm>
        <a:prstGeom prst="rect">
          <a:avLst/>
        </a:prstGeom>
        <a:noFill/>
      </xdr:spPr>
    </xdr:pic>
    <xdr:clientData/>
  </xdr:oneCellAnchor>
  <xdr:oneCellAnchor>
    <xdr:from>
      <xdr:col>4</xdr:col>
      <xdr:colOff>136070</xdr:colOff>
      <xdr:row>102</xdr:row>
      <xdr:rowOff>85746</xdr:rowOff>
    </xdr:from>
    <xdr:ext cx="693965" cy="757896"/>
    <xdr:pic>
      <xdr:nvPicPr>
        <xdr:cNvPr id="171" name="Imagen 17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4343" y="12468246"/>
          <a:ext cx="693965" cy="757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13608</xdr:colOff>
      <xdr:row>102</xdr:row>
      <xdr:rowOff>37055</xdr:rowOff>
    </xdr:from>
    <xdr:ext cx="707572" cy="870539"/>
    <xdr:pic>
      <xdr:nvPicPr>
        <xdr:cNvPr id="172" name="Imagen 17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017" y="12419555"/>
          <a:ext cx="707572" cy="87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285750</xdr:colOff>
      <xdr:row>93</xdr:row>
      <xdr:rowOff>9525</xdr:rowOff>
    </xdr:from>
    <xdr:to>
      <xdr:col>5</xdr:col>
      <xdr:colOff>508635</xdr:colOff>
      <xdr:row>94</xdr:row>
      <xdr:rowOff>20955</xdr:rowOff>
    </xdr:to>
    <xdr:sp macro="" textlink="">
      <xdr:nvSpPr>
        <xdr:cNvPr id="173" name="Flecha derecha 172"/>
        <xdr:cNvSpPr/>
      </xdr:nvSpPr>
      <xdr:spPr>
        <a:xfrm>
          <a:off x="4771159" y="10677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285750</xdr:colOff>
      <xdr:row>93</xdr:row>
      <xdr:rowOff>9525</xdr:rowOff>
    </xdr:from>
    <xdr:to>
      <xdr:col>3</xdr:col>
      <xdr:colOff>508635</xdr:colOff>
      <xdr:row>94</xdr:row>
      <xdr:rowOff>20955</xdr:rowOff>
    </xdr:to>
    <xdr:sp macro="" textlink="">
      <xdr:nvSpPr>
        <xdr:cNvPr id="174" name="Flecha derecha 173"/>
        <xdr:cNvSpPr/>
      </xdr:nvSpPr>
      <xdr:spPr>
        <a:xfrm>
          <a:off x="3022023" y="10677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95249</xdr:colOff>
      <xdr:row>77</xdr:row>
      <xdr:rowOff>122464</xdr:rowOff>
    </xdr:from>
    <xdr:to>
      <xdr:col>0</xdr:col>
      <xdr:colOff>922273</xdr:colOff>
      <xdr:row>80</xdr:row>
      <xdr:rowOff>80529</xdr:rowOff>
    </xdr:to>
    <xdr:pic>
      <xdr:nvPicPr>
        <xdr:cNvPr id="178" name="Imagen 17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49" y="14790964"/>
          <a:ext cx="827024" cy="529565"/>
        </a:xfrm>
        <a:prstGeom prst="rect">
          <a:avLst/>
        </a:prstGeom>
      </xdr:spPr>
    </xdr:pic>
    <xdr:clientData/>
  </xdr:twoCellAnchor>
  <xdr:twoCellAnchor editAs="oneCell">
    <xdr:from>
      <xdr:col>7</xdr:col>
      <xdr:colOff>54428</xdr:colOff>
      <xdr:row>79</xdr:row>
      <xdr:rowOff>81643</xdr:rowOff>
    </xdr:from>
    <xdr:to>
      <xdr:col>7</xdr:col>
      <xdr:colOff>748393</xdr:colOff>
      <xdr:row>84</xdr:row>
      <xdr:rowOff>25215</xdr:rowOff>
    </xdr:to>
    <xdr:pic>
      <xdr:nvPicPr>
        <xdr:cNvPr id="179" name="Imagen 17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3714" y="15131143"/>
          <a:ext cx="693965" cy="896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285751</xdr:colOff>
      <xdr:row>139</xdr:row>
      <xdr:rowOff>13605</xdr:rowOff>
    </xdr:from>
    <xdr:ext cx="707572" cy="884463"/>
    <xdr:pic>
      <xdr:nvPicPr>
        <xdr:cNvPr id="181" name="Imagen 18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2296" y="19444605"/>
          <a:ext cx="707572" cy="884463"/>
        </a:xfrm>
        <a:prstGeom prst="rect">
          <a:avLst/>
        </a:prstGeom>
        <a:noFill/>
      </xdr:spPr>
    </xdr:pic>
    <xdr:clientData/>
  </xdr:oneCellAnchor>
  <xdr:oneCellAnchor>
    <xdr:from>
      <xdr:col>2</xdr:col>
      <xdr:colOff>123825</xdr:colOff>
      <xdr:row>127</xdr:row>
      <xdr:rowOff>171237</xdr:rowOff>
    </xdr:from>
    <xdr:ext cx="742950" cy="962370"/>
    <xdr:pic>
      <xdr:nvPicPr>
        <xdr:cNvPr id="182" name="Imagen 18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2961" y="17316237"/>
          <a:ext cx="742950" cy="962370"/>
        </a:xfrm>
        <a:prstGeom prst="rect">
          <a:avLst/>
        </a:prstGeom>
      </xdr:spPr>
    </xdr:pic>
    <xdr:clientData/>
  </xdr:oneCellAnchor>
  <xdr:oneCellAnchor>
    <xdr:from>
      <xdr:col>6</xdr:col>
      <xdr:colOff>28576</xdr:colOff>
      <xdr:row>128</xdr:row>
      <xdr:rowOff>66675</xdr:rowOff>
    </xdr:from>
    <xdr:ext cx="923750" cy="733302"/>
    <xdr:pic>
      <xdr:nvPicPr>
        <xdr:cNvPr id="183" name="Imagen 18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75985" y="17402175"/>
          <a:ext cx="923750" cy="733302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128</xdr:row>
      <xdr:rowOff>133349</xdr:rowOff>
    </xdr:from>
    <xdr:ext cx="809625" cy="752749"/>
    <xdr:pic>
      <xdr:nvPicPr>
        <xdr:cNvPr id="185" name="Imagen 18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0853"/>
        <a:stretch/>
      </xdr:blipFill>
      <xdr:spPr>
        <a:xfrm>
          <a:off x="3593523" y="17468849"/>
          <a:ext cx="809625" cy="752749"/>
        </a:xfrm>
        <a:prstGeom prst="rect">
          <a:avLst/>
        </a:prstGeom>
      </xdr:spPr>
    </xdr:pic>
    <xdr:clientData/>
  </xdr:oneCellAnchor>
  <xdr:twoCellAnchor>
    <xdr:from>
      <xdr:col>3</xdr:col>
      <xdr:colOff>285750</xdr:colOff>
      <xdr:row>130</xdr:row>
      <xdr:rowOff>9525</xdr:rowOff>
    </xdr:from>
    <xdr:to>
      <xdr:col>3</xdr:col>
      <xdr:colOff>508635</xdr:colOff>
      <xdr:row>131</xdr:row>
      <xdr:rowOff>20955</xdr:rowOff>
    </xdr:to>
    <xdr:sp macro="" textlink="">
      <xdr:nvSpPr>
        <xdr:cNvPr id="186" name="Flecha derecha 185"/>
        <xdr:cNvSpPr/>
      </xdr:nvSpPr>
      <xdr:spPr>
        <a:xfrm>
          <a:off x="3022023" y="17726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285750</xdr:colOff>
      <xdr:row>130</xdr:row>
      <xdr:rowOff>9525</xdr:rowOff>
    </xdr:from>
    <xdr:to>
      <xdr:col>5</xdr:col>
      <xdr:colOff>508635</xdr:colOff>
      <xdr:row>131</xdr:row>
      <xdr:rowOff>20955</xdr:rowOff>
    </xdr:to>
    <xdr:sp macro="" textlink="">
      <xdr:nvSpPr>
        <xdr:cNvPr id="187" name="Flecha derecha 186"/>
        <xdr:cNvSpPr/>
      </xdr:nvSpPr>
      <xdr:spPr>
        <a:xfrm>
          <a:off x="4771159" y="17726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7</xdr:col>
      <xdr:colOff>285750</xdr:colOff>
      <xdr:row>130</xdr:row>
      <xdr:rowOff>9525</xdr:rowOff>
    </xdr:from>
    <xdr:to>
      <xdr:col>7</xdr:col>
      <xdr:colOff>508635</xdr:colOff>
      <xdr:row>131</xdr:row>
      <xdr:rowOff>20955</xdr:rowOff>
    </xdr:to>
    <xdr:sp macro="" textlink="">
      <xdr:nvSpPr>
        <xdr:cNvPr id="188" name="Flecha derecha 187"/>
        <xdr:cNvSpPr/>
      </xdr:nvSpPr>
      <xdr:spPr>
        <a:xfrm>
          <a:off x="6520295" y="17726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13</xdr:col>
      <xdr:colOff>285750</xdr:colOff>
      <xdr:row>129</xdr:row>
      <xdr:rowOff>172811</xdr:rowOff>
    </xdr:from>
    <xdr:to>
      <xdr:col>13</xdr:col>
      <xdr:colOff>508635</xdr:colOff>
      <xdr:row>130</xdr:row>
      <xdr:rowOff>184241</xdr:rowOff>
    </xdr:to>
    <xdr:sp macro="" textlink="">
      <xdr:nvSpPr>
        <xdr:cNvPr id="189" name="Flecha derecha 188"/>
        <xdr:cNvSpPr/>
      </xdr:nvSpPr>
      <xdr:spPr>
        <a:xfrm>
          <a:off x="11767705" y="17698811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57150</xdr:colOff>
      <xdr:row>125</xdr:row>
      <xdr:rowOff>126067</xdr:rowOff>
    </xdr:from>
    <xdr:to>
      <xdr:col>6</xdr:col>
      <xdr:colOff>248285</xdr:colOff>
      <xdr:row>126</xdr:row>
      <xdr:rowOff>158452</xdr:rowOff>
    </xdr:to>
    <xdr:sp macro="" textlink="">
      <xdr:nvSpPr>
        <xdr:cNvPr id="190" name="Flecha abajo 189"/>
        <xdr:cNvSpPr/>
      </xdr:nvSpPr>
      <xdr:spPr>
        <a:xfrm>
          <a:off x="5304559" y="16890067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781050</xdr:colOff>
      <xdr:row>125</xdr:row>
      <xdr:rowOff>110379</xdr:rowOff>
    </xdr:from>
    <xdr:to>
      <xdr:col>6</xdr:col>
      <xdr:colOff>972185</xdr:colOff>
      <xdr:row>126</xdr:row>
      <xdr:rowOff>142764</xdr:rowOff>
    </xdr:to>
    <xdr:sp macro="" textlink="">
      <xdr:nvSpPr>
        <xdr:cNvPr id="191" name="Flecha abajo 190"/>
        <xdr:cNvSpPr/>
      </xdr:nvSpPr>
      <xdr:spPr>
        <a:xfrm>
          <a:off x="6028459" y="16874379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827635</xdr:colOff>
      <xdr:row>133</xdr:row>
      <xdr:rowOff>167288</xdr:rowOff>
    </xdr:from>
    <xdr:to>
      <xdr:col>11</xdr:col>
      <xdr:colOff>25448</xdr:colOff>
      <xdr:row>135</xdr:row>
      <xdr:rowOff>9173</xdr:rowOff>
    </xdr:to>
    <xdr:sp macro="" textlink="">
      <xdr:nvSpPr>
        <xdr:cNvPr id="192" name="Flecha abajo 191"/>
        <xdr:cNvSpPr/>
      </xdr:nvSpPr>
      <xdr:spPr>
        <a:xfrm>
          <a:off x="9573317" y="18455288"/>
          <a:ext cx="184949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0</xdr:col>
      <xdr:colOff>134471</xdr:colOff>
      <xdr:row>127</xdr:row>
      <xdr:rowOff>22412</xdr:rowOff>
    </xdr:from>
    <xdr:ext cx="729507" cy="544632"/>
    <xdr:pic>
      <xdr:nvPicPr>
        <xdr:cNvPr id="193" name="Imagen 19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471" y="17167412"/>
          <a:ext cx="729507" cy="544632"/>
        </a:xfrm>
        <a:prstGeom prst="rect">
          <a:avLst/>
        </a:prstGeom>
      </xdr:spPr>
    </xdr:pic>
    <xdr:clientData/>
  </xdr:oneCellAnchor>
  <xdr:oneCellAnchor>
    <xdr:from>
      <xdr:col>8</xdr:col>
      <xdr:colOff>138472</xdr:colOff>
      <xdr:row>128</xdr:row>
      <xdr:rowOff>45842</xdr:rowOff>
    </xdr:from>
    <xdr:ext cx="649941" cy="886647"/>
    <xdr:pic>
      <xdr:nvPicPr>
        <xdr:cNvPr id="194" name="Imagen 19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067" t="8247" r="18308" b="4954"/>
        <a:stretch/>
      </xdr:blipFill>
      <xdr:spPr>
        <a:xfrm>
          <a:off x="7135017" y="17381342"/>
          <a:ext cx="649941" cy="886647"/>
        </a:xfrm>
        <a:prstGeom prst="rect">
          <a:avLst/>
        </a:prstGeom>
      </xdr:spPr>
    </xdr:pic>
    <xdr:clientData/>
  </xdr:oneCellAnchor>
  <xdr:twoCellAnchor>
    <xdr:from>
      <xdr:col>8</xdr:col>
      <xdr:colOff>351384</xdr:colOff>
      <xdr:row>133</xdr:row>
      <xdr:rowOff>153680</xdr:rowOff>
    </xdr:from>
    <xdr:to>
      <xdr:col>8</xdr:col>
      <xdr:colOff>530678</xdr:colOff>
      <xdr:row>134</xdr:row>
      <xdr:rowOff>164886</xdr:rowOff>
    </xdr:to>
    <xdr:sp macro="" textlink="">
      <xdr:nvSpPr>
        <xdr:cNvPr id="195" name="Flecha arriba 194"/>
        <xdr:cNvSpPr/>
      </xdr:nvSpPr>
      <xdr:spPr>
        <a:xfrm>
          <a:off x="7347929" y="18441680"/>
          <a:ext cx="179294" cy="201706"/>
        </a:xfrm>
        <a:prstGeom prst="up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481853</xdr:colOff>
      <xdr:row>137</xdr:row>
      <xdr:rowOff>116368</xdr:rowOff>
    </xdr:from>
    <xdr:to>
      <xdr:col>3</xdr:col>
      <xdr:colOff>704738</xdr:colOff>
      <xdr:row>138</xdr:row>
      <xdr:rowOff>127798</xdr:rowOff>
    </xdr:to>
    <xdr:sp macro="" textlink="">
      <xdr:nvSpPr>
        <xdr:cNvPr id="196" name="Flecha derecha 195"/>
        <xdr:cNvSpPr/>
      </xdr:nvSpPr>
      <xdr:spPr>
        <a:xfrm>
          <a:off x="3218126" y="1916636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470647</xdr:colOff>
      <xdr:row>138</xdr:row>
      <xdr:rowOff>138348</xdr:rowOff>
    </xdr:from>
    <xdr:to>
      <xdr:col>3</xdr:col>
      <xdr:colOff>693532</xdr:colOff>
      <xdr:row>139</xdr:row>
      <xdr:rowOff>149778</xdr:rowOff>
    </xdr:to>
    <xdr:sp macro="" textlink="">
      <xdr:nvSpPr>
        <xdr:cNvPr id="197" name="Flecha derecha 196"/>
        <xdr:cNvSpPr/>
      </xdr:nvSpPr>
      <xdr:spPr>
        <a:xfrm>
          <a:off x="3206920" y="1937884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470647</xdr:colOff>
      <xdr:row>139</xdr:row>
      <xdr:rowOff>168518</xdr:rowOff>
    </xdr:from>
    <xdr:to>
      <xdr:col>3</xdr:col>
      <xdr:colOff>693532</xdr:colOff>
      <xdr:row>140</xdr:row>
      <xdr:rowOff>179948</xdr:rowOff>
    </xdr:to>
    <xdr:sp macro="" textlink="">
      <xdr:nvSpPr>
        <xdr:cNvPr id="198" name="Flecha derecha 197"/>
        <xdr:cNvSpPr/>
      </xdr:nvSpPr>
      <xdr:spPr>
        <a:xfrm>
          <a:off x="3206920" y="19599518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458837</xdr:colOff>
      <xdr:row>143</xdr:row>
      <xdr:rowOff>187061</xdr:rowOff>
    </xdr:from>
    <xdr:to>
      <xdr:col>3</xdr:col>
      <xdr:colOff>681722</xdr:colOff>
      <xdr:row>145</xdr:row>
      <xdr:rowOff>7991</xdr:rowOff>
    </xdr:to>
    <xdr:sp macro="" textlink="">
      <xdr:nvSpPr>
        <xdr:cNvPr id="199" name="Flecha derecha 198"/>
        <xdr:cNvSpPr/>
      </xdr:nvSpPr>
      <xdr:spPr>
        <a:xfrm>
          <a:off x="3207480" y="27428561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451510</xdr:colOff>
      <xdr:row>144</xdr:row>
      <xdr:rowOff>187924</xdr:rowOff>
    </xdr:from>
    <xdr:to>
      <xdr:col>3</xdr:col>
      <xdr:colOff>674395</xdr:colOff>
      <xdr:row>146</xdr:row>
      <xdr:rowOff>8854</xdr:rowOff>
    </xdr:to>
    <xdr:sp macro="" textlink="">
      <xdr:nvSpPr>
        <xdr:cNvPr id="200" name="Flecha derecha 199"/>
        <xdr:cNvSpPr/>
      </xdr:nvSpPr>
      <xdr:spPr>
        <a:xfrm>
          <a:off x="3200153" y="27619924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370594</xdr:colOff>
      <xdr:row>138</xdr:row>
      <xdr:rowOff>165687</xdr:rowOff>
    </xdr:from>
    <xdr:to>
      <xdr:col>6</xdr:col>
      <xdr:colOff>593479</xdr:colOff>
      <xdr:row>139</xdr:row>
      <xdr:rowOff>177117</xdr:rowOff>
    </xdr:to>
    <xdr:sp macro="" textlink="">
      <xdr:nvSpPr>
        <xdr:cNvPr id="201" name="Flecha derecha 200"/>
        <xdr:cNvSpPr/>
      </xdr:nvSpPr>
      <xdr:spPr>
        <a:xfrm>
          <a:off x="5618003" y="19406187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8</xdr:col>
      <xdr:colOff>572620</xdr:colOff>
      <xdr:row>144</xdr:row>
      <xdr:rowOff>31618</xdr:rowOff>
    </xdr:from>
    <xdr:to>
      <xdr:col>8</xdr:col>
      <xdr:colOff>763755</xdr:colOff>
      <xdr:row>145</xdr:row>
      <xdr:rowOff>64003</xdr:rowOff>
    </xdr:to>
    <xdr:sp macro="" textlink="">
      <xdr:nvSpPr>
        <xdr:cNvPr id="202" name="Flecha abajo 201"/>
        <xdr:cNvSpPr/>
      </xdr:nvSpPr>
      <xdr:spPr>
        <a:xfrm>
          <a:off x="7569165" y="20415118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412217</xdr:colOff>
      <xdr:row>138</xdr:row>
      <xdr:rowOff>165686</xdr:rowOff>
    </xdr:from>
    <xdr:to>
      <xdr:col>10</xdr:col>
      <xdr:colOff>635102</xdr:colOff>
      <xdr:row>139</xdr:row>
      <xdr:rowOff>177116</xdr:rowOff>
    </xdr:to>
    <xdr:sp macro="" textlink="">
      <xdr:nvSpPr>
        <xdr:cNvPr id="203" name="Flecha derecha 202"/>
        <xdr:cNvSpPr/>
      </xdr:nvSpPr>
      <xdr:spPr>
        <a:xfrm>
          <a:off x="9157899" y="19406186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0</xdr:col>
      <xdr:colOff>967469</xdr:colOff>
      <xdr:row>115</xdr:row>
      <xdr:rowOff>171237</xdr:rowOff>
    </xdr:from>
    <xdr:ext cx="742950" cy="962370"/>
    <xdr:pic>
      <xdr:nvPicPr>
        <xdr:cNvPr id="204" name="Imagen 20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469" y="15030237"/>
          <a:ext cx="742950" cy="962370"/>
        </a:xfrm>
        <a:prstGeom prst="rect">
          <a:avLst/>
        </a:prstGeom>
      </xdr:spPr>
    </xdr:pic>
    <xdr:clientData/>
  </xdr:oneCellAnchor>
  <xdr:oneCellAnchor>
    <xdr:from>
      <xdr:col>4</xdr:col>
      <xdr:colOff>981075</xdr:colOff>
      <xdr:row>116</xdr:row>
      <xdr:rowOff>66675</xdr:rowOff>
    </xdr:from>
    <xdr:ext cx="923750" cy="733302"/>
    <xdr:pic>
      <xdr:nvPicPr>
        <xdr:cNvPr id="205" name="Imagen 20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9348" y="15116175"/>
          <a:ext cx="923750" cy="733302"/>
        </a:xfrm>
        <a:prstGeom prst="rect">
          <a:avLst/>
        </a:prstGeom>
      </xdr:spPr>
    </xdr:pic>
    <xdr:clientData/>
  </xdr:oneCellAnchor>
  <xdr:oneCellAnchor>
    <xdr:from>
      <xdr:col>2</xdr:col>
      <xdr:colOff>938903</xdr:colOff>
      <xdr:row>116</xdr:row>
      <xdr:rowOff>133349</xdr:rowOff>
    </xdr:from>
    <xdr:ext cx="809625" cy="752749"/>
    <xdr:pic>
      <xdr:nvPicPr>
        <xdr:cNvPr id="206" name="Imagen 20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0853"/>
        <a:stretch/>
      </xdr:blipFill>
      <xdr:spPr>
        <a:xfrm>
          <a:off x="2688039" y="15182849"/>
          <a:ext cx="809625" cy="752749"/>
        </a:xfrm>
        <a:prstGeom prst="rect">
          <a:avLst/>
        </a:prstGeom>
      </xdr:spPr>
    </xdr:pic>
    <xdr:clientData/>
  </xdr:oneCellAnchor>
  <xdr:twoCellAnchor>
    <xdr:from>
      <xdr:col>2</xdr:col>
      <xdr:colOff>435427</xdr:colOff>
      <xdr:row>118</xdr:row>
      <xdr:rowOff>9525</xdr:rowOff>
    </xdr:from>
    <xdr:to>
      <xdr:col>2</xdr:col>
      <xdr:colOff>658312</xdr:colOff>
      <xdr:row>119</xdr:row>
      <xdr:rowOff>20955</xdr:rowOff>
    </xdr:to>
    <xdr:sp macro="" textlink="">
      <xdr:nvSpPr>
        <xdr:cNvPr id="207" name="Flecha derecha 206"/>
        <xdr:cNvSpPr/>
      </xdr:nvSpPr>
      <xdr:spPr>
        <a:xfrm>
          <a:off x="2184563" y="15440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4</xdr:col>
      <xdr:colOff>449034</xdr:colOff>
      <xdr:row>118</xdr:row>
      <xdr:rowOff>9525</xdr:rowOff>
    </xdr:from>
    <xdr:to>
      <xdr:col>4</xdr:col>
      <xdr:colOff>671919</xdr:colOff>
      <xdr:row>119</xdr:row>
      <xdr:rowOff>20955</xdr:rowOff>
    </xdr:to>
    <xdr:sp macro="" textlink="">
      <xdr:nvSpPr>
        <xdr:cNvPr id="208" name="Flecha derecha 207"/>
        <xdr:cNvSpPr/>
      </xdr:nvSpPr>
      <xdr:spPr>
        <a:xfrm>
          <a:off x="3947307" y="15440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6</xdr:col>
      <xdr:colOff>449034</xdr:colOff>
      <xdr:row>118</xdr:row>
      <xdr:rowOff>9525</xdr:rowOff>
    </xdr:from>
    <xdr:to>
      <xdr:col>6</xdr:col>
      <xdr:colOff>671919</xdr:colOff>
      <xdr:row>119</xdr:row>
      <xdr:rowOff>20955</xdr:rowOff>
    </xdr:to>
    <xdr:sp macro="" textlink="">
      <xdr:nvSpPr>
        <xdr:cNvPr id="209" name="Flecha derecha 208"/>
        <xdr:cNvSpPr/>
      </xdr:nvSpPr>
      <xdr:spPr>
        <a:xfrm>
          <a:off x="5696443" y="15440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8</xdr:col>
      <xdr:colOff>408213</xdr:colOff>
      <xdr:row>118</xdr:row>
      <xdr:rowOff>9525</xdr:rowOff>
    </xdr:from>
    <xdr:to>
      <xdr:col>8</xdr:col>
      <xdr:colOff>631098</xdr:colOff>
      <xdr:row>119</xdr:row>
      <xdr:rowOff>20955</xdr:rowOff>
    </xdr:to>
    <xdr:sp macro="" textlink="">
      <xdr:nvSpPr>
        <xdr:cNvPr id="210" name="Flecha derecha 209"/>
        <xdr:cNvSpPr/>
      </xdr:nvSpPr>
      <xdr:spPr>
        <a:xfrm>
          <a:off x="7404758" y="15440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14</xdr:col>
      <xdr:colOff>285750</xdr:colOff>
      <xdr:row>118</xdr:row>
      <xdr:rowOff>9525</xdr:rowOff>
    </xdr:from>
    <xdr:to>
      <xdr:col>14</xdr:col>
      <xdr:colOff>508635</xdr:colOff>
      <xdr:row>119</xdr:row>
      <xdr:rowOff>20955</xdr:rowOff>
    </xdr:to>
    <xdr:sp macro="" textlink="">
      <xdr:nvSpPr>
        <xdr:cNvPr id="211" name="Flecha derecha 210"/>
        <xdr:cNvSpPr/>
      </xdr:nvSpPr>
      <xdr:spPr>
        <a:xfrm>
          <a:off x="12529705" y="15440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14</xdr:col>
      <xdr:colOff>285750</xdr:colOff>
      <xdr:row>118</xdr:row>
      <xdr:rowOff>9525</xdr:rowOff>
    </xdr:from>
    <xdr:to>
      <xdr:col>14</xdr:col>
      <xdr:colOff>508635</xdr:colOff>
      <xdr:row>119</xdr:row>
      <xdr:rowOff>20955</xdr:rowOff>
    </xdr:to>
    <xdr:sp macro="" textlink="">
      <xdr:nvSpPr>
        <xdr:cNvPr id="212" name="Flecha derecha 211"/>
        <xdr:cNvSpPr/>
      </xdr:nvSpPr>
      <xdr:spPr>
        <a:xfrm>
          <a:off x="12529705" y="15440025"/>
          <a:ext cx="222885" cy="20193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383721</xdr:colOff>
      <xdr:row>113</xdr:row>
      <xdr:rowOff>126067</xdr:rowOff>
    </xdr:from>
    <xdr:to>
      <xdr:col>5</xdr:col>
      <xdr:colOff>574856</xdr:colOff>
      <xdr:row>114</xdr:row>
      <xdr:rowOff>158452</xdr:rowOff>
    </xdr:to>
    <xdr:sp macro="" textlink="">
      <xdr:nvSpPr>
        <xdr:cNvPr id="213" name="Flecha abajo 212"/>
        <xdr:cNvSpPr/>
      </xdr:nvSpPr>
      <xdr:spPr>
        <a:xfrm>
          <a:off x="4869130" y="14604067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781050</xdr:colOff>
      <xdr:row>113</xdr:row>
      <xdr:rowOff>110379</xdr:rowOff>
    </xdr:from>
    <xdr:to>
      <xdr:col>5</xdr:col>
      <xdr:colOff>972185</xdr:colOff>
      <xdr:row>114</xdr:row>
      <xdr:rowOff>142764</xdr:rowOff>
    </xdr:to>
    <xdr:sp macro="" textlink="">
      <xdr:nvSpPr>
        <xdr:cNvPr id="214" name="Flecha abajo 213"/>
        <xdr:cNvSpPr/>
      </xdr:nvSpPr>
      <xdr:spPr>
        <a:xfrm>
          <a:off x="5247409" y="14588379"/>
          <a:ext cx="6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9</xdr:col>
      <xdr:colOff>353787</xdr:colOff>
      <xdr:row>121</xdr:row>
      <xdr:rowOff>136070</xdr:rowOff>
    </xdr:from>
    <xdr:to>
      <xdr:col>9</xdr:col>
      <xdr:colOff>544922</xdr:colOff>
      <xdr:row>122</xdr:row>
      <xdr:rowOff>168455</xdr:rowOff>
    </xdr:to>
    <xdr:sp macro="" textlink="">
      <xdr:nvSpPr>
        <xdr:cNvPr id="215" name="Flecha abajo 214"/>
        <xdr:cNvSpPr/>
      </xdr:nvSpPr>
      <xdr:spPr>
        <a:xfrm>
          <a:off x="8368394" y="23186570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408213</xdr:colOff>
      <xdr:row>118</xdr:row>
      <xdr:rowOff>9525</xdr:rowOff>
    </xdr:from>
    <xdr:to>
      <xdr:col>10</xdr:col>
      <xdr:colOff>631098</xdr:colOff>
      <xdr:row>119</xdr:row>
      <xdr:rowOff>20955</xdr:rowOff>
    </xdr:to>
    <xdr:sp macro="" textlink="">
      <xdr:nvSpPr>
        <xdr:cNvPr id="216" name="Flecha derecha 215"/>
        <xdr:cNvSpPr/>
      </xdr:nvSpPr>
      <xdr:spPr>
        <a:xfrm>
          <a:off x="9153895" y="15440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12</xdr:col>
      <xdr:colOff>122466</xdr:colOff>
      <xdr:row>118</xdr:row>
      <xdr:rowOff>9525</xdr:rowOff>
    </xdr:from>
    <xdr:to>
      <xdr:col>12</xdr:col>
      <xdr:colOff>345351</xdr:colOff>
      <xdr:row>119</xdr:row>
      <xdr:rowOff>20955</xdr:rowOff>
    </xdr:to>
    <xdr:sp macro="" textlink="">
      <xdr:nvSpPr>
        <xdr:cNvPr id="217" name="Flecha derecha 216"/>
        <xdr:cNvSpPr/>
      </xdr:nvSpPr>
      <xdr:spPr>
        <a:xfrm>
          <a:off x="10617284" y="15440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95249</xdr:colOff>
      <xdr:row>116</xdr:row>
      <xdr:rowOff>81644</xdr:rowOff>
    </xdr:from>
    <xdr:ext cx="489858" cy="1088570"/>
    <xdr:pic>
      <xdr:nvPicPr>
        <xdr:cNvPr id="218" name="Imagen 2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8067" y="15131144"/>
          <a:ext cx="489858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775607</xdr:colOff>
      <xdr:row>116</xdr:row>
      <xdr:rowOff>151288</xdr:rowOff>
    </xdr:from>
    <xdr:ext cx="1006929" cy="863805"/>
    <xdr:pic>
      <xdr:nvPicPr>
        <xdr:cNvPr id="219" name="Imagen 2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0425" y="15200788"/>
          <a:ext cx="1006929" cy="863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244929</xdr:colOff>
      <xdr:row>121</xdr:row>
      <xdr:rowOff>136072</xdr:rowOff>
    </xdr:from>
    <xdr:to>
      <xdr:col>13</xdr:col>
      <xdr:colOff>436064</xdr:colOff>
      <xdr:row>122</xdr:row>
      <xdr:rowOff>168457</xdr:rowOff>
    </xdr:to>
    <xdr:sp macro="" textlink="">
      <xdr:nvSpPr>
        <xdr:cNvPr id="220" name="Flecha abajo 219"/>
        <xdr:cNvSpPr/>
      </xdr:nvSpPr>
      <xdr:spPr>
        <a:xfrm>
          <a:off x="11726884" y="16138072"/>
          <a:ext cx="191135" cy="222885"/>
        </a:xfrm>
        <a:prstGeom prst="down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0</xdr:col>
      <xdr:colOff>397326</xdr:colOff>
      <xdr:row>117</xdr:row>
      <xdr:rowOff>180975</xdr:rowOff>
    </xdr:from>
    <xdr:to>
      <xdr:col>0</xdr:col>
      <xdr:colOff>620211</xdr:colOff>
      <xdr:row>119</xdr:row>
      <xdr:rowOff>1905</xdr:rowOff>
    </xdr:to>
    <xdr:sp macro="" textlink="">
      <xdr:nvSpPr>
        <xdr:cNvPr id="221" name="Flecha derecha 220"/>
        <xdr:cNvSpPr/>
      </xdr:nvSpPr>
      <xdr:spPr>
        <a:xfrm>
          <a:off x="397326" y="1542097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10</xdr:col>
      <xdr:colOff>408213</xdr:colOff>
      <xdr:row>118</xdr:row>
      <xdr:rowOff>9525</xdr:rowOff>
    </xdr:from>
    <xdr:to>
      <xdr:col>10</xdr:col>
      <xdr:colOff>631098</xdr:colOff>
      <xdr:row>119</xdr:row>
      <xdr:rowOff>20955</xdr:rowOff>
    </xdr:to>
    <xdr:sp macro="" textlink="">
      <xdr:nvSpPr>
        <xdr:cNvPr id="222" name="Flecha derecha 221"/>
        <xdr:cNvSpPr/>
      </xdr:nvSpPr>
      <xdr:spPr>
        <a:xfrm>
          <a:off x="9153895" y="15440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461596</xdr:colOff>
      <xdr:row>141</xdr:row>
      <xdr:rowOff>183173</xdr:rowOff>
    </xdr:from>
    <xdr:to>
      <xdr:col>3</xdr:col>
      <xdr:colOff>684481</xdr:colOff>
      <xdr:row>143</xdr:row>
      <xdr:rowOff>4103</xdr:rowOff>
    </xdr:to>
    <xdr:sp macro="" textlink="">
      <xdr:nvSpPr>
        <xdr:cNvPr id="223" name="Flecha derecha 222"/>
        <xdr:cNvSpPr/>
      </xdr:nvSpPr>
      <xdr:spPr>
        <a:xfrm>
          <a:off x="3197869" y="19995173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468923</xdr:colOff>
      <xdr:row>140</xdr:row>
      <xdr:rowOff>175846</xdr:rowOff>
    </xdr:from>
    <xdr:to>
      <xdr:col>3</xdr:col>
      <xdr:colOff>691808</xdr:colOff>
      <xdr:row>141</xdr:row>
      <xdr:rowOff>187276</xdr:rowOff>
    </xdr:to>
    <xdr:sp macro="" textlink="">
      <xdr:nvSpPr>
        <xdr:cNvPr id="224" name="Flecha derecha 223"/>
        <xdr:cNvSpPr/>
      </xdr:nvSpPr>
      <xdr:spPr>
        <a:xfrm>
          <a:off x="3205196" y="19797346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612322</xdr:colOff>
      <xdr:row>128</xdr:row>
      <xdr:rowOff>111994</xdr:rowOff>
    </xdr:from>
    <xdr:ext cx="952499" cy="786076"/>
    <xdr:pic>
      <xdr:nvPicPr>
        <xdr:cNvPr id="225" name="Imagen 22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5140" y="17447494"/>
          <a:ext cx="952499" cy="786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517073</xdr:colOff>
      <xdr:row>128</xdr:row>
      <xdr:rowOff>95250</xdr:rowOff>
    </xdr:from>
    <xdr:ext cx="1102309" cy="843643"/>
    <xdr:pic>
      <xdr:nvPicPr>
        <xdr:cNvPr id="226" name="Imagen 2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0755" y="17430750"/>
          <a:ext cx="1102309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0</xdr:colOff>
      <xdr:row>130</xdr:row>
      <xdr:rowOff>0</xdr:rowOff>
    </xdr:from>
    <xdr:to>
      <xdr:col>9</xdr:col>
      <xdr:colOff>222885</xdr:colOff>
      <xdr:row>131</xdr:row>
      <xdr:rowOff>11430</xdr:rowOff>
    </xdr:to>
    <xdr:sp macro="" textlink="">
      <xdr:nvSpPr>
        <xdr:cNvPr id="227" name="Flecha derecha 226"/>
        <xdr:cNvSpPr/>
      </xdr:nvSpPr>
      <xdr:spPr>
        <a:xfrm>
          <a:off x="7983682" y="17716500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11</xdr:col>
      <xdr:colOff>125185</xdr:colOff>
      <xdr:row>129</xdr:row>
      <xdr:rowOff>166007</xdr:rowOff>
    </xdr:from>
    <xdr:to>
      <xdr:col>11</xdr:col>
      <xdr:colOff>348070</xdr:colOff>
      <xdr:row>130</xdr:row>
      <xdr:rowOff>177437</xdr:rowOff>
    </xdr:to>
    <xdr:sp macro="" textlink="">
      <xdr:nvSpPr>
        <xdr:cNvPr id="228" name="Flecha derecha 227"/>
        <xdr:cNvSpPr/>
      </xdr:nvSpPr>
      <xdr:spPr>
        <a:xfrm>
          <a:off x="9858003" y="17692007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11</xdr:col>
      <xdr:colOff>625928</xdr:colOff>
      <xdr:row>139</xdr:row>
      <xdr:rowOff>108858</xdr:rowOff>
    </xdr:from>
    <xdr:ext cx="894241" cy="840441"/>
    <xdr:pic>
      <xdr:nvPicPr>
        <xdr:cNvPr id="229" name="Imagen 22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58746" y="19539858"/>
          <a:ext cx="894241" cy="840441"/>
        </a:xfrm>
        <a:prstGeom prst="rect">
          <a:avLst/>
        </a:prstGeom>
      </xdr:spPr>
    </xdr:pic>
    <xdr:clientData/>
  </xdr:oneCellAnchor>
  <xdr:twoCellAnchor>
    <xdr:from>
      <xdr:col>3</xdr:col>
      <xdr:colOff>476251</xdr:colOff>
      <xdr:row>136</xdr:row>
      <xdr:rowOff>122464</xdr:rowOff>
    </xdr:from>
    <xdr:to>
      <xdr:col>3</xdr:col>
      <xdr:colOff>699136</xdr:colOff>
      <xdr:row>137</xdr:row>
      <xdr:rowOff>133894</xdr:rowOff>
    </xdr:to>
    <xdr:sp macro="" textlink="">
      <xdr:nvSpPr>
        <xdr:cNvPr id="230" name="Flecha derecha 229"/>
        <xdr:cNvSpPr/>
      </xdr:nvSpPr>
      <xdr:spPr>
        <a:xfrm>
          <a:off x="3212524" y="18981964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oneCellAnchor>
    <xdr:from>
      <xdr:col>7</xdr:col>
      <xdr:colOff>54428</xdr:colOff>
      <xdr:row>116</xdr:row>
      <xdr:rowOff>54430</xdr:rowOff>
    </xdr:from>
    <xdr:ext cx="816429" cy="1034142"/>
    <xdr:pic>
      <xdr:nvPicPr>
        <xdr:cNvPr id="231" name="Imagen 23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3714" y="22152430"/>
          <a:ext cx="816429" cy="1034142"/>
        </a:xfrm>
        <a:prstGeom prst="rect">
          <a:avLst/>
        </a:prstGeom>
        <a:noFill/>
      </xdr:spPr>
    </xdr:pic>
    <xdr:clientData/>
  </xdr:oneCellAnchor>
  <xdr:oneCellAnchor>
    <xdr:from>
      <xdr:col>4</xdr:col>
      <xdr:colOff>136070</xdr:colOff>
      <xdr:row>139</xdr:row>
      <xdr:rowOff>85746</xdr:rowOff>
    </xdr:from>
    <xdr:ext cx="693965" cy="757896"/>
    <xdr:pic>
      <xdr:nvPicPr>
        <xdr:cNvPr id="232" name="Imagen 23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4343" y="19516746"/>
          <a:ext cx="693965" cy="757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13608</xdr:colOff>
      <xdr:row>139</xdr:row>
      <xdr:rowOff>37055</xdr:rowOff>
    </xdr:from>
    <xdr:ext cx="707572" cy="870539"/>
    <xdr:pic>
      <xdr:nvPicPr>
        <xdr:cNvPr id="233" name="Imagen 23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017" y="19468055"/>
          <a:ext cx="707572" cy="87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285750</xdr:colOff>
      <xdr:row>130</xdr:row>
      <xdr:rowOff>9525</xdr:rowOff>
    </xdr:from>
    <xdr:to>
      <xdr:col>5</xdr:col>
      <xdr:colOff>508635</xdr:colOff>
      <xdr:row>131</xdr:row>
      <xdr:rowOff>20955</xdr:rowOff>
    </xdr:to>
    <xdr:sp macro="" textlink="">
      <xdr:nvSpPr>
        <xdr:cNvPr id="234" name="Flecha derecha 233"/>
        <xdr:cNvSpPr/>
      </xdr:nvSpPr>
      <xdr:spPr>
        <a:xfrm>
          <a:off x="4771159" y="17726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285750</xdr:colOff>
      <xdr:row>130</xdr:row>
      <xdr:rowOff>9525</xdr:rowOff>
    </xdr:from>
    <xdr:to>
      <xdr:col>3</xdr:col>
      <xdr:colOff>508635</xdr:colOff>
      <xdr:row>131</xdr:row>
      <xdr:rowOff>20955</xdr:rowOff>
    </xdr:to>
    <xdr:sp macro="" textlink="">
      <xdr:nvSpPr>
        <xdr:cNvPr id="235" name="Flecha derecha 234"/>
        <xdr:cNvSpPr/>
      </xdr:nvSpPr>
      <xdr:spPr>
        <a:xfrm>
          <a:off x="3022023" y="17726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1</xdr:col>
      <xdr:colOff>285750</xdr:colOff>
      <xdr:row>130</xdr:row>
      <xdr:rowOff>9525</xdr:rowOff>
    </xdr:from>
    <xdr:to>
      <xdr:col>1</xdr:col>
      <xdr:colOff>508635</xdr:colOff>
      <xdr:row>131</xdr:row>
      <xdr:rowOff>20955</xdr:rowOff>
    </xdr:to>
    <xdr:sp macro="" textlink="">
      <xdr:nvSpPr>
        <xdr:cNvPr id="236" name="Flecha derecha 235"/>
        <xdr:cNvSpPr/>
      </xdr:nvSpPr>
      <xdr:spPr>
        <a:xfrm>
          <a:off x="1272886" y="17726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81642</xdr:colOff>
      <xdr:row>114</xdr:row>
      <xdr:rowOff>81643</xdr:rowOff>
    </xdr:from>
    <xdr:to>
      <xdr:col>0</xdr:col>
      <xdr:colOff>940492</xdr:colOff>
      <xdr:row>117</xdr:row>
      <xdr:rowOff>150192</xdr:rowOff>
    </xdr:to>
    <xdr:pic>
      <xdr:nvPicPr>
        <xdr:cNvPr id="239" name="Imagen 23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1642" y="21798643"/>
          <a:ext cx="858850" cy="640049"/>
        </a:xfrm>
        <a:prstGeom prst="rect">
          <a:avLst/>
        </a:prstGeom>
      </xdr:spPr>
    </xdr:pic>
    <xdr:clientData/>
  </xdr:twoCellAnchor>
  <xdr:twoCellAnchor editAs="oneCell">
    <xdr:from>
      <xdr:col>8</xdr:col>
      <xdr:colOff>938891</xdr:colOff>
      <xdr:row>117</xdr:row>
      <xdr:rowOff>81642</xdr:rowOff>
    </xdr:from>
    <xdr:to>
      <xdr:col>10</xdr:col>
      <xdr:colOff>190499</xdr:colOff>
      <xdr:row>121</xdr:row>
      <xdr:rowOff>6534</xdr:rowOff>
    </xdr:to>
    <xdr:pic>
      <xdr:nvPicPr>
        <xdr:cNvPr id="240" name="Imagen 23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0177" y="22370142"/>
          <a:ext cx="1006929" cy="686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462646</xdr:colOff>
      <xdr:row>31</xdr:row>
      <xdr:rowOff>176895</xdr:rowOff>
    </xdr:from>
    <xdr:to>
      <xdr:col>3</xdr:col>
      <xdr:colOff>685531</xdr:colOff>
      <xdr:row>32</xdr:row>
      <xdr:rowOff>188325</xdr:rowOff>
    </xdr:to>
    <xdr:sp macro="" textlink="">
      <xdr:nvSpPr>
        <xdr:cNvPr id="237" name="Flecha derecha 236"/>
        <xdr:cNvSpPr/>
      </xdr:nvSpPr>
      <xdr:spPr>
        <a:xfrm>
          <a:off x="3211289" y="608239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462646</xdr:colOff>
      <xdr:row>69</xdr:row>
      <xdr:rowOff>2</xdr:rowOff>
    </xdr:from>
    <xdr:to>
      <xdr:col>3</xdr:col>
      <xdr:colOff>685531</xdr:colOff>
      <xdr:row>70</xdr:row>
      <xdr:rowOff>11432</xdr:rowOff>
    </xdr:to>
    <xdr:sp macro="" textlink="">
      <xdr:nvSpPr>
        <xdr:cNvPr id="238" name="Flecha derecha 237"/>
        <xdr:cNvSpPr/>
      </xdr:nvSpPr>
      <xdr:spPr>
        <a:xfrm>
          <a:off x="3211289" y="13144502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462646</xdr:colOff>
      <xdr:row>104</xdr:row>
      <xdr:rowOff>176894</xdr:rowOff>
    </xdr:from>
    <xdr:to>
      <xdr:col>3</xdr:col>
      <xdr:colOff>685531</xdr:colOff>
      <xdr:row>105</xdr:row>
      <xdr:rowOff>188324</xdr:rowOff>
    </xdr:to>
    <xdr:sp macro="" textlink="">
      <xdr:nvSpPr>
        <xdr:cNvPr id="242" name="Flecha derecha 241"/>
        <xdr:cNvSpPr/>
      </xdr:nvSpPr>
      <xdr:spPr>
        <a:xfrm>
          <a:off x="3211289" y="19988894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285750</xdr:colOff>
      <xdr:row>93</xdr:row>
      <xdr:rowOff>9525</xdr:rowOff>
    </xdr:from>
    <xdr:to>
      <xdr:col>5</xdr:col>
      <xdr:colOff>508635</xdr:colOff>
      <xdr:row>94</xdr:row>
      <xdr:rowOff>20955</xdr:rowOff>
    </xdr:to>
    <xdr:sp macro="" textlink="">
      <xdr:nvSpPr>
        <xdr:cNvPr id="243" name="Flecha derecha 242"/>
        <xdr:cNvSpPr/>
      </xdr:nvSpPr>
      <xdr:spPr>
        <a:xfrm>
          <a:off x="6545036" y="17726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285750</xdr:colOff>
      <xdr:row>93</xdr:row>
      <xdr:rowOff>9525</xdr:rowOff>
    </xdr:from>
    <xdr:to>
      <xdr:col>3</xdr:col>
      <xdr:colOff>508635</xdr:colOff>
      <xdr:row>94</xdr:row>
      <xdr:rowOff>20955</xdr:rowOff>
    </xdr:to>
    <xdr:sp macro="" textlink="">
      <xdr:nvSpPr>
        <xdr:cNvPr id="244" name="Flecha derecha 243"/>
        <xdr:cNvSpPr/>
      </xdr:nvSpPr>
      <xdr:spPr>
        <a:xfrm>
          <a:off x="6545036" y="17726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285750</xdr:colOff>
      <xdr:row>56</xdr:row>
      <xdr:rowOff>9525</xdr:rowOff>
    </xdr:from>
    <xdr:to>
      <xdr:col>5</xdr:col>
      <xdr:colOff>508635</xdr:colOff>
      <xdr:row>57</xdr:row>
      <xdr:rowOff>20955</xdr:rowOff>
    </xdr:to>
    <xdr:sp macro="" textlink="">
      <xdr:nvSpPr>
        <xdr:cNvPr id="246" name="Flecha derecha 245"/>
        <xdr:cNvSpPr/>
      </xdr:nvSpPr>
      <xdr:spPr>
        <a:xfrm>
          <a:off x="6545036" y="10677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285750</xdr:colOff>
      <xdr:row>56</xdr:row>
      <xdr:rowOff>9525</xdr:rowOff>
    </xdr:from>
    <xdr:to>
      <xdr:col>3</xdr:col>
      <xdr:colOff>508635</xdr:colOff>
      <xdr:row>57</xdr:row>
      <xdr:rowOff>20955</xdr:rowOff>
    </xdr:to>
    <xdr:sp macro="" textlink="">
      <xdr:nvSpPr>
        <xdr:cNvPr id="247" name="Flecha derecha 246"/>
        <xdr:cNvSpPr/>
      </xdr:nvSpPr>
      <xdr:spPr>
        <a:xfrm>
          <a:off x="6545036" y="106775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5</xdr:col>
      <xdr:colOff>285750</xdr:colOff>
      <xdr:row>19</xdr:row>
      <xdr:rowOff>9525</xdr:rowOff>
    </xdr:from>
    <xdr:to>
      <xdr:col>5</xdr:col>
      <xdr:colOff>508635</xdr:colOff>
      <xdr:row>20</xdr:row>
      <xdr:rowOff>20955</xdr:rowOff>
    </xdr:to>
    <xdr:sp macro="" textlink="">
      <xdr:nvSpPr>
        <xdr:cNvPr id="249" name="Flecha derecha 248"/>
        <xdr:cNvSpPr/>
      </xdr:nvSpPr>
      <xdr:spPr>
        <a:xfrm>
          <a:off x="6545036" y="3629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285750</xdr:colOff>
      <xdr:row>19</xdr:row>
      <xdr:rowOff>9525</xdr:rowOff>
    </xdr:from>
    <xdr:to>
      <xdr:col>3</xdr:col>
      <xdr:colOff>508635</xdr:colOff>
      <xdr:row>20</xdr:row>
      <xdr:rowOff>20955</xdr:rowOff>
    </xdr:to>
    <xdr:sp macro="" textlink="">
      <xdr:nvSpPr>
        <xdr:cNvPr id="250" name="Flecha derecha 249"/>
        <xdr:cNvSpPr/>
      </xdr:nvSpPr>
      <xdr:spPr>
        <a:xfrm>
          <a:off x="6545036" y="3629025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3</xdr:col>
      <xdr:colOff>449039</xdr:colOff>
      <xdr:row>142</xdr:row>
      <xdr:rowOff>176896</xdr:rowOff>
    </xdr:from>
    <xdr:to>
      <xdr:col>3</xdr:col>
      <xdr:colOff>671924</xdr:colOff>
      <xdr:row>143</xdr:row>
      <xdr:rowOff>188326</xdr:rowOff>
    </xdr:to>
    <xdr:sp macro="" textlink="">
      <xdr:nvSpPr>
        <xdr:cNvPr id="253" name="Flecha derecha 252"/>
        <xdr:cNvSpPr/>
      </xdr:nvSpPr>
      <xdr:spPr>
        <a:xfrm>
          <a:off x="3197682" y="27227896"/>
          <a:ext cx="222885" cy="20193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7327</xdr:colOff>
      <xdr:row>3</xdr:row>
      <xdr:rowOff>7327</xdr:rowOff>
    </xdr:from>
    <xdr:to>
      <xdr:col>2</xdr:col>
      <xdr:colOff>87924</xdr:colOff>
      <xdr:row>4</xdr:row>
      <xdr:rowOff>7327</xdr:rowOff>
    </xdr:to>
    <xdr:sp macro="" textlink="">
      <xdr:nvSpPr>
        <xdr:cNvPr id="42" name="Rectángulo 41"/>
        <xdr:cNvSpPr/>
      </xdr:nvSpPr>
      <xdr:spPr>
        <a:xfrm>
          <a:off x="2058865" y="578827"/>
          <a:ext cx="80597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86458</xdr:colOff>
      <xdr:row>4</xdr:row>
      <xdr:rowOff>5862</xdr:rowOff>
    </xdr:from>
    <xdr:to>
      <xdr:col>2</xdr:col>
      <xdr:colOff>167055</xdr:colOff>
      <xdr:row>5</xdr:row>
      <xdr:rowOff>5862</xdr:rowOff>
    </xdr:to>
    <xdr:sp macro="" textlink="">
      <xdr:nvSpPr>
        <xdr:cNvPr id="43" name="Rectángulo 42"/>
        <xdr:cNvSpPr/>
      </xdr:nvSpPr>
      <xdr:spPr>
        <a:xfrm>
          <a:off x="2137996" y="767862"/>
          <a:ext cx="80597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172916</xdr:colOff>
      <xdr:row>5</xdr:row>
      <xdr:rowOff>4397</xdr:rowOff>
    </xdr:from>
    <xdr:to>
      <xdr:col>4</xdr:col>
      <xdr:colOff>307731</xdr:colOff>
      <xdr:row>6</xdr:row>
      <xdr:rowOff>4397</xdr:rowOff>
    </xdr:to>
    <xdr:sp macro="" textlink="">
      <xdr:nvSpPr>
        <xdr:cNvPr id="44" name="Rectángulo 43"/>
        <xdr:cNvSpPr/>
      </xdr:nvSpPr>
      <xdr:spPr>
        <a:xfrm>
          <a:off x="2224454" y="956897"/>
          <a:ext cx="1277815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310663</xdr:colOff>
      <xdr:row>6</xdr:row>
      <xdr:rowOff>2932</xdr:rowOff>
    </xdr:from>
    <xdr:to>
      <xdr:col>6</xdr:col>
      <xdr:colOff>139213</xdr:colOff>
      <xdr:row>7</xdr:row>
      <xdr:rowOff>2932</xdr:rowOff>
    </xdr:to>
    <xdr:sp macro="" textlink="">
      <xdr:nvSpPr>
        <xdr:cNvPr id="45" name="Rectángulo 44"/>
        <xdr:cNvSpPr/>
      </xdr:nvSpPr>
      <xdr:spPr>
        <a:xfrm>
          <a:off x="3505201" y="1145932"/>
          <a:ext cx="971550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146539</xdr:colOff>
      <xdr:row>7</xdr:row>
      <xdr:rowOff>7327</xdr:rowOff>
    </xdr:from>
    <xdr:to>
      <xdr:col>6</xdr:col>
      <xdr:colOff>344366</xdr:colOff>
      <xdr:row>8</xdr:row>
      <xdr:rowOff>7327</xdr:rowOff>
    </xdr:to>
    <xdr:sp macro="" textlink="">
      <xdr:nvSpPr>
        <xdr:cNvPr id="46" name="Rectángulo 45"/>
        <xdr:cNvSpPr/>
      </xdr:nvSpPr>
      <xdr:spPr>
        <a:xfrm>
          <a:off x="4484077" y="1340827"/>
          <a:ext cx="197827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342900</xdr:colOff>
      <xdr:row>8</xdr:row>
      <xdr:rowOff>5862</xdr:rowOff>
    </xdr:from>
    <xdr:to>
      <xdr:col>7</xdr:col>
      <xdr:colOff>556847</xdr:colOff>
      <xdr:row>9</xdr:row>
      <xdr:rowOff>5862</xdr:rowOff>
    </xdr:to>
    <xdr:sp macro="" textlink="">
      <xdr:nvSpPr>
        <xdr:cNvPr id="47" name="Rectángulo 46"/>
        <xdr:cNvSpPr/>
      </xdr:nvSpPr>
      <xdr:spPr>
        <a:xfrm>
          <a:off x="4680438" y="1529862"/>
          <a:ext cx="785447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556847</xdr:colOff>
      <xdr:row>9</xdr:row>
      <xdr:rowOff>7327</xdr:rowOff>
    </xdr:from>
    <xdr:to>
      <xdr:col>8</xdr:col>
      <xdr:colOff>227135</xdr:colOff>
      <xdr:row>10</xdr:row>
      <xdr:rowOff>7327</xdr:rowOff>
    </xdr:to>
    <xdr:sp macro="" textlink="">
      <xdr:nvSpPr>
        <xdr:cNvPr id="48" name="Rectángulo 47"/>
        <xdr:cNvSpPr/>
      </xdr:nvSpPr>
      <xdr:spPr>
        <a:xfrm>
          <a:off x="5465885" y="1721827"/>
          <a:ext cx="241788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224204</xdr:colOff>
      <xdr:row>10</xdr:row>
      <xdr:rowOff>4397</xdr:rowOff>
    </xdr:from>
    <xdr:to>
      <xdr:col>8</xdr:col>
      <xdr:colOff>293077</xdr:colOff>
      <xdr:row>11</xdr:row>
      <xdr:rowOff>4397</xdr:rowOff>
    </xdr:to>
    <xdr:sp macro="" textlink="">
      <xdr:nvSpPr>
        <xdr:cNvPr id="49" name="Rectángulo 48"/>
        <xdr:cNvSpPr/>
      </xdr:nvSpPr>
      <xdr:spPr>
        <a:xfrm>
          <a:off x="5704742" y="1909397"/>
          <a:ext cx="68873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303335</xdr:colOff>
      <xdr:row>11</xdr:row>
      <xdr:rowOff>10259</xdr:rowOff>
    </xdr:from>
    <xdr:to>
      <xdr:col>8</xdr:col>
      <xdr:colOff>372208</xdr:colOff>
      <xdr:row>12</xdr:row>
      <xdr:rowOff>10259</xdr:rowOff>
    </xdr:to>
    <xdr:sp macro="" textlink="">
      <xdr:nvSpPr>
        <xdr:cNvPr id="50" name="Rectángulo 49"/>
        <xdr:cNvSpPr/>
      </xdr:nvSpPr>
      <xdr:spPr>
        <a:xfrm>
          <a:off x="5783873" y="2105759"/>
          <a:ext cx="68873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381000</xdr:colOff>
      <xdr:row>12</xdr:row>
      <xdr:rowOff>7327</xdr:rowOff>
    </xdr:from>
    <xdr:to>
      <xdr:col>9</xdr:col>
      <xdr:colOff>344366</xdr:colOff>
      <xdr:row>13</xdr:row>
      <xdr:rowOff>7327</xdr:rowOff>
    </xdr:to>
    <xdr:sp macro="" textlink="">
      <xdr:nvSpPr>
        <xdr:cNvPr id="51" name="Rectángulo 50"/>
        <xdr:cNvSpPr/>
      </xdr:nvSpPr>
      <xdr:spPr>
        <a:xfrm>
          <a:off x="5861538" y="2293327"/>
          <a:ext cx="534866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342900</xdr:colOff>
      <xdr:row>13</xdr:row>
      <xdr:rowOff>5861</xdr:rowOff>
    </xdr:from>
    <xdr:to>
      <xdr:col>10</xdr:col>
      <xdr:colOff>124558</xdr:colOff>
      <xdr:row>14</xdr:row>
      <xdr:rowOff>5861</xdr:rowOff>
    </xdr:to>
    <xdr:sp macro="" textlink="">
      <xdr:nvSpPr>
        <xdr:cNvPr id="52" name="Rectángulo 51"/>
        <xdr:cNvSpPr/>
      </xdr:nvSpPr>
      <xdr:spPr>
        <a:xfrm>
          <a:off x="6394938" y="2482361"/>
          <a:ext cx="353158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124556</xdr:colOff>
      <xdr:row>14</xdr:row>
      <xdr:rowOff>7327</xdr:rowOff>
    </xdr:from>
    <xdr:to>
      <xdr:col>11</xdr:col>
      <xdr:colOff>73269</xdr:colOff>
      <xdr:row>15</xdr:row>
      <xdr:rowOff>7327</xdr:rowOff>
    </xdr:to>
    <xdr:sp macro="" textlink="">
      <xdr:nvSpPr>
        <xdr:cNvPr id="53" name="Rectángulo 52"/>
        <xdr:cNvSpPr/>
      </xdr:nvSpPr>
      <xdr:spPr>
        <a:xfrm>
          <a:off x="6748094" y="2674327"/>
          <a:ext cx="520213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73269</xdr:colOff>
      <xdr:row>15</xdr:row>
      <xdr:rowOff>7327</xdr:rowOff>
    </xdr:from>
    <xdr:to>
      <xdr:col>13</xdr:col>
      <xdr:colOff>131885</xdr:colOff>
      <xdr:row>16</xdr:row>
      <xdr:rowOff>7327</xdr:rowOff>
    </xdr:to>
    <xdr:sp macro="" textlink="">
      <xdr:nvSpPr>
        <xdr:cNvPr id="54" name="Rectángulo 53"/>
        <xdr:cNvSpPr/>
      </xdr:nvSpPr>
      <xdr:spPr>
        <a:xfrm>
          <a:off x="7268307" y="2864827"/>
          <a:ext cx="1201616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136281</xdr:colOff>
      <xdr:row>16</xdr:row>
      <xdr:rowOff>4396</xdr:rowOff>
    </xdr:from>
    <xdr:to>
      <xdr:col>13</xdr:col>
      <xdr:colOff>263770</xdr:colOff>
      <xdr:row>17</xdr:row>
      <xdr:rowOff>4396</xdr:rowOff>
    </xdr:to>
    <xdr:sp macro="" textlink="">
      <xdr:nvSpPr>
        <xdr:cNvPr id="55" name="Rectángulo 54"/>
        <xdr:cNvSpPr/>
      </xdr:nvSpPr>
      <xdr:spPr>
        <a:xfrm>
          <a:off x="8474319" y="3052396"/>
          <a:ext cx="127489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263769</xdr:colOff>
      <xdr:row>17</xdr:row>
      <xdr:rowOff>14654</xdr:rowOff>
    </xdr:from>
    <xdr:to>
      <xdr:col>13</xdr:col>
      <xdr:colOff>309488</xdr:colOff>
      <xdr:row>18</xdr:row>
      <xdr:rowOff>14654</xdr:rowOff>
    </xdr:to>
    <xdr:sp macro="" textlink="">
      <xdr:nvSpPr>
        <xdr:cNvPr id="56" name="Rectángulo 55"/>
        <xdr:cNvSpPr/>
      </xdr:nvSpPr>
      <xdr:spPr>
        <a:xfrm>
          <a:off x="8601807" y="3253154"/>
          <a:ext cx="45719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315058</xdr:colOff>
      <xdr:row>18</xdr:row>
      <xdr:rowOff>7327</xdr:rowOff>
    </xdr:from>
    <xdr:to>
      <xdr:col>13</xdr:col>
      <xdr:colOff>442547</xdr:colOff>
      <xdr:row>19</xdr:row>
      <xdr:rowOff>7327</xdr:rowOff>
    </xdr:to>
    <xdr:sp macro="" textlink="">
      <xdr:nvSpPr>
        <xdr:cNvPr id="57" name="Rectángulo 56"/>
        <xdr:cNvSpPr/>
      </xdr:nvSpPr>
      <xdr:spPr>
        <a:xfrm>
          <a:off x="8653096" y="3436327"/>
          <a:ext cx="127489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442547</xdr:colOff>
      <xdr:row>18</xdr:row>
      <xdr:rowOff>181707</xdr:rowOff>
    </xdr:from>
    <xdr:to>
      <xdr:col>13</xdr:col>
      <xdr:colOff>534867</xdr:colOff>
      <xdr:row>19</xdr:row>
      <xdr:rowOff>181707</xdr:rowOff>
    </xdr:to>
    <xdr:sp macro="" textlink="">
      <xdr:nvSpPr>
        <xdr:cNvPr id="58" name="Rectángulo 57"/>
        <xdr:cNvSpPr/>
      </xdr:nvSpPr>
      <xdr:spPr>
        <a:xfrm>
          <a:off x="8776922" y="3610707"/>
          <a:ext cx="92320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28575</xdr:colOff>
      <xdr:row>24</xdr:row>
      <xdr:rowOff>9525</xdr:rowOff>
    </xdr:from>
    <xdr:to>
      <xdr:col>2</xdr:col>
      <xdr:colOff>109172</xdr:colOff>
      <xdr:row>25</xdr:row>
      <xdr:rowOff>9525</xdr:rowOff>
    </xdr:to>
    <xdr:sp macro="" textlink="">
      <xdr:nvSpPr>
        <xdr:cNvPr id="59" name="Rectángulo 58"/>
        <xdr:cNvSpPr/>
      </xdr:nvSpPr>
      <xdr:spPr>
        <a:xfrm>
          <a:off x="2076450" y="4581525"/>
          <a:ext cx="80597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76200</xdr:colOff>
      <xdr:row>24</xdr:row>
      <xdr:rowOff>190499</xdr:rowOff>
    </xdr:from>
    <xdr:to>
      <xdr:col>2</xdr:col>
      <xdr:colOff>180975</xdr:colOff>
      <xdr:row>26</xdr:row>
      <xdr:rowOff>9524</xdr:rowOff>
    </xdr:to>
    <xdr:sp macro="" textlink="">
      <xdr:nvSpPr>
        <xdr:cNvPr id="60" name="Rectángulo 59"/>
        <xdr:cNvSpPr/>
      </xdr:nvSpPr>
      <xdr:spPr>
        <a:xfrm>
          <a:off x="2124075" y="4762499"/>
          <a:ext cx="104775" cy="20002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180975</xdr:colOff>
      <xdr:row>26</xdr:row>
      <xdr:rowOff>1</xdr:rowOff>
    </xdr:from>
    <xdr:to>
      <xdr:col>5</xdr:col>
      <xdr:colOff>0</xdr:colOff>
      <xdr:row>27</xdr:row>
      <xdr:rowOff>1</xdr:rowOff>
    </xdr:to>
    <xdr:sp macro="" textlink="">
      <xdr:nvSpPr>
        <xdr:cNvPr id="61" name="Rectángulo 60"/>
        <xdr:cNvSpPr/>
      </xdr:nvSpPr>
      <xdr:spPr>
        <a:xfrm>
          <a:off x="2228850" y="4953001"/>
          <a:ext cx="1533525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0</xdr:colOff>
      <xdr:row>26</xdr:row>
      <xdr:rowOff>190499</xdr:rowOff>
    </xdr:from>
    <xdr:to>
      <xdr:col>6</xdr:col>
      <xdr:colOff>295275</xdr:colOff>
      <xdr:row>28</xdr:row>
      <xdr:rowOff>9524</xdr:rowOff>
    </xdr:to>
    <xdr:sp macro="" textlink="">
      <xdr:nvSpPr>
        <xdr:cNvPr id="62" name="Rectángulo 61"/>
        <xdr:cNvSpPr/>
      </xdr:nvSpPr>
      <xdr:spPr>
        <a:xfrm>
          <a:off x="3762375" y="5143499"/>
          <a:ext cx="866775" cy="20002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295275</xdr:colOff>
      <xdr:row>28</xdr:row>
      <xdr:rowOff>1</xdr:rowOff>
    </xdr:from>
    <xdr:to>
      <xdr:col>7</xdr:col>
      <xdr:colOff>0</xdr:colOff>
      <xdr:row>29</xdr:row>
      <xdr:rowOff>1</xdr:rowOff>
    </xdr:to>
    <xdr:sp macro="" textlink="">
      <xdr:nvSpPr>
        <xdr:cNvPr id="63" name="Rectángulo 62"/>
        <xdr:cNvSpPr/>
      </xdr:nvSpPr>
      <xdr:spPr>
        <a:xfrm>
          <a:off x="4629150" y="5334001"/>
          <a:ext cx="276225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29</xdr:row>
      <xdr:rowOff>0</xdr:rowOff>
    </xdr:from>
    <xdr:to>
      <xdr:col>8</xdr:col>
      <xdr:colOff>95250</xdr:colOff>
      <xdr:row>30</xdr:row>
      <xdr:rowOff>0</xdr:rowOff>
    </xdr:to>
    <xdr:sp macro="" textlink="">
      <xdr:nvSpPr>
        <xdr:cNvPr id="64" name="Rectángulo 63"/>
        <xdr:cNvSpPr/>
      </xdr:nvSpPr>
      <xdr:spPr>
        <a:xfrm>
          <a:off x="4905375" y="5524500"/>
          <a:ext cx="666750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95250</xdr:colOff>
      <xdr:row>30</xdr:row>
      <xdr:rowOff>0</xdr:rowOff>
    </xdr:from>
    <xdr:to>
      <xdr:col>8</xdr:col>
      <xdr:colOff>386953</xdr:colOff>
      <xdr:row>31</xdr:row>
      <xdr:rowOff>0</xdr:rowOff>
    </xdr:to>
    <xdr:sp macro="" textlink="">
      <xdr:nvSpPr>
        <xdr:cNvPr id="65" name="Rectángulo 64"/>
        <xdr:cNvSpPr/>
      </xdr:nvSpPr>
      <xdr:spPr>
        <a:xfrm>
          <a:off x="5572125" y="5715000"/>
          <a:ext cx="291703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385763</xdr:colOff>
      <xdr:row>31</xdr:row>
      <xdr:rowOff>0</xdr:rowOff>
    </xdr:from>
    <xdr:to>
      <xdr:col>8</xdr:col>
      <xdr:colOff>500063</xdr:colOff>
      <xdr:row>32</xdr:row>
      <xdr:rowOff>0</xdr:rowOff>
    </xdr:to>
    <xdr:sp macro="" textlink="">
      <xdr:nvSpPr>
        <xdr:cNvPr id="66" name="Rectángulo 65"/>
        <xdr:cNvSpPr/>
      </xdr:nvSpPr>
      <xdr:spPr>
        <a:xfrm>
          <a:off x="5862638" y="5905500"/>
          <a:ext cx="114300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500062</xdr:colOff>
      <xdr:row>32</xdr:row>
      <xdr:rowOff>0</xdr:rowOff>
    </xdr:from>
    <xdr:to>
      <xdr:col>8</xdr:col>
      <xdr:colOff>547687</xdr:colOff>
      <xdr:row>33</xdr:row>
      <xdr:rowOff>0</xdr:rowOff>
    </xdr:to>
    <xdr:sp macro="" textlink="">
      <xdr:nvSpPr>
        <xdr:cNvPr id="67" name="Rectángulo 66"/>
        <xdr:cNvSpPr/>
      </xdr:nvSpPr>
      <xdr:spPr>
        <a:xfrm>
          <a:off x="5976937" y="6096000"/>
          <a:ext cx="47625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546654</xdr:colOff>
      <xdr:row>33</xdr:row>
      <xdr:rowOff>0</xdr:rowOff>
    </xdr:from>
    <xdr:to>
      <xdr:col>9</xdr:col>
      <xdr:colOff>414132</xdr:colOff>
      <xdr:row>33</xdr:row>
      <xdr:rowOff>182217</xdr:rowOff>
    </xdr:to>
    <xdr:sp macro="" textlink="">
      <xdr:nvSpPr>
        <xdr:cNvPr id="68" name="Rectángulo 67"/>
        <xdr:cNvSpPr/>
      </xdr:nvSpPr>
      <xdr:spPr>
        <a:xfrm>
          <a:off x="6021458" y="6286500"/>
          <a:ext cx="438978" cy="182217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414130</xdr:colOff>
      <xdr:row>33</xdr:row>
      <xdr:rowOff>182218</xdr:rowOff>
    </xdr:from>
    <xdr:to>
      <xdr:col>11</xdr:col>
      <xdr:colOff>74544</xdr:colOff>
      <xdr:row>35</xdr:row>
      <xdr:rowOff>0</xdr:rowOff>
    </xdr:to>
    <xdr:sp macro="" textlink="">
      <xdr:nvSpPr>
        <xdr:cNvPr id="69" name="Rectángulo 68"/>
        <xdr:cNvSpPr/>
      </xdr:nvSpPr>
      <xdr:spPr>
        <a:xfrm>
          <a:off x="6460434" y="6468718"/>
          <a:ext cx="803414" cy="198782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74544</xdr:colOff>
      <xdr:row>35</xdr:row>
      <xdr:rowOff>0</xdr:rowOff>
    </xdr:from>
    <xdr:to>
      <xdr:col>12</xdr:col>
      <xdr:colOff>74544</xdr:colOff>
      <xdr:row>36</xdr:row>
      <xdr:rowOff>0</xdr:rowOff>
    </xdr:to>
    <xdr:sp macro="" textlink="">
      <xdr:nvSpPr>
        <xdr:cNvPr id="70" name="Rectángulo 69"/>
        <xdr:cNvSpPr/>
      </xdr:nvSpPr>
      <xdr:spPr>
        <a:xfrm>
          <a:off x="7263848" y="6667500"/>
          <a:ext cx="571500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77857</xdr:colOff>
      <xdr:row>35</xdr:row>
      <xdr:rowOff>185530</xdr:rowOff>
    </xdr:from>
    <xdr:to>
      <xdr:col>13</xdr:col>
      <xdr:colOff>77857</xdr:colOff>
      <xdr:row>36</xdr:row>
      <xdr:rowOff>185530</xdr:rowOff>
    </xdr:to>
    <xdr:sp macro="" textlink="">
      <xdr:nvSpPr>
        <xdr:cNvPr id="71" name="Rectángulo 70"/>
        <xdr:cNvSpPr/>
      </xdr:nvSpPr>
      <xdr:spPr>
        <a:xfrm>
          <a:off x="7838661" y="6853030"/>
          <a:ext cx="571500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72888</xdr:colOff>
      <xdr:row>36</xdr:row>
      <xdr:rowOff>188842</xdr:rowOff>
    </xdr:from>
    <xdr:to>
      <xdr:col>13</xdr:col>
      <xdr:colOff>248479</xdr:colOff>
      <xdr:row>37</xdr:row>
      <xdr:rowOff>190499</xdr:rowOff>
    </xdr:to>
    <xdr:sp macro="" textlink="">
      <xdr:nvSpPr>
        <xdr:cNvPr id="72" name="Rectángulo 71"/>
        <xdr:cNvSpPr/>
      </xdr:nvSpPr>
      <xdr:spPr>
        <a:xfrm>
          <a:off x="8405192" y="7046842"/>
          <a:ext cx="175591" cy="192157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248478</xdr:colOff>
      <xdr:row>38</xdr:row>
      <xdr:rowOff>0</xdr:rowOff>
    </xdr:from>
    <xdr:to>
      <xdr:col>13</xdr:col>
      <xdr:colOff>331305</xdr:colOff>
      <xdr:row>39</xdr:row>
      <xdr:rowOff>16565</xdr:rowOff>
    </xdr:to>
    <xdr:sp macro="" textlink="">
      <xdr:nvSpPr>
        <xdr:cNvPr id="73" name="Rectángulo 72"/>
        <xdr:cNvSpPr/>
      </xdr:nvSpPr>
      <xdr:spPr>
        <a:xfrm>
          <a:off x="8580782" y="7239000"/>
          <a:ext cx="82827" cy="20706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342901</xdr:colOff>
      <xdr:row>39</xdr:row>
      <xdr:rowOff>11595</xdr:rowOff>
    </xdr:from>
    <xdr:to>
      <xdr:col>13</xdr:col>
      <xdr:colOff>422415</xdr:colOff>
      <xdr:row>40</xdr:row>
      <xdr:rowOff>28160</xdr:rowOff>
    </xdr:to>
    <xdr:sp macro="" textlink="">
      <xdr:nvSpPr>
        <xdr:cNvPr id="74" name="Rectángulo 73"/>
        <xdr:cNvSpPr/>
      </xdr:nvSpPr>
      <xdr:spPr>
        <a:xfrm>
          <a:off x="8675205" y="7441095"/>
          <a:ext cx="79514" cy="20706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420757</xdr:colOff>
      <xdr:row>39</xdr:row>
      <xdr:rowOff>151984</xdr:rowOff>
    </xdr:from>
    <xdr:to>
      <xdr:col>13</xdr:col>
      <xdr:colOff>500271</xdr:colOff>
      <xdr:row>40</xdr:row>
      <xdr:rowOff>168549</xdr:rowOff>
    </xdr:to>
    <xdr:sp macro="" textlink="">
      <xdr:nvSpPr>
        <xdr:cNvPr id="75" name="Rectángulo 74"/>
        <xdr:cNvSpPr/>
      </xdr:nvSpPr>
      <xdr:spPr>
        <a:xfrm>
          <a:off x="8755132" y="7581484"/>
          <a:ext cx="79514" cy="20706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80597</xdr:colOff>
      <xdr:row>46</xdr:row>
      <xdr:rowOff>0</xdr:rowOff>
    </xdr:to>
    <xdr:sp macro="" textlink="">
      <xdr:nvSpPr>
        <xdr:cNvPr id="76" name="Rectángulo 75"/>
        <xdr:cNvSpPr/>
      </xdr:nvSpPr>
      <xdr:spPr>
        <a:xfrm>
          <a:off x="2047875" y="8572500"/>
          <a:ext cx="80597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76200</xdr:colOff>
      <xdr:row>45</xdr:row>
      <xdr:rowOff>180975</xdr:rowOff>
    </xdr:from>
    <xdr:to>
      <xdr:col>2</xdr:col>
      <xdr:colOff>156797</xdr:colOff>
      <xdr:row>46</xdr:row>
      <xdr:rowOff>180975</xdr:rowOff>
    </xdr:to>
    <xdr:sp macro="" textlink="">
      <xdr:nvSpPr>
        <xdr:cNvPr id="77" name="Rectángulo 76"/>
        <xdr:cNvSpPr/>
      </xdr:nvSpPr>
      <xdr:spPr>
        <a:xfrm>
          <a:off x="2124075" y="8753475"/>
          <a:ext cx="80597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152400</xdr:colOff>
      <xdr:row>46</xdr:row>
      <xdr:rowOff>180975</xdr:rowOff>
    </xdr:from>
    <xdr:to>
      <xdr:col>5</xdr:col>
      <xdr:colOff>19050</xdr:colOff>
      <xdr:row>48</xdr:row>
      <xdr:rowOff>0</xdr:rowOff>
    </xdr:to>
    <xdr:sp macro="" textlink="">
      <xdr:nvSpPr>
        <xdr:cNvPr id="78" name="Rectángulo 77"/>
        <xdr:cNvSpPr/>
      </xdr:nvSpPr>
      <xdr:spPr>
        <a:xfrm>
          <a:off x="2200275" y="8943975"/>
          <a:ext cx="1581150" cy="20002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19050</xdr:colOff>
      <xdr:row>47</xdr:row>
      <xdr:rowOff>180975</xdr:rowOff>
    </xdr:from>
    <xdr:to>
      <xdr:col>5</xdr:col>
      <xdr:colOff>447675</xdr:colOff>
      <xdr:row>48</xdr:row>
      <xdr:rowOff>180975</xdr:rowOff>
    </xdr:to>
    <xdr:sp macro="" textlink="">
      <xdr:nvSpPr>
        <xdr:cNvPr id="79" name="Rectángulo 78"/>
        <xdr:cNvSpPr/>
      </xdr:nvSpPr>
      <xdr:spPr>
        <a:xfrm>
          <a:off x="3781425" y="9134475"/>
          <a:ext cx="428625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447675</xdr:colOff>
      <xdr:row>48</xdr:row>
      <xdr:rowOff>180974</xdr:rowOff>
    </xdr:from>
    <xdr:to>
      <xdr:col>6</xdr:col>
      <xdr:colOff>114300</xdr:colOff>
      <xdr:row>49</xdr:row>
      <xdr:rowOff>190499</xdr:rowOff>
    </xdr:to>
    <xdr:sp macro="" textlink="">
      <xdr:nvSpPr>
        <xdr:cNvPr id="80" name="Rectángulo 79"/>
        <xdr:cNvSpPr/>
      </xdr:nvSpPr>
      <xdr:spPr>
        <a:xfrm>
          <a:off x="4210050" y="9324974"/>
          <a:ext cx="238125" cy="20002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114300</xdr:colOff>
      <xdr:row>50</xdr:row>
      <xdr:rowOff>1</xdr:rowOff>
    </xdr:from>
    <xdr:to>
      <xdr:col>7</xdr:col>
      <xdr:colOff>371475</xdr:colOff>
      <xdr:row>51</xdr:row>
      <xdr:rowOff>9525</xdr:rowOff>
    </xdr:to>
    <xdr:sp macro="" textlink="">
      <xdr:nvSpPr>
        <xdr:cNvPr id="81" name="Rectángulo 80"/>
        <xdr:cNvSpPr/>
      </xdr:nvSpPr>
      <xdr:spPr>
        <a:xfrm>
          <a:off x="4448175" y="9525001"/>
          <a:ext cx="828675" cy="200024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361952</xdr:colOff>
      <xdr:row>51</xdr:row>
      <xdr:rowOff>1</xdr:rowOff>
    </xdr:from>
    <xdr:to>
      <xdr:col>8</xdr:col>
      <xdr:colOff>28575</xdr:colOff>
      <xdr:row>52</xdr:row>
      <xdr:rowOff>0</xdr:rowOff>
    </xdr:to>
    <xdr:sp macro="" textlink="">
      <xdr:nvSpPr>
        <xdr:cNvPr id="82" name="Rectángulo 81"/>
        <xdr:cNvSpPr/>
      </xdr:nvSpPr>
      <xdr:spPr>
        <a:xfrm>
          <a:off x="5267327" y="9715501"/>
          <a:ext cx="238123" cy="190499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36130</xdr:colOff>
      <xdr:row>52</xdr:row>
      <xdr:rowOff>2</xdr:rowOff>
    </xdr:from>
    <xdr:to>
      <xdr:col>8</xdr:col>
      <xdr:colOff>112329</xdr:colOff>
      <xdr:row>52</xdr:row>
      <xdr:rowOff>180976</xdr:rowOff>
    </xdr:to>
    <xdr:sp macro="" textlink="">
      <xdr:nvSpPr>
        <xdr:cNvPr id="83" name="Rectángulo 82"/>
        <xdr:cNvSpPr/>
      </xdr:nvSpPr>
      <xdr:spPr>
        <a:xfrm>
          <a:off x="5513005" y="9906002"/>
          <a:ext cx="76199" cy="180974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116272</xdr:colOff>
      <xdr:row>53</xdr:row>
      <xdr:rowOff>1316</xdr:rowOff>
    </xdr:from>
    <xdr:to>
      <xdr:col>8</xdr:col>
      <xdr:colOff>161991</xdr:colOff>
      <xdr:row>53</xdr:row>
      <xdr:rowOff>182290</xdr:rowOff>
    </xdr:to>
    <xdr:sp macro="" textlink="">
      <xdr:nvSpPr>
        <xdr:cNvPr id="84" name="Rectángulo 83"/>
        <xdr:cNvSpPr/>
      </xdr:nvSpPr>
      <xdr:spPr>
        <a:xfrm>
          <a:off x="5593147" y="10097816"/>
          <a:ext cx="45719" cy="180974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163569</xdr:colOff>
      <xdr:row>53</xdr:row>
      <xdr:rowOff>180976</xdr:rowOff>
    </xdr:from>
    <xdr:to>
      <xdr:col>9</xdr:col>
      <xdr:colOff>85725</xdr:colOff>
      <xdr:row>55</xdr:row>
      <xdr:rowOff>0</xdr:rowOff>
    </xdr:to>
    <xdr:sp macro="" textlink="">
      <xdr:nvSpPr>
        <xdr:cNvPr id="85" name="Rectángulo 84"/>
        <xdr:cNvSpPr/>
      </xdr:nvSpPr>
      <xdr:spPr>
        <a:xfrm>
          <a:off x="5640444" y="10277476"/>
          <a:ext cx="493656" cy="200024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87368</xdr:colOff>
      <xdr:row>55</xdr:row>
      <xdr:rowOff>1</xdr:rowOff>
    </xdr:from>
    <xdr:to>
      <xdr:col>10</xdr:col>
      <xdr:colOff>447675</xdr:colOff>
      <xdr:row>55</xdr:row>
      <xdr:rowOff>180975</xdr:rowOff>
    </xdr:to>
    <xdr:sp macro="" textlink="">
      <xdr:nvSpPr>
        <xdr:cNvPr id="86" name="Rectángulo 85"/>
        <xdr:cNvSpPr/>
      </xdr:nvSpPr>
      <xdr:spPr>
        <a:xfrm>
          <a:off x="6135743" y="10477501"/>
          <a:ext cx="931807" cy="180974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449318</xdr:colOff>
      <xdr:row>55</xdr:row>
      <xdr:rowOff>180976</xdr:rowOff>
    </xdr:from>
    <xdr:to>
      <xdr:col>11</xdr:col>
      <xdr:colOff>542925</xdr:colOff>
      <xdr:row>56</xdr:row>
      <xdr:rowOff>180975</xdr:rowOff>
    </xdr:to>
    <xdr:sp macro="" textlink="">
      <xdr:nvSpPr>
        <xdr:cNvPr id="87" name="Rectángulo 86"/>
        <xdr:cNvSpPr/>
      </xdr:nvSpPr>
      <xdr:spPr>
        <a:xfrm>
          <a:off x="7069193" y="10658476"/>
          <a:ext cx="665107" cy="190499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544568</xdr:colOff>
      <xdr:row>57</xdr:row>
      <xdr:rowOff>1</xdr:rowOff>
    </xdr:from>
    <xdr:to>
      <xdr:col>13</xdr:col>
      <xdr:colOff>133350</xdr:colOff>
      <xdr:row>57</xdr:row>
      <xdr:rowOff>171450</xdr:rowOff>
    </xdr:to>
    <xdr:sp macro="" textlink="">
      <xdr:nvSpPr>
        <xdr:cNvPr id="88" name="Rectángulo 87"/>
        <xdr:cNvSpPr/>
      </xdr:nvSpPr>
      <xdr:spPr>
        <a:xfrm>
          <a:off x="7735943" y="10858501"/>
          <a:ext cx="731782" cy="171449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125469</xdr:colOff>
      <xdr:row>57</xdr:row>
      <xdr:rowOff>180975</xdr:rowOff>
    </xdr:from>
    <xdr:to>
      <xdr:col>13</xdr:col>
      <xdr:colOff>247651</xdr:colOff>
      <xdr:row>58</xdr:row>
      <xdr:rowOff>180974</xdr:rowOff>
    </xdr:to>
    <xdr:sp macro="" textlink="">
      <xdr:nvSpPr>
        <xdr:cNvPr id="89" name="Rectángulo 88"/>
        <xdr:cNvSpPr/>
      </xdr:nvSpPr>
      <xdr:spPr>
        <a:xfrm>
          <a:off x="8459844" y="11039475"/>
          <a:ext cx="122182" cy="190499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249294</xdr:colOff>
      <xdr:row>58</xdr:row>
      <xdr:rowOff>171450</xdr:rowOff>
    </xdr:from>
    <xdr:to>
      <xdr:col>13</xdr:col>
      <xdr:colOff>333375</xdr:colOff>
      <xdr:row>59</xdr:row>
      <xdr:rowOff>180975</xdr:rowOff>
    </xdr:to>
    <xdr:sp macro="" textlink="">
      <xdr:nvSpPr>
        <xdr:cNvPr id="90" name="Rectángulo 89"/>
        <xdr:cNvSpPr/>
      </xdr:nvSpPr>
      <xdr:spPr>
        <a:xfrm>
          <a:off x="8583669" y="11220450"/>
          <a:ext cx="84081" cy="20002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325494</xdr:colOff>
      <xdr:row>59</xdr:row>
      <xdr:rowOff>180975</xdr:rowOff>
    </xdr:from>
    <xdr:to>
      <xdr:col>13</xdr:col>
      <xdr:colOff>490904</xdr:colOff>
      <xdr:row>60</xdr:row>
      <xdr:rowOff>175846</xdr:rowOff>
    </xdr:to>
    <xdr:sp macro="" textlink="">
      <xdr:nvSpPr>
        <xdr:cNvPr id="91" name="Rectángulo 90"/>
        <xdr:cNvSpPr/>
      </xdr:nvSpPr>
      <xdr:spPr>
        <a:xfrm>
          <a:off x="8663532" y="11420475"/>
          <a:ext cx="165410" cy="185371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487419</xdr:colOff>
      <xdr:row>60</xdr:row>
      <xdr:rowOff>180975</xdr:rowOff>
    </xdr:from>
    <xdr:to>
      <xdr:col>14</xdr:col>
      <xdr:colOff>0</xdr:colOff>
      <xdr:row>62</xdr:row>
      <xdr:rowOff>0</xdr:rowOff>
    </xdr:to>
    <xdr:sp macro="" textlink="">
      <xdr:nvSpPr>
        <xdr:cNvPr id="92" name="Rectángulo 91"/>
        <xdr:cNvSpPr/>
      </xdr:nvSpPr>
      <xdr:spPr>
        <a:xfrm>
          <a:off x="8821794" y="11610975"/>
          <a:ext cx="84081" cy="20002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9525</xdr:colOff>
      <xdr:row>66</xdr:row>
      <xdr:rowOff>0</xdr:rowOff>
    </xdr:from>
    <xdr:to>
      <xdr:col>2</xdr:col>
      <xdr:colOff>90122</xdr:colOff>
      <xdr:row>67</xdr:row>
      <xdr:rowOff>0</xdr:rowOff>
    </xdr:to>
    <xdr:sp macro="" textlink="">
      <xdr:nvSpPr>
        <xdr:cNvPr id="97" name="Rectángulo 96"/>
        <xdr:cNvSpPr/>
      </xdr:nvSpPr>
      <xdr:spPr>
        <a:xfrm>
          <a:off x="2057400" y="12573000"/>
          <a:ext cx="80597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95250</xdr:colOff>
      <xdr:row>67</xdr:row>
      <xdr:rowOff>0</xdr:rowOff>
    </xdr:from>
    <xdr:to>
      <xdr:col>2</xdr:col>
      <xdr:colOff>175847</xdr:colOff>
      <xdr:row>68</xdr:row>
      <xdr:rowOff>0</xdr:rowOff>
    </xdr:to>
    <xdr:sp macro="" textlink="">
      <xdr:nvSpPr>
        <xdr:cNvPr id="98" name="Rectángulo 97"/>
        <xdr:cNvSpPr/>
      </xdr:nvSpPr>
      <xdr:spPr>
        <a:xfrm>
          <a:off x="2143125" y="12763500"/>
          <a:ext cx="80597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171450</xdr:colOff>
      <xdr:row>68</xdr:row>
      <xdr:rowOff>0</xdr:rowOff>
    </xdr:from>
    <xdr:to>
      <xdr:col>4</xdr:col>
      <xdr:colOff>304800</xdr:colOff>
      <xdr:row>69</xdr:row>
      <xdr:rowOff>0</xdr:rowOff>
    </xdr:to>
    <xdr:sp macro="" textlink="">
      <xdr:nvSpPr>
        <xdr:cNvPr id="99" name="Rectángulo 98"/>
        <xdr:cNvSpPr/>
      </xdr:nvSpPr>
      <xdr:spPr>
        <a:xfrm>
          <a:off x="2219325" y="12954000"/>
          <a:ext cx="1276350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304800</xdr:colOff>
      <xdr:row>69</xdr:row>
      <xdr:rowOff>0</xdr:rowOff>
    </xdr:from>
    <xdr:to>
      <xdr:col>5</xdr:col>
      <xdr:colOff>0</xdr:colOff>
      <xdr:row>69</xdr:row>
      <xdr:rowOff>180975</xdr:rowOff>
    </xdr:to>
    <xdr:sp macro="" textlink="">
      <xdr:nvSpPr>
        <xdr:cNvPr id="100" name="Rectángulo 99"/>
        <xdr:cNvSpPr/>
      </xdr:nvSpPr>
      <xdr:spPr>
        <a:xfrm>
          <a:off x="3495675" y="13144500"/>
          <a:ext cx="266700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571499</xdr:colOff>
      <xdr:row>69</xdr:row>
      <xdr:rowOff>180975</xdr:rowOff>
    </xdr:from>
    <xdr:to>
      <xdr:col>6</xdr:col>
      <xdr:colOff>200024</xdr:colOff>
      <xdr:row>70</xdr:row>
      <xdr:rowOff>180975</xdr:rowOff>
    </xdr:to>
    <xdr:sp macro="" textlink="">
      <xdr:nvSpPr>
        <xdr:cNvPr id="101" name="Rectángulo 100"/>
        <xdr:cNvSpPr/>
      </xdr:nvSpPr>
      <xdr:spPr>
        <a:xfrm>
          <a:off x="3762374" y="13325475"/>
          <a:ext cx="771525" cy="190500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200025</xdr:colOff>
      <xdr:row>70</xdr:row>
      <xdr:rowOff>180974</xdr:rowOff>
    </xdr:from>
    <xdr:to>
      <xdr:col>7</xdr:col>
      <xdr:colOff>190501</xdr:colOff>
      <xdr:row>71</xdr:row>
      <xdr:rowOff>190499</xdr:rowOff>
    </xdr:to>
    <xdr:sp macro="" textlink="">
      <xdr:nvSpPr>
        <xdr:cNvPr id="102" name="Rectángulo 101"/>
        <xdr:cNvSpPr/>
      </xdr:nvSpPr>
      <xdr:spPr>
        <a:xfrm>
          <a:off x="4533900" y="13515974"/>
          <a:ext cx="561976" cy="20002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190500</xdr:colOff>
      <xdr:row>71</xdr:row>
      <xdr:rowOff>190499</xdr:rowOff>
    </xdr:from>
    <xdr:to>
      <xdr:col>7</xdr:col>
      <xdr:colOff>438150</xdr:colOff>
      <xdr:row>73</xdr:row>
      <xdr:rowOff>0</xdr:rowOff>
    </xdr:to>
    <xdr:sp macro="" textlink="">
      <xdr:nvSpPr>
        <xdr:cNvPr id="103" name="Rectángulo 102"/>
        <xdr:cNvSpPr/>
      </xdr:nvSpPr>
      <xdr:spPr>
        <a:xfrm>
          <a:off x="5095875" y="13715999"/>
          <a:ext cx="247650" cy="190501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438150</xdr:colOff>
      <xdr:row>72</xdr:row>
      <xdr:rowOff>190499</xdr:rowOff>
    </xdr:from>
    <xdr:to>
      <xdr:col>7</xdr:col>
      <xdr:colOff>514350</xdr:colOff>
      <xdr:row>74</xdr:row>
      <xdr:rowOff>0</xdr:rowOff>
    </xdr:to>
    <xdr:sp macro="" textlink="">
      <xdr:nvSpPr>
        <xdr:cNvPr id="104" name="Rectángulo 103"/>
        <xdr:cNvSpPr/>
      </xdr:nvSpPr>
      <xdr:spPr>
        <a:xfrm>
          <a:off x="5343525" y="13906499"/>
          <a:ext cx="76200" cy="190501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514350</xdr:colOff>
      <xdr:row>73</xdr:row>
      <xdr:rowOff>190499</xdr:rowOff>
    </xdr:from>
    <xdr:to>
      <xdr:col>7</xdr:col>
      <xdr:colOff>560069</xdr:colOff>
      <xdr:row>75</xdr:row>
      <xdr:rowOff>9525</xdr:rowOff>
    </xdr:to>
    <xdr:sp macro="" textlink="">
      <xdr:nvSpPr>
        <xdr:cNvPr id="105" name="Rectángulo 104"/>
        <xdr:cNvSpPr/>
      </xdr:nvSpPr>
      <xdr:spPr>
        <a:xfrm>
          <a:off x="5419725" y="14096999"/>
          <a:ext cx="45719" cy="200026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0</xdr:colOff>
      <xdr:row>75</xdr:row>
      <xdr:rowOff>9524</xdr:rowOff>
    </xdr:from>
    <xdr:to>
      <xdr:col>8</xdr:col>
      <xdr:colOff>561976</xdr:colOff>
      <xdr:row>76</xdr:row>
      <xdr:rowOff>19049</xdr:rowOff>
    </xdr:to>
    <xdr:sp macro="" textlink="">
      <xdr:nvSpPr>
        <xdr:cNvPr id="106" name="Rectángulo 105"/>
        <xdr:cNvSpPr/>
      </xdr:nvSpPr>
      <xdr:spPr>
        <a:xfrm>
          <a:off x="5476875" y="14297024"/>
          <a:ext cx="561976" cy="20002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561974</xdr:colOff>
      <xdr:row>76</xdr:row>
      <xdr:rowOff>9524</xdr:rowOff>
    </xdr:from>
    <xdr:to>
      <xdr:col>10</xdr:col>
      <xdr:colOff>438149</xdr:colOff>
      <xdr:row>77</xdr:row>
      <xdr:rowOff>9525</xdr:rowOff>
    </xdr:to>
    <xdr:sp macro="" textlink="">
      <xdr:nvSpPr>
        <xdr:cNvPr id="107" name="Rectángulo 106"/>
        <xdr:cNvSpPr/>
      </xdr:nvSpPr>
      <xdr:spPr>
        <a:xfrm>
          <a:off x="6038849" y="14487524"/>
          <a:ext cx="1019175" cy="190501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438150</xdr:colOff>
      <xdr:row>77</xdr:row>
      <xdr:rowOff>9524</xdr:rowOff>
    </xdr:from>
    <xdr:to>
      <xdr:col>11</xdr:col>
      <xdr:colOff>504826</xdr:colOff>
      <xdr:row>78</xdr:row>
      <xdr:rowOff>9525</xdr:rowOff>
    </xdr:to>
    <xdr:sp macro="" textlink="">
      <xdr:nvSpPr>
        <xdr:cNvPr id="108" name="Rectángulo 107"/>
        <xdr:cNvSpPr/>
      </xdr:nvSpPr>
      <xdr:spPr>
        <a:xfrm>
          <a:off x="7058025" y="14678024"/>
          <a:ext cx="638176" cy="190501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504825</xdr:colOff>
      <xdr:row>78</xdr:row>
      <xdr:rowOff>9524</xdr:rowOff>
    </xdr:from>
    <xdr:to>
      <xdr:col>13</xdr:col>
      <xdr:colOff>1</xdr:colOff>
      <xdr:row>79</xdr:row>
      <xdr:rowOff>9525</xdr:rowOff>
    </xdr:to>
    <xdr:sp macro="" textlink="">
      <xdr:nvSpPr>
        <xdr:cNvPr id="109" name="Rectángulo 108"/>
        <xdr:cNvSpPr/>
      </xdr:nvSpPr>
      <xdr:spPr>
        <a:xfrm>
          <a:off x="7696200" y="14868524"/>
          <a:ext cx="638176" cy="190501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0</xdr:colOff>
      <xdr:row>79</xdr:row>
      <xdr:rowOff>9524</xdr:rowOff>
    </xdr:from>
    <xdr:to>
      <xdr:col>13</xdr:col>
      <xdr:colOff>76200</xdr:colOff>
      <xdr:row>80</xdr:row>
      <xdr:rowOff>9525</xdr:rowOff>
    </xdr:to>
    <xdr:sp macro="" textlink="">
      <xdr:nvSpPr>
        <xdr:cNvPr id="110" name="Rectángulo 109"/>
        <xdr:cNvSpPr/>
      </xdr:nvSpPr>
      <xdr:spPr>
        <a:xfrm>
          <a:off x="8334375" y="15059024"/>
          <a:ext cx="76200" cy="190501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76200</xdr:colOff>
      <xdr:row>80</xdr:row>
      <xdr:rowOff>9525</xdr:rowOff>
    </xdr:from>
    <xdr:to>
      <xdr:col>13</xdr:col>
      <xdr:colOff>121919</xdr:colOff>
      <xdr:row>81</xdr:row>
      <xdr:rowOff>1</xdr:rowOff>
    </xdr:to>
    <xdr:sp macro="" textlink="">
      <xdr:nvSpPr>
        <xdr:cNvPr id="111" name="Rectángulo 110"/>
        <xdr:cNvSpPr/>
      </xdr:nvSpPr>
      <xdr:spPr>
        <a:xfrm>
          <a:off x="8410575" y="15249525"/>
          <a:ext cx="45719" cy="180976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123825</xdr:colOff>
      <xdr:row>80</xdr:row>
      <xdr:rowOff>190499</xdr:rowOff>
    </xdr:from>
    <xdr:to>
      <xdr:col>13</xdr:col>
      <xdr:colOff>238125</xdr:colOff>
      <xdr:row>82</xdr:row>
      <xdr:rowOff>0</xdr:rowOff>
    </xdr:to>
    <xdr:sp macro="" textlink="">
      <xdr:nvSpPr>
        <xdr:cNvPr id="112" name="Rectángulo 111"/>
        <xdr:cNvSpPr/>
      </xdr:nvSpPr>
      <xdr:spPr>
        <a:xfrm>
          <a:off x="8458200" y="15430499"/>
          <a:ext cx="114300" cy="190501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247650</xdr:colOff>
      <xdr:row>82</xdr:row>
      <xdr:rowOff>0</xdr:rowOff>
    </xdr:from>
    <xdr:to>
      <xdr:col>13</xdr:col>
      <xdr:colOff>293369</xdr:colOff>
      <xdr:row>82</xdr:row>
      <xdr:rowOff>180976</xdr:rowOff>
    </xdr:to>
    <xdr:sp macro="" textlink="">
      <xdr:nvSpPr>
        <xdr:cNvPr id="113" name="Rectángulo 112"/>
        <xdr:cNvSpPr/>
      </xdr:nvSpPr>
      <xdr:spPr>
        <a:xfrm>
          <a:off x="8582025" y="15621000"/>
          <a:ext cx="45719" cy="180976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6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13138</xdr:colOff>
      <xdr:row>122</xdr:row>
      <xdr:rowOff>13138</xdr:rowOff>
    </xdr:from>
    <xdr:to>
      <xdr:col>20</xdr:col>
      <xdr:colOff>472848</xdr:colOff>
      <xdr:row>128</xdr:row>
      <xdr:rowOff>377598</xdr:rowOff>
    </xdr:to>
    <xdr:cxnSp macro="">
      <xdr:nvCxnSpPr>
        <xdr:cNvPr id="3" name="Conector recto 2"/>
        <xdr:cNvCxnSpPr/>
      </xdr:nvCxnSpPr>
      <xdr:spPr>
        <a:xfrm>
          <a:off x="18760379" y="11252638"/>
          <a:ext cx="3317210" cy="265046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</xdr:colOff>
      <xdr:row>129</xdr:row>
      <xdr:rowOff>0</xdr:rowOff>
    </xdr:from>
    <xdr:to>
      <xdr:col>21</xdr:col>
      <xdr:colOff>0</xdr:colOff>
      <xdr:row>136</xdr:row>
      <xdr:rowOff>0</xdr:rowOff>
    </xdr:to>
    <xdr:cxnSp macro="">
      <xdr:nvCxnSpPr>
        <xdr:cNvPr id="5" name="Conector recto 4"/>
        <xdr:cNvCxnSpPr/>
      </xdr:nvCxnSpPr>
      <xdr:spPr>
        <a:xfrm flipH="1">
          <a:off x="18750644" y="13906500"/>
          <a:ext cx="3333749" cy="2667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370116</xdr:colOff>
      <xdr:row>128</xdr:row>
      <xdr:rowOff>190500</xdr:rowOff>
    </xdr:from>
    <xdr:to>
      <xdr:col>20</xdr:col>
      <xdr:colOff>249116</xdr:colOff>
      <xdr:row>135</xdr:row>
      <xdr:rowOff>2722</xdr:rowOff>
    </xdr:to>
    <xdr:cxnSp macro="">
      <xdr:nvCxnSpPr>
        <xdr:cNvPr id="8" name="Conector recto 7"/>
        <xdr:cNvCxnSpPr/>
      </xdr:nvCxnSpPr>
      <xdr:spPr>
        <a:xfrm flipH="1">
          <a:off x="18731385" y="13716000"/>
          <a:ext cx="3117500" cy="247922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3402</xdr:colOff>
      <xdr:row>128</xdr:row>
      <xdr:rowOff>3402</xdr:rowOff>
    </xdr:from>
    <xdr:to>
      <xdr:col>20</xdr:col>
      <xdr:colOff>3402</xdr:colOff>
      <xdr:row>134</xdr:row>
      <xdr:rowOff>0</xdr:rowOff>
    </xdr:to>
    <xdr:cxnSp macro="">
      <xdr:nvCxnSpPr>
        <xdr:cNvPr id="11" name="Conector recto 10"/>
        <xdr:cNvCxnSpPr/>
      </xdr:nvCxnSpPr>
      <xdr:spPr>
        <a:xfrm flipH="1">
          <a:off x="18750643" y="13528902"/>
          <a:ext cx="2857500" cy="228259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3402</xdr:colOff>
      <xdr:row>127</xdr:row>
      <xdr:rowOff>190500</xdr:rowOff>
    </xdr:from>
    <xdr:to>
      <xdr:col>19</xdr:col>
      <xdr:colOff>248479</xdr:colOff>
      <xdr:row>133</xdr:row>
      <xdr:rowOff>0</xdr:rowOff>
    </xdr:to>
    <xdr:cxnSp macro="">
      <xdr:nvCxnSpPr>
        <xdr:cNvPr id="13" name="Conector recto 12"/>
        <xdr:cNvCxnSpPr/>
      </xdr:nvCxnSpPr>
      <xdr:spPr>
        <a:xfrm flipH="1">
          <a:off x="18750643" y="13335000"/>
          <a:ext cx="2626327" cy="20955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365720</xdr:colOff>
      <xdr:row>127</xdr:row>
      <xdr:rowOff>0</xdr:rowOff>
    </xdr:from>
    <xdr:to>
      <xdr:col>19</xdr:col>
      <xdr:colOff>8283</xdr:colOff>
      <xdr:row>132</xdr:row>
      <xdr:rowOff>12979</xdr:rowOff>
    </xdr:to>
    <xdr:cxnSp macro="">
      <xdr:nvCxnSpPr>
        <xdr:cNvPr id="15" name="Conector recto 14"/>
        <xdr:cNvCxnSpPr/>
      </xdr:nvCxnSpPr>
      <xdr:spPr>
        <a:xfrm flipH="1">
          <a:off x="18728263" y="13144500"/>
          <a:ext cx="2425520" cy="191797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378910</xdr:colOff>
      <xdr:row>126</xdr:row>
      <xdr:rowOff>198783</xdr:rowOff>
    </xdr:from>
    <xdr:to>
      <xdr:col>18</xdr:col>
      <xdr:colOff>256761</xdr:colOff>
      <xdr:row>131</xdr:row>
      <xdr:rowOff>4186</xdr:rowOff>
    </xdr:to>
    <xdr:cxnSp macro="">
      <xdr:nvCxnSpPr>
        <xdr:cNvPr id="17" name="Conector recto 16"/>
        <xdr:cNvCxnSpPr/>
      </xdr:nvCxnSpPr>
      <xdr:spPr>
        <a:xfrm flipH="1">
          <a:off x="18741453" y="12962283"/>
          <a:ext cx="2180417" cy="171040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379921</xdr:colOff>
      <xdr:row>126</xdr:row>
      <xdr:rowOff>0</xdr:rowOff>
    </xdr:from>
    <xdr:to>
      <xdr:col>18</xdr:col>
      <xdr:colOff>6804</xdr:colOff>
      <xdr:row>129</xdr:row>
      <xdr:rowOff>378617</xdr:rowOff>
    </xdr:to>
    <xdr:cxnSp macro="">
      <xdr:nvCxnSpPr>
        <xdr:cNvPr id="19" name="Conector recto 18"/>
        <xdr:cNvCxnSpPr/>
      </xdr:nvCxnSpPr>
      <xdr:spPr>
        <a:xfrm flipH="1">
          <a:off x="18746162" y="12763500"/>
          <a:ext cx="1912883" cy="152161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374666</xdr:colOff>
      <xdr:row>125</xdr:row>
      <xdr:rowOff>193902</xdr:rowOff>
    </xdr:from>
    <xdr:to>
      <xdr:col>17</xdr:col>
      <xdr:colOff>241527</xdr:colOff>
      <xdr:row>129</xdr:row>
      <xdr:rowOff>5500</xdr:rowOff>
    </xdr:to>
    <xdr:cxnSp macro="">
      <xdr:nvCxnSpPr>
        <xdr:cNvPr id="21" name="Conector recto 20"/>
        <xdr:cNvCxnSpPr/>
      </xdr:nvCxnSpPr>
      <xdr:spPr>
        <a:xfrm flipH="1">
          <a:off x="18740907" y="12576402"/>
          <a:ext cx="1676611" cy="133559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6805</xdr:colOff>
      <xdr:row>125</xdr:row>
      <xdr:rowOff>3402</xdr:rowOff>
    </xdr:from>
    <xdr:to>
      <xdr:col>17</xdr:col>
      <xdr:colOff>3402</xdr:colOff>
      <xdr:row>127</xdr:row>
      <xdr:rowOff>374196</xdr:rowOff>
    </xdr:to>
    <xdr:cxnSp macro="">
      <xdr:nvCxnSpPr>
        <xdr:cNvPr id="23" name="Conector recto 22"/>
        <xdr:cNvCxnSpPr/>
      </xdr:nvCxnSpPr>
      <xdr:spPr>
        <a:xfrm flipH="1">
          <a:off x="18754046" y="12385902"/>
          <a:ext cx="1425347" cy="113279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377294</xdr:colOff>
      <xdr:row>124</xdr:row>
      <xdr:rowOff>193902</xdr:rowOff>
    </xdr:from>
    <xdr:to>
      <xdr:col>16</xdr:col>
      <xdr:colOff>238125</xdr:colOff>
      <xdr:row>127</xdr:row>
      <xdr:rowOff>1559</xdr:rowOff>
    </xdr:to>
    <xdr:cxnSp macro="">
      <xdr:nvCxnSpPr>
        <xdr:cNvPr id="25" name="Conector recto 24"/>
        <xdr:cNvCxnSpPr/>
      </xdr:nvCxnSpPr>
      <xdr:spPr>
        <a:xfrm flipH="1">
          <a:off x="18743535" y="12195402"/>
          <a:ext cx="1194331" cy="95065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378607</xdr:colOff>
      <xdr:row>124</xdr:row>
      <xdr:rowOff>3402</xdr:rowOff>
    </xdr:from>
    <xdr:to>
      <xdr:col>16</xdr:col>
      <xdr:colOff>0</xdr:colOff>
      <xdr:row>125</xdr:row>
      <xdr:rowOff>377304</xdr:rowOff>
    </xdr:to>
    <xdr:cxnSp macro="">
      <xdr:nvCxnSpPr>
        <xdr:cNvPr id="27" name="Conector recto 26"/>
        <xdr:cNvCxnSpPr/>
      </xdr:nvCxnSpPr>
      <xdr:spPr>
        <a:xfrm flipH="1">
          <a:off x="18744848" y="12004902"/>
          <a:ext cx="954893" cy="75490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379921</xdr:colOff>
      <xdr:row>123</xdr:row>
      <xdr:rowOff>198783</xdr:rowOff>
    </xdr:from>
    <xdr:to>
      <xdr:col>15</xdr:col>
      <xdr:colOff>248478</xdr:colOff>
      <xdr:row>124</xdr:row>
      <xdr:rowOff>378618</xdr:rowOff>
    </xdr:to>
    <xdr:cxnSp macro="">
      <xdr:nvCxnSpPr>
        <xdr:cNvPr id="29" name="Conector recto 28"/>
        <xdr:cNvCxnSpPr/>
      </xdr:nvCxnSpPr>
      <xdr:spPr>
        <a:xfrm flipH="1">
          <a:off x="18742464" y="11819283"/>
          <a:ext cx="729949" cy="56083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236</xdr:colOff>
      <xdr:row>123</xdr:row>
      <xdr:rowOff>8283</xdr:rowOff>
    </xdr:from>
    <xdr:to>
      <xdr:col>15</xdr:col>
      <xdr:colOff>8282</xdr:colOff>
      <xdr:row>123</xdr:row>
      <xdr:rowOff>379932</xdr:rowOff>
    </xdr:to>
    <xdr:cxnSp macro="">
      <xdr:nvCxnSpPr>
        <xdr:cNvPr id="31" name="Conector recto 30"/>
        <xdr:cNvCxnSpPr/>
      </xdr:nvCxnSpPr>
      <xdr:spPr>
        <a:xfrm flipH="1">
          <a:off x="18743779" y="11628783"/>
          <a:ext cx="488438" cy="37164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6804</xdr:colOff>
      <xdr:row>122</xdr:row>
      <xdr:rowOff>190500</xdr:rowOff>
    </xdr:from>
    <xdr:to>
      <xdr:col>14</xdr:col>
      <xdr:colOff>248479</xdr:colOff>
      <xdr:row>123</xdr:row>
      <xdr:rowOff>3402</xdr:rowOff>
    </xdr:to>
    <xdr:cxnSp macro="">
      <xdr:nvCxnSpPr>
        <xdr:cNvPr id="34" name="Conector recto 33"/>
        <xdr:cNvCxnSpPr/>
      </xdr:nvCxnSpPr>
      <xdr:spPr>
        <a:xfrm flipH="1">
          <a:off x="18754045" y="11430000"/>
          <a:ext cx="241675" cy="19390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10886</xdr:colOff>
      <xdr:row>123</xdr:row>
      <xdr:rowOff>10886</xdr:rowOff>
    </xdr:from>
    <xdr:to>
      <xdr:col>20</xdr:col>
      <xdr:colOff>248479</xdr:colOff>
      <xdr:row>129</xdr:row>
      <xdr:rowOff>190500</xdr:rowOff>
    </xdr:to>
    <xdr:cxnSp macro="">
      <xdr:nvCxnSpPr>
        <xdr:cNvPr id="47" name="Conector recto 46"/>
        <xdr:cNvCxnSpPr/>
      </xdr:nvCxnSpPr>
      <xdr:spPr>
        <a:xfrm>
          <a:off x="18750643" y="11631386"/>
          <a:ext cx="3111422" cy="246561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10886</xdr:colOff>
      <xdr:row>124</xdr:row>
      <xdr:rowOff>5443</xdr:rowOff>
    </xdr:from>
    <xdr:to>
      <xdr:col>20</xdr:col>
      <xdr:colOff>8283</xdr:colOff>
      <xdr:row>130</xdr:row>
      <xdr:rowOff>8283</xdr:rowOff>
    </xdr:to>
    <xdr:cxnSp macro="">
      <xdr:nvCxnSpPr>
        <xdr:cNvPr id="48" name="Conector recto 47"/>
        <xdr:cNvCxnSpPr/>
      </xdr:nvCxnSpPr>
      <xdr:spPr>
        <a:xfrm>
          <a:off x="18750643" y="12006943"/>
          <a:ext cx="2871226" cy="228884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3402</xdr:colOff>
      <xdr:row>124</xdr:row>
      <xdr:rowOff>377598</xdr:rowOff>
    </xdr:from>
    <xdr:to>
      <xdr:col>19</xdr:col>
      <xdr:colOff>227920</xdr:colOff>
      <xdr:row>130</xdr:row>
      <xdr:rowOff>190500</xdr:rowOff>
    </xdr:to>
    <xdr:cxnSp macro="">
      <xdr:nvCxnSpPr>
        <xdr:cNvPr id="49" name="Conector recto 48"/>
        <xdr:cNvCxnSpPr/>
      </xdr:nvCxnSpPr>
      <xdr:spPr>
        <a:xfrm>
          <a:off x="18750643" y="12379098"/>
          <a:ext cx="2605768" cy="209890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11683</xdr:colOff>
      <xdr:row>125</xdr:row>
      <xdr:rowOff>378401</xdr:rowOff>
    </xdr:from>
    <xdr:to>
      <xdr:col>19</xdr:col>
      <xdr:colOff>0</xdr:colOff>
      <xdr:row>131</xdr:row>
      <xdr:rowOff>0</xdr:rowOff>
    </xdr:to>
    <xdr:cxnSp macro="">
      <xdr:nvCxnSpPr>
        <xdr:cNvPr id="53" name="Conector recto 52"/>
        <xdr:cNvCxnSpPr/>
      </xdr:nvCxnSpPr>
      <xdr:spPr>
        <a:xfrm>
          <a:off x="18758924" y="12760901"/>
          <a:ext cx="2369567" cy="190759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373633</xdr:colOff>
      <xdr:row>126</xdr:row>
      <xdr:rowOff>378401</xdr:rowOff>
    </xdr:from>
    <xdr:to>
      <xdr:col>18</xdr:col>
      <xdr:colOff>238125</xdr:colOff>
      <xdr:row>131</xdr:row>
      <xdr:rowOff>200025</xdr:rowOff>
    </xdr:to>
    <xdr:cxnSp macro="">
      <xdr:nvCxnSpPr>
        <xdr:cNvPr id="55" name="Conector recto 54"/>
        <xdr:cNvCxnSpPr/>
      </xdr:nvCxnSpPr>
      <xdr:spPr>
        <a:xfrm>
          <a:off x="18737833" y="13141901"/>
          <a:ext cx="2150492" cy="172662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2158</xdr:colOff>
      <xdr:row>127</xdr:row>
      <xdr:rowOff>378401</xdr:rowOff>
    </xdr:from>
    <xdr:to>
      <xdr:col>18</xdr:col>
      <xdr:colOff>3402</xdr:colOff>
      <xdr:row>131</xdr:row>
      <xdr:rowOff>377598</xdr:rowOff>
    </xdr:to>
    <xdr:cxnSp macro="">
      <xdr:nvCxnSpPr>
        <xdr:cNvPr id="57" name="Conector recto 56"/>
        <xdr:cNvCxnSpPr/>
      </xdr:nvCxnSpPr>
      <xdr:spPr>
        <a:xfrm>
          <a:off x="18744427" y="13522901"/>
          <a:ext cx="1906244" cy="152319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4646</xdr:colOff>
      <xdr:row>129</xdr:row>
      <xdr:rowOff>9293</xdr:rowOff>
    </xdr:from>
    <xdr:to>
      <xdr:col>17</xdr:col>
      <xdr:colOff>238125</xdr:colOff>
      <xdr:row>132</xdr:row>
      <xdr:rowOff>187098</xdr:rowOff>
    </xdr:to>
    <xdr:cxnSp macro="">
      <xdr:nvCxnSpPr>
        <xdr:cNvPr id="59" name="Conector recto 58"/>
        <xdr:cNvCxnSpPr/>
      </xdr:nvCxnSpPr>
      <xdr:spPr>
        <a:xfrm>
          <a:off x="18743341" y="13915793"/>
          <a:ext cx="1669199" cy="132080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2158</xdr:colOff>
      <xdr:row>129</xdr:row>
      <xdr:rowOff>378401</xdr:rowOff>
    </xdr:from>
    <xdr:to>
      <xdr:col>16</xdr:col>
      <xdr:colOff>466045</xdr:colOff>
      <xdr:row>133</xdr:row>
      <xdr:rowOff>3402</xdr:rowOff>
    </xdr:to>
    <xdr:cxnSp macro="">
      <xdr:nvCxnSpPr>
        <xdr:cNvPr id="61" name="Conector recto 60"/>
        <xdr:cNvCxnSpPr/>
      </xdr:nvCxnSpPr>
      <xdr:spPr>
        <a:xfrm>
          <a:off x="18749399" y="14284901"/>
          <a:ext cx="1416387" cy="11490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2158</xdr:colOff>
      <xdr:row>130</xdr:row>
      <xdr:rowOff>378401</xdr:rowOff>
    </xdr:from>
    <xdr:to>
      <xdr:col>16</xdr:col>
      <xdr:colOff>234723</xdr:colOff>
      <xdr:row>133</xdr:row>
      <xdr:rowOff>183696</xdr:rowOff>
    </xdr:to>
    <xdr:cxnSp macro="">
      <xdr:nvCxnSpPr>
        <xdr:cNvPr id="63" name="Conector recto 62"/>
        <xdr:cNvCxnSpPr/>
      </xdr:nvCxnSpPr>
      <xdr:spPr>
        <a:xfrm>
          <a:off x="18749399" y="14665901"/>
          <a:ext cx="1185065" cy="94829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11683</xdr:colOff>
      <xdr:row>132</xdr:row>
      <xdr:rowOff>6926</xdr:rowOff>
    </xdr:from>
    <xdr:to>
      <xdr:col>16</xdr:col>
      <xdr:colOff>9525</xdr:colOff>
      <xdr:row>134</xdr:row>
      <xdr:rowOff>0</xdr:rowOff>
    </xdr:to>
    <xdr:cxnSp macro="">
      <xdr:nvCxnSpPr>
        <xdr:cNvPr id="65" name="Conector recto 64"/>
        <xdr:cNvCxnSpPr/>
      </xdr:nvCxnSpPr>
      <xdr:spPr>
        <a:xfrm>
          <a:off x="18756883" y="15056426"/>
          <a:ext cx="950342" cy="7550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2158</xdr:colOff>
      <xdr:row>132</xdr:row>
      <xdr:rowOff>378401</xdr:rowOff>
    </xdr:from>
    <xdr:to>
      <xdr:col>15</xdr:col>
      <xdr:colOff>257175</xdr:colOff>
      <xdr:row>134</xdr:row>
      <xdr:rowOff>190500</xdr:rowOff>
    </xdr:to>
    <xdr:cxnSp macro="">
      <xdr:nvCxnSpPr>
        <xdr:cNvPr id="67" name="Conector recto 66"/>
        <xdr:cNvCxnSpPr/>
      </xdr:nvCxnSpPr>
      <xdr:spPr>
        <a:xfrm>
          <a:off x="18747358" y="15427901"/>
          <a:ext cx="731267" cy="57409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6804</xdr:colOff>
      <xdr:row>134</xdr:row>
      <xdr:rowOff>3402</xdr:rowOff>
    </xdr:from>
    <xdr:to>
      <xdr:col>15</xdr:col>
      <xdr:colOff>9525</xdr:colOff>
      <xdr:row>135</xdr:row>
      <xdr:rowOff>9525</xdr:rowOff>
    </xdr:to>
    <xdr:cxnSp macro="">
      <xdr:nvCxnSpPr>
        <xdr:cNvPr id="69" name="Conector recto 68"/>
        <xdr:cNvCxnSpPr/>
      </xdr:nvCxnSpPr>
      <xdr:spPr>
        <a:xfrm>
          <a:off x="18754045" y="15814902"/>
          <a:ext cx="478971" cy="38712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2158</xdr:colOff>
      <xdr:row>135</xdr:row>
      <xdr:rowOff>6926</xdr:rowOff>
    </xdr:from>
    <xdr:to>
      <xdr:col>14</xdr:col>
      <xdr:colOff>234723</xdr:colOff>
      <xdr:row>135</xdr:row>
      <xdr:rowOff>197304</xdr:rowOff>
    </xdr:to>
    <xdr:cxnSp macro="">
      <xdr:nvCxnSpPr>
        <xdr:cNvPr id="71" name="Conector recto 70"/>
        <xdr:cNvCxnSpPr/>
      </xdr:nvCxnSpPr>
      <xdr:spPr>
        <a:xfrm>
          <a:off x="18749399" y="16199426"/>
          <a:ext cx="232565" cy="1903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124811</xdr:colOff>
      <xdr:row>122</xdr:row>
      <xdr:rowOff>269328</xdr:rowOff>
    </xdr:from>
    <xdr:to>
      <xdr:col>14</xdr:col>
      <xdr:colOff>361293</xdr:colOff>
      <xdr:row>123</xdr:row>
      <xdr:rowOff>124811</xdr:rowOff>
    </xdr:to>
    <xdr:sp macro="" textlink="">
      <xdr:nvSpPr>
        <xdr:cNvPr id="98" name="CuadroTexto 97"/>
        <xdr:cNvSpPr txBox="1"/>
      </xdr:nvSpPr>
      <xdr:spPr>
        <a:xfrm>
          <a:off x="18866070" y="1150882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xdr:txBody>
    </xdr:sp>
    <xdr:clientData/>
  </xdr:twoCellAnchor>
  <xdr:twoCellAnchor>
    <xdr:from>
      <xdr:col>14</xdr:col>
      <xdr:colOff>126125</xdr:colOff>
      <xdr:row>123</xdr:row>
      <xdr:rowOff>250934</xdr:rowOff>
    </xdr:from>
    <xdr:to>
      <xdr:col>14</xdr:col>
      <xdr:colOff>362607</xdr:colOff>
      <xdr:row>124</xdr:row>
      <xdr:rowOff>106417</xdr:rowOff>
    </xdr:to>
    <xdr:sp macro="" textlink="">
      <xdr:nvSpPr>
        <xdr:cNvPr id="99" name="CuadroTexto 98"/>
        <xdr:cNvSpPr txBox="1"/>
      </xdr:nvSpPr>
      <xdr:spPr>
        <a:xfrm>
          <a:off x="18867384" y="11871434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xdr:txBody>
    </xdr:sp>
    <xdr:clientData/>
  </xdr:twoCellAnchor>
  <xdr:twoCellAnchor>
    <xdr:from>
      <xdr:col>14</xdr:col>
      <xdr:colOff>363922</xdr:colOff>
      <xdr:row>124</xdr:row>
      <xdr:rowOff>68316</xdr:rowOff>
    </xdr:from>
    <xdr:to>
      <xdr:col>15</xdr:col>
      <xdr:colOff>120870</xdr:colOff>
      <xdr:row>124</xdr:row>
      <xdr:rowOff>304799</xdr:rowOff>
    </xdr:to>
    <xdr:sp macro="" textlink="">
      <xdr:nvSpPr>
        <xdr:cNvPr id="100" name="CuadroTexto 99"/>
        <xdr:cNvSpPr txBox="1"/>
      </xdr:nvSpPr>
      <xdr:spPr>
        <a:xfrm>
          <a:off x="19105181" y="12069816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xdr:txBody>
    </xdr:sp>
    <xdr:clientData/>
  </xdr:twoCellAnchor>
  <xdr:twoCellAnchor>
    <xdr:from>
      <xdr:col>15</xdr:col>
      <xdr:colOff>122185</xdr:colOff>
      <xdr:row>124</xdr:row>
      <xdr:rowOff>266698</xdr:rowOff>
    </xdr:from>
    <xdr:to>
      <xdr:col>15</xdr:col>
      <xdr:colOff>358667</xdr:colOff>
      <xdr:row>125</xdr:row>
      <xdr:rowOff>122181</xdr:rowOff>
    </xdr:to>
    <xdr:sp macro="" textlink="">
      <xdr:nvSpPr>
        <xdr:cNvPr id="101" name="CuadroTexto 100"/>
        <xdr:cNvSpPr txBox="1"/>
      </xdr:nvSpPr>
      <xdr:spPr>
        <a:xfrm>
          <a:off x="19342978" y="1226819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xdr:txBody>
    </xdr:sp>
    <xdr:clientData/>
  </xdr:twoCellAnchor>
  <xdr:twoCellAnchor>
    <xdr:from>
      <xdr:col>15</xdr:col>
      <xdr:colOff>359981</xdr:colOff>
      <xdr:row>125</xdr:row>
      <xdr:rowOff>70942</xdr:rowOff>
    </xdr:from>
    <xdr:to>
      <xdr:col>16</xdr:col>
      <xdr:colOff>116928</xdr:colOff>
      <xdr:row>125</xdr:row>
      <xdr:rowOff>307425</xdr:rowOff>
    </xdr:to>
    <xdr:sp macro="" textlink="">
      <xdr:nvSpPr>
        <xdr:cNvPr id="102" name="CuadroTexto 101"/>
        <xdr:cNvSpPr txBox="1"/>
      </xdr:nvSpPr>
      <xdr:spPr>
        <a:xfrm>
          <a:off x="19580774" y="1245344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xdr:txBody>
    </xdr:sp>
    <xdr:clientData/>
  </xdr:twoCellAnchor>
  <xdr:twoCellAnchor>
    <xdr:from>
      <xdr:col>15</xdr:col>
      <xdr:colOff>361295</xdr:colOff>
      <xdr:row>126</xdr:row>
      <xdr:rowOff>72255</xdr:rowOff>
    </xdr:from>
    <xdr:to>
      <xdr:col>16</xdr:col>
      <xdr:colOff>118242</xdr:colOff>
      <xdr:row>126</xdr:row>
      <xdr:rowOff>308738</xdr:rowOff>
    </xdr:to>
    <xdr:sp macro="" textlink="">
      <xdr:nvSpPr>
        <xdr:cNvPr id="103" name="CuadroTexto 102"/>
        <xdr:cNvSpPr txBox="1"/>
      </xdr:nvSpPr>
      <xdr:spPr>
        <a:xfrm>
          <a:off x="19582088" y="12835755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>
    <xdr:from>
      <xdr:col>16</xdr:col>
      <xdr:colOff>112987</xdr:colOff>
      <xdr:row>126</xdr:row>
      <xdr:rowOff>264068</xdr:rowOff>
    </xdr:from>
    <xdr:to>
      <xdr:col>16</xdr:col>
      <xdr:colOff>349469</xdr:colOff>
      <xdr:row>127</xdr:row>
      <xdr:rowOff>119551</xdr:rowOff>
    </xdr:to>
    <xdr:sp macro="" textlink="">
      <xdr:nvSpPr>
        <xdr:cNvPr id="104" name="CuadroTexto 103"/>
        <xdr:cNvSpPr txBox="1"/>
      </xdr:nvSpPr>
      <xdr:spPr>
        <a:xfrm>
          <a:off x="19813315" y="1302756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>
    <xdr:from>
      <xdr:col>15</xdr:col>
      <xdr:colOff>114302</xdr:colOff>
      <xdr:row>126</xdr:row>
      <xdr:rowOff>258812</xdr:rowOff>
    </xdr:from>
    <xdr:to>
      <xdr:col>15</xdr:col>
      <xdr:colOff>350784</xdr:colOff>
      <xdr:row>127</xdr:row>
      <xdr:rowOff>114295</xdr:rowOff>
    </xdr:to>
    <xdr:sp macro="" textlink="">
      <xdr:nvSpPr>
        <xdr:cNvPr id="105" name="CuadroTexto 104"/>
        <xdr:cNvSpPr txBox="1"/>
      </xdr:nvSpPr>
      <xdr:spPr>
        <a:xfrm>
          <a:off x="19335095" y="1302231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>
    <xdr:from>
      <xdr:col>15</xdr:col>
      <xdr:colOff>358667</xdr:colOff>
      <xdr:row>127</xdr:row>
      <xdr:rowOff>76194</xdr:rowOff>
    </xdr:from>
    <xdr:to>
      <xdr:col>16</xdr:col>
      <xdr:colOff>115614</xdr:colOff>
      <xdr:row>127</xdr:row>
      <xdr:rowOff>312677</xdr:rowOff>
    </xdr:to>
    <xdr:sp macro="" textlink="">
      <xdr:nvSpPr>
        <xdr:cNvPr id="106" name="CuadroTexto 105"/>
        <xdr:cNvSpPr txBox="1"/>
      </xdr:nvSpPr>
      <xdr:spPr>
        <a:xfrm>
          <a:off x="19579460" y="13220694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>
    <xdr:from>
      <xdr:col>14</xdr:col>
      <xdr:colOff>353412</xdr:colOff>
      <xdr:row>127</xdr:row>
      <xdr:rowOff>70938</xdr:rowOff>
    </xdr:from>
    <xdr:to>
      <xdr:col>15</xdr:col>
      <xdr:colOff>110360</xdr:colOff>
      <xdr:row>127</xdr:row>
      <xdr:rowOff>307421</xdr:rowOff>
    </xdr:to>
    <xdr:sp macro="" textlink="">
      <xdr:nvSpPr>
        <xdr:cNvPr id="107" name="CuadroTexto 106"/>
        <xdr:cNvSpPr txBox="1"/>
      </xdr:nvSpPr>
      <xdr:spPr>
        <a:xfrm>
          <a:off x="19094671" y="1321543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>
    <xdr:from>
      <xdr:col>15</xdr:col>
      <xdr:colOff>111675</xdr:colOff>
      <xdr:row>127</xdr:row>
      <xdr:rowOff>275889</xdr:rowOff>
    </xdr:from>
    <xdr:to>
      <xdr:col>15</xdr:col>
      <xdr:colOff>348157</xdr:colOff>
      <xdr:row>128</xdr:row>
      <xdr:rowOff>131372</xdr:rowOff>
    </xdr:to>
    <xdr:sp macro="" textlink="">
      <xdr:nvSpPr>
        <xdr:cNvPr id="108" name="CuadroTexto 107"/>
        <xdr:cNvSpPr txBox="1"/>
      </xdr:nvSpPr>
      <xdr:spPr>
        <a:xfrm>
          <a:off x="19332468" y="13420389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>
    <xdr:from>
      <xdr:col>14</xdr:col>
      <xdr:colOff>106419</xdr:colOff>
      <xdr:row>127</xdr:row>
      <xdr:rowOff>270633</xdr:rowOff>
    </xdr:from>
    <xdr:to>
      <xdr:col>14</xdr:col>
      <xdr:colOff>342901</xdr:colOff>
      <xdr:row>128</xdr:row>
      <xdr:rowOff>126116</xdr:rowOff>
    </xdr:to>
    <xdr:sp macro="" textlink="">
      <xdr:nvSpPr>
        <xdr:cNvPr id="109" name="CuadroTexto 108"/>
        <xdr:cNvSpPr txBox="1"/>
      </xdr:nvSpPr>
      <xdr:spPr>
        <a:xfrm>
          <a:off x="18847678" y="13415133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>
    <xdr:from>
      <xdr:col>14</xdr:col>
      <xdr:colOff>357354</xdr:colOff>
      <xdr:row>128</xdr:row>
      <xdr:rowOff>74877</xdr:rowOff>
    </xdr:from>
    <xdr:to>
      <xdr:col>15</xdr:col>
      <xdr:colOff>114302</xdr:colOff>
      <xdr:row>128</xdr:row>
      <xdr:rowOff>311360</xdr:rowOff>
    </xdr:to>
    <xdr:sp macro="" textlink="">
      <xdr:nvSpPr>
        <xdr:cNvPr id="110" name="CuadroTexto 109"/>
        <xdr:cNvSpPr txBox="1"/>
      </xdr:nvSpPr>
      <xdr:spPr>
        <a:xfrm>
          <a:off x="19098613" y="1360037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>
    <xdr:from>
      <xdr:col>14</xdr:col>
      <xdr:colOff>365237</xdr:colOff>
      <xdr:row>129</xdr:row>
      <xdr:rowOff>82760</xdr:rowOff>
    </xdr:from>
    <xdr:to>
      <xdr:col>15</xdr:col>
      <xdr:colOff>122185</xdr:colOff>
      <xdr:row>129</xdr:row>
      <xdr:rowOff>319243</xdr:rowOff>
    </xdr:to>
    <xdr:sp macro="" textlink="">
      <xdr:nvSpPr>
        <xdr:cNvPr id="111" name="CuadroTexto 110"/>
        <xdr:cNvSpPr txBox="1"/>
      </xdr:nvSpPr>
      <xdr:spPr>
        <a:xfrm>
          <a:off x="19106496" y="13989260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>
    <xdr:from>
      <xdr:col>16</xdr:col>
      <xdr:colOff>353161</xdr:colOff>
      <xdr:row>126</xdr:row>
      <xdr:rowOff>73968</xdr:rowOff>
    </xdr:from>
    <xdr:to>
      <xdr:col>17</xdr:col>
      <xdr:colOff>113393</xdr:colOff>
      <xdr:row>126</xdr:row>
      <xdr:rowOff>310451</xdr:rowOff>
    </xdr:to>
    <xdr:sp macro="" textlink="">
      <xdr:nvSpPr>
        <xdr:cNvPr id="113" name="CuadroTexto 112"/>
        <xdr:cNvSpPr txBox="1"/>
      </xdr:nvSpPr>
      <xdr:spPr>
        <a:xfrm>
          <a:off x="20047930" y="1283746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14</xdr:col>
      <xdr:colOff>117234</xdr:colOff>
      <xdr:row>128</xdr:row>
      <xdr:rowOff>248349</xdr:rowOff>
    </xdr:from>
    <xdr:to>
      <xdr:col>14</xdr:col>
      <xdr:colOff>353716</xdr:colOff>
      <xdr:row>129</xdr:row>
      <xdr:rowOff>103832</xdr:rowOff>
    </xdr:to>
    <xdr:sp macro="" textlink="">
      <xdr:nvSpPr>
        <xdr:cNvPr id="115" name="CuadroTexto 114"/>
        <xdr:cNvSpPr txBox="1"/>
      </xdr:nvSpPr>
      <xdr:spPr>
        <a:xfrm>
          <a:off x="18859503" y="13773849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17</xdr:col>
      <xdr:colOff>357557</xdr:colOff>
      <xdr:row>126</xdr:row>
      <xdr:rowOff>71038</xdr:rowOff>
    </xdr:from>
    <xdr:to>
      <xdr:col>18</xdr:col>
      <xdr:colOff>117789</xdr:colOff>
      <xdr:row>126</xdr:row>
      <xdr:rowOff>307521</xdr:rowOff>
    </xdr:to>
    <xdr:sp macro="" textlink="">
      <xdr:nvSpPr>
        <xdr:cNvPr id="116" name="CuadroTexto 115"/>
        <xdr:cNvSpPr txBox="1"/>
      </xdr:nvSpPr>
      <xdr:spPr>
        <a:xfrm>
          <a:off x="20528576" y="1283453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14</xdr:col>
      <xdr:colOff>99649</xdr:colOff>
      <xdr:row>129</xdr:row>
      <xdr:rowOff>274727</xdr:rowOff>
    </xdr:from>
    <xdr:to>
      <xdr:col>14</xdr:col>
      <xdr:colOff>336131</xdr:colOff>
      <xdr:row>130</xdr:row>
      <xdr:rowOff>130210</xdr:rowOff>
    </xdr:to>
    <xdr:sp macro="" textlink="">
      <xdr:nvSpPr>
        <xdr:cNvPr id="117" name="CuadroTexto 116"/>
        <xdr:cNvSpPr txBox="1"/>
      </xdr:nvSpPr>
      <xdr:spPr>
        <a:xfrm>
          <a:off x="18841918" y="1418122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17</xdr:col>
      <xdr:colOff>361953</xdr:colOff>
      <xdr:row>127</xdr:row>
      <xdr:rowOff>68108</xdr:rowOff>
    </xdr:from>
    <xdr:to>
      <xdr:col>18</xdr:col>
      <xdr:colOff>122185</xdr:colOff>
      <xdr:row>127</xdr:row>
      <xdr:rowOff>304591</xdr:rowOff>
    </xdr:to>
    <xdr:sp macro="" textlink="">
      <xdr:nvSpPr>
        <xdr:cNvPr id="118" name="CuadroTexto 117"/>
        <xdr:cNvSpPr txBox="1"/>
      </xdr:nvSpPr>
      <xdr:spPr>
        <a:xfrm>
          <a:off x="20532972" y="1321260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17</xdr:col>
      <xdr:colOff>118699</xdr:colOff>
      <xdr:row>127</xdr:row>
      <xdr:rowOff>271797</xdr:rowOff>
    </xdr:from>
    <xdr:to>
      <xdr:col>17</xdr:col>
      <xdr:colOff>355181</xdr:colOff>
      <xdr:row>128</xdr:row>
      <xdr:rowOff>127280</xdr:rowOff>
    </xdr:to>
    <xdr:sp macro="" textlink="">
      <xdr:nvSpPr>
        <xdr:cNvPr id="119" name="CuadroTexto 118"/>
        <xdr:cNvSpPr txBox="1"/>
      </xdr:nvSpPr>
      <xdr:spPr>
        <a:xfrm>
          <a:off x="20289718" y="1341629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16</xdr:col>
      <xdr:colOff>359022</xdr:colOff>
      <xdr:row>128</xdr:row>
      <xdr:rowOff>72505</xdr:rowOff>
    </xdr:from>
    <xdr:to>
      <xdr:col>17</xdr:col>
      <xdr:colOff>119254</xdr:colOff>
      <xdr:row>128</xdr:row>
      <xdr:rowOff>308988</xdr:rowOff>
    </xdr:to>
    <xdr:sp macro="" textlink="">
      <xdr:nvSpPr>
        <xdr:cNvPr id="120" name="CuadroTexto 119"/>
        <xdr:cNvSpPr txBox="1"/>
      </xdr:nvSpPr>
      <xdr:spPr>
        <a:xfrm>
          <a:off x="20053791" y="13598005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16</xdr:col>
      <xdr:colOff>115768</xdr:colOff>
      <xdr:row>128</xdr:row>
      <xdr:rowOff>261540</xdr:rowOff>
    </xdr:from>
    <xdr:to>
      <xdr:col>16</xdr:col>
      <xdr:colOff>352250</xdr:colOff>
      <xdr:row>129</xdr:row>
      <xdr:rowOff>117023</xdr:rowOff>
    </xdr:to>
    <xdr:sp macro="" textlink="">
      <xdr:nvSpPr>
        <xdr:cNvPr id="121" name="CuadroTexto 120"/>
        <xdr:cNvSpPr txBox="1"/>
      </xdr:nvSpPr>
      <xdr:spPr>
        <a:xfrm>
          <a:off x="19810537" y="13787040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15</xdr:col>
      <xdr:colOff>356091</xdr:colOff>
      <xdr:row>129</xdr:row>
      <xdr:rowOff>84229</xdr:rowOff>
    </xdr:from>
    <xdr:to>
      <xdr:col>16</xdr:col>
      <xdr:colOff>116323</xdr:colOff>
      <xdr:row>129</xdr:row>
      <xdr:rowOff>320712</xdr:rowOff>
    </xdr:to>
    <xdr:sp macro="" textlink="">
      <xdr:nvSpPr>
        <xdr:cNvPr id="122" name="CuadroTexto 121"/>
        <xdr:cNvSpPr txBox="1"/>
      </xdr:nvSpPr>
      <xdr:spPr>
        <a:xfrm>
          <a:off x="19574610" y="13990729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15</xdr:col>
      <xdr:colOff>127491</xdr:colOff>
      <xdr:row>129</xdr:row>
      <xdr:rowOff>265937</xdr:rowOff>
    </xdr:from>
    <xdr:to>
      <xdr:col>15</xdr:col>
      <xdr:colOff>363973</xdr:colOff>
      <xdr:row>130</xdr:row>
      <xdr:rowOff>121420</xdr:rowOff>
    </xdr:to>
    <xdr:sp macro="" textlink="">
      <xdr:nvSpPr>
        <xdr:cNvPr id="123" name="CuadroTexto 122"/>
        <xdr:cNvSpPr txBox="1"/>
      </xdr:nvSpPr>
      <xdr:spPr>
        <a:xfrm>
          <a:off x="19346010" y="1417243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14</xdr:col>
      <xdr:colOff>360488</xdr:colOff>
      <xdr:row>130</xdr:row>
      <xdr:rowOff>73972</xdr:rowOff>
    </xdr:from>
    <xdr:to>
      <xdr:col>15</xdr:col>
      <xdr:colOff>120720</xdr:colOff>
      <xdr:row>130</xdr:row>
      <xdr:rowOff>310455</xdr:rowOff>
    </xdr:to>
    <xdr:sp macro="" textlink="">
      <xdr:nvSpPr>
        <xdr:cNvPr id="124" name="CuadroTexto 123"/>
        <xdr:cNvSpPr txBox="1"/>
      </xdr:nvSpPr>
      <xdr:spPr>
        <a:xfrm>
          <a:off x="19102757" y="1436147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14</xdr:col>
      <xdr:colOff>124561</xdr:colOff>
      <xdr:row>130</xdr:row>
      <xdr:rowOff>248353</xdr:rowOff>
    </xdr:from>
    <xdr:to>
      <xdr:col>14</xdr:col>
      <xdr:colOff>361043</xdr:colOff>
      <xdr:row>131</xdr:row>
      <xdr:rowOff>103836</xdr:rowOff>
    </xdr:to>
    <xdr:sp macro="" textlink="">
      <xdr:nvSpPr>
        <xdr:cNvPr id="125" name="CuadroTexto 124"/>
        <xdr:cNvSpPr txBox="1"/>
      </xdr:nvSpPr>
      <xdr:spPr>
        <a:xfrm>
          <a:off x="18866830" y="14535853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14</xdr:col>
      <xdr:colOff>130423</xdr:colOff>
      <xdr:row>132</xdr:row>
      <xdr:rowOff>261542</xdr:rowOff>
    </xdr:from>
    <xdr:to>
      <xdr:col>14</xdr:col>
      <xdr:colOff>366905</xdr:colOff>
      <xdr:row>133</xdr:row>
      <xdr:rowOff>117025</xdr:rowOff>
    </xdr:to>
    <xdr:sp macro="" textlink="">
      <xdr:nvSpPr>
        <xdr:cNvPr id="126" name="CuadroTexto 125"/>
        <xdr:cNvSpPr txBox="1"/>
      </xdr:nvSpPr>
      <xdr:spPr>
        <a:xfrm>
          <a:off x="18872692" y="1531104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20</xdr:col>
      <xdr:colOff>136285</xdr:colOff>
      <xdr:row>128</xdr:row>
      <xdr:rowOff>260077</xdr:rowOff>
    </xdr:from>
    <xdr:to>
      <xdr:col>20</xdr:col>
      <xdr:colOff>372767</xdr:colOff>
      <xdr:row>129</xdr:row>
      <xdr:rowOff>115560</xdr:rowOff>
    </xdr:to>
    <xdr:sp macro="" textlink="">
      <xdr:nvSpPr>
        <xdr:cNvPr id="127" name="CuadroTexto 126"/>
        <xdr:cNvSpPr txBox="1"/>
      </xdr:nvSpPr>
      <xdr:spPr>
        <a:xfrm>
          <a:off x="21736054" y="1378557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I</a:t>
          </a:r>
        </a:p>
      </xdr:txBody>
    </xdr:sp>
    <xdr:clientData/>
  </xdr:twoCellAnchor>
  <xdr:twoCellAnchor>
    <xdr:from>
      <xdr:col>14</xdr:col>
      <xdr:colOff>120166</xdr:colOff>
      <xdr:row>124</xdr:row>
      <xdr:rowOff>258611</xdr:rowOff>
    </xdr:from>
    <xdr:to>
      <xdr:col>14</xdr:col>
      <xdr:colOff>356648</xdr:colOff>
      <xdr:row>125</xdr:row>
      <xdr:rowOff>114094</xdr:rowOff>
    </xdr:to>
    <xdr:sp macro="" textlink="">
      <xdr:nvSpPr>
        <xdr:cNvPr id="128" name="CuadroTexto 127"/>
        <xdr:cNvSpPr txBox="1"/>
      </xdr:nvSpPr>
      <xdr:spPr>
        <a:xfrm>
          <a:off x="18862435" y="12260111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14</xdr:col>
      <xdr:colOff>331182</xdr:colOff>
      <xdr:row>125</xdr:row>
      <xdr:rowOff>73973</xdr:rowOff>
    </xdr:from>
    <xdr:to>
      <xdr:col>15</xdr:col>
      <xdr:colOff>91414</xdr:colOff>
      <xdr:row>125</xdr:row>
      <xdr:rowOff>310456</xdr:rowOff>
    </xdr:to>
    <xdr:sp macro="" textlink="">
      <xdr:nvSpPr>
        <xdr:cNvPr id="129" name="CuadroTexto 128"/>
        <xdr:cNvSpPr txBox="1"/>
      </xdr:nvSpPr>
      <xdr:spPr>
        <a:xfrm>
          <a:off x="19073451" y="12456473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15</xdr:col>
      <xdr:colOff>109908</xdr:colOff>
      <xdr:row>125</xdr:row>
      <xdr:rowOff>241026</xdr:rowOff>
    </xdr:from>
    <xdr:to>
      <xdr:col>15</xdr:col>
      <xdr:colOff>346390</xdr:colOff>
      <xdr:row>126</xdr:row>
      <xdr:rowOff>96509</xdr:rowOff>
    </xdr:to>
    <xdr:sp macro="" textlink="">
      <xdr:nvSpPr>
        <xdr:cNvPr id="130" name="CuadroTexto 129"/>
        <xdr:cNvSpPr txBox="1"/>
      </xdr:nvSpPr>
      <xdr:spPr>
        <a:xfrm>
          <a:off x="19328427" y="12623526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14</xdr:col>
      <xdr:colOff>124563</xdr:colOff>
      <xdr:row>125</xdr:row>
      <xdr:rowOff>255681</xdr:rowOff>
    </xdr:from>
    <xdr:to>
      <xdr:col>14</xdr:col>
      <xdr:colOff>361045</xdr:colOff>
      <xdr:row>126</xdr:row>
      <xdr:rowOff>111164</xdr:rowOff>
    </xdr:to>
    <xdr:sp macro="" textlink="">
      <xdr:nvSpPr>
        <xdr:cNvPr id="131" name="CuadroTexto 130"/>
        <xdr:cNvSpPr txBox="1"/>
      </xdr:nvSpPr>
      <xdr:spPr>
        <a:xfrm>
          <a:off x="18866832" y="12638181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14</xdr:col>
      <xdr:colOff>357560</xdr:colOff>
      <xdr:row>126</xdr:row>
      <xdr:rowOff>71043</xdr:rowOff>
    </xdr:from>
    <xdr:to>
      <xdr:col>15</xdr:col>
      <xdr:colOff>117792</xdr:colOff>
      <xdr:row>126</xdr:row>
      <xdr:rowOff>307526</xdr:rowOff>
    </xdr:to>
    <xdr:sp macro="" textlink="">
      <xdr:nvSpPr>
        <xdr:cNvPr id="132" name="CuadroTexto 131"/>
        <xdr:cNvSpPr txBox="1"/>
      </xdr:nvSpPr>
      <xdr:spPr>
        <a:xfrm>
          <a:off x="19099829" y="12834543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14</xdr:col>
      <xdr:colOff>128960</xdr:colOff>
      <xdr:row>126</xdr:row>
      <xdr:rowOff>252751</xdr:rowOff>
    </xdr:from>
    <xdr:to>
      <xdr:col>14</xdr:col>
      <xdr:colOff>365442</xdr:colOff>
      <xdr:row>127</xdr:row>
      <xdr:rowOff>108234</xdr:rowOff>
    </xdr:to>
    <xdr:sp macro="" textlink="">
      <xdr:nvSpPr>
        <xdr:cNvPr id="133" name="CuadroTexto 132"/>
        <xdr:cNvSpPr txBox="1"/>
      </xdr:nvSpPr>
      <xdr:spPr>
        <a:xfrm>
          <a:off x="18871229" y="13016251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17</xdr:col>
      <xdr:colOff>112841</xdr:colOff>
      <xdr:row>125</xdr:row>
      <xdr:rowOff>265940</xdr:rowOff>
    </xdr:from>
    <xdr:to>
      <xdr:col>17</xdr:col>
      <xdr:colOff>349323</xdr:colOff>
      <xdr:row>126</xdr:row>
      <xdr:rowOff>121423</xdr:rowOff>
    </xdr:to>
    <xdr:sp macro="" textlink="">
      <xdr:nvSpPr>
        <xdr:cNvPr id="134" name="CuadroTexto 133"/>
        <xdr:cNvSpPr txBox="1"/>
      </xdr:nvSpPr>
      <xdr:spPr>
        <a:xfrm>
          <a:off x="20283860" y="12648440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18</xdr:col>
      <xdr:colOff>126029</xdr:colOff>
      <xdr:row>126</xdr:row>
      <xdr:rowOff>249821</xdr:rowOff>
    </xdr:from>
    <xdr:to>
      <xdr:col>18</xdr:col>
      <xdr:colOff>362511</xdr:colOff>
      <xdr:row>127</xdr:row>
      <xdr:rowOff>105304</xdr:rowOff>
    </xdr:to>
    <xdr:sp macro="" textlink="">
      <xdr:nvSpPr>
        <xdr:cNvPr id="135" name="CuadroTexto 134"/>
        <xdr:cNvSpPr txBox="1"/>
      </xdr:nvSpPr>
      <xdr:spPr>
        <a:xfrm>
          <a:off x="20773298" y="13013321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14</xdr:col>
      <xdr:colOff>344372</xdr:colOff>
      <xdr:row>131</xdr:row>
      <xdr:rowOff>79837</xdr:rowOff>
    </xdr:from>
    <xdr:to>
      <xdr:col>15</xdr:col>
      <xdr:colOff>104604</xdr:colOff>
      <xdr:row>131</xdr:row>
      <xdr:rowOff>316320</xdr:rowOff>
    </xdr:to>
    <xdr:sp macro="" textlink="">
      <xdr:nvSpPr>
        <xdr:cNvPr id="136" name="CuadroTexto 135"/>
        <xdr:cNvSpPr txBox="1"/>
      </xdr:nvSpPr>
      <xdr:spPr>
        <a:xfrm>
          <a:off x="19086641" y="1474833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15</xdr:col>
      <xdr:colOff>115772</xdr:colOff>
      <xdr:row>130</xdr:row>
      <xdr:rowOff>254218</xdr:rowOff>
    </xdr:from>
    <xdr:to>
      <xdr:col>15</xdr:col>
      <xdr:colOff>352254</xdr:colOff>
      <xdr:row>131</xdr:row>
      <xdr:rowOff>109701</xdr:rowOff>
    </xdr:to>
    <xdr:sp macro="" textlink="">
      <xdr:nvSpPr>
        <xdr:cNvPr id="137" name="CuadroTexto 136"/>
        <xdr:cNvSpPr txBox="1"/>
      </xdr:nvSpPr>
      <xdr:spPr>
        <a:xfrm>
          <a:off x="19334291" y="1454171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15</xdr:col>
      <xdr:colOff>356095</xdr:colOff>
      <xdr:row>130</xdr:row>
      <xdr:rowOff>84234</xdr:rowOff>
    </xdr:from>
    <xdr:to>
      <xdr:col>16</xdr:col>
      <xdr:colOff>116327</xdr:colOff>
      <xdr:row>130</xdr:row>
      <xdr:rowOff>320717</xdr:rowOff>
    </xdr:to>
    <xdr:sp macro="" textlink="">
      <xdr:nvSpPr>
        <xdr:cNvPr id="138" name="CuadroTexto 137"/>
        <xdr:cNvSpPr txBox="1"/>
      </xdr:nvSpPr>
      <xdr:spPr>
        <a:xfrm>
          <a:off x="19574614" y="14371734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18</xdr:col>
      <xdr:colOff>112841</xdr:colOff>
      <xdr:row>127</xdr:row>
      <xdr:rowOff>265942</xdr:rowOff>
    </xdr:from>
    <xdr:to>
      <xdr:col>18</xdr:col>
      <xdr:colOff>349323</xdr:colOff>
      <xdr:row>128</xdr:row>
      <xdr:rowOff>121425</xdr:rowOff>
    </xdr:to>
    <xdr:sp macro="" textlink="">
      <xdr:nvSpPr>
        <xdr:cNvPr id="139" name="CuadroTexto 138"/>
        <xdr:cNvSpPr txBox="1"/>
      </xdr:nvSpPr>
      <xdr:spPr>
        <a:xfrm>
          <a:off x="20760110" y="1341044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16</xdr:col>
      <xdr:colOff>111376</xdr:colOff>
      <xdr:row>131</xdr:row>
      <xdr:rowOff>264477</xdr:rowOff>
    </xdr:from>
    <xdr:to>
      <xdr:col>16</xdr:col>
      <xdr:colOff>347858</xdr:colOff>
      <xdr:row>132</xdr:row>
      <xdr:rowOff>119960</xdr:rowOff>
    </xdr:to>
    <xdr:sp macro="" textlink="">
      <xdr:nvSpPr>
        <xdr:cNvPr id="140" name="CuadroTexto 139"/>
        <xdr:cNvSpPr txBox="1"/>
      </xdr:nvSpPr>
      <xdr:spPr>
        <a:xfrm>
          <a:off x="19806145" y="1493297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15</xdr:col>
      <xdr:colOff>351699</xdr:colOff>
      <xdr:row>132</xdr:row>
      <xdr:rowOff>65185</xdr:rowOff>
    </xdr:from>
    <xdr:to>
      <xdr:col>16</xdr:col>
      <xdr:colOff>111931</xdr:colOff>
      <xdr:row>132</xdr:row>
      <xdr:rowOff>301668</xdr:rowOff>
    </xdr:to>
    <xdr:sp macro="" textlink="">
      <xdr:nvSpPr>
        <xdr:cNvPr id="141" name="CuadroTexto 140"/>
        <xdr:cNvSpPr txBox="1"/>
      </xdr:nvSpPr>
      <xdr:spPr>
        <a:xfrm>
          <a:off x="19570218" y="15114685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15</xdr:col>
      <xdr:colOff>115772</xdr:colOff>
      <xdr:row>132</xdr:row>
      <xdr:rowOff>246893</xdr:rowOff>
    </xdr:from>
    <xdr:to>
      <xdr:col>15</xdr:col>
      <xdr:colOff>352254</xdr:colOff>
      <xdr:row>133</xdr:row>
      <xdr:rowOff>102376</xdr:rowOff>
    </xdr:to>
    <xdr:sp macro="" textlink="">
      <xdr:nvSpPr>
        <xdr:cNvPr id="142" name="CuadroTexto 141"/>
        <xdr:cNvSpPr txBox="1"/>
      </xdr:nvSpPr>
      <xdr:spPr>
        <a:xfrm>
          <a:off x="19334291" y="15296393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14</xdr:col>
      <xdr:colOff>356095</xdr:colOff>
      <xdr:row>133</xdr:row>
      <xdr:rowOff>69582</xdr:rowOff>
    </xdr:from>
    <xdr:to>
      <xdr:col>15</xdr:col>
      <xdr:colOff>116327</xdr:colOff>
      <xdr:row>133</xdr:row>
      <xdr:rowOff>306065</xdr:rowOff>
    </xdr:to>
    <xdr:sp macro="" textlink="">
      <xdr:nvSpPr>
        <xdr:cNvPr id="143" name="CuadroTexto 142"/>
        <xdr:cNvSpPr txBox="1"/>
      </xdr:nvSpPr>
      <xdr:spPr>
        <a:xfrm>
          <a:off x="19098364" y="1550008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14</xdr:col>
      <xdr:colOff>112841</xdr:colOff>
      <xdr:row>133</xdr:row>
      <xdr:rowOff>273271</xdr:rowOff>
    </xdr:from>
    <xdr:to>
      <xdr:col>14</xdr:col>
      <xdr:colOff>349323</xdr:colOff>
      <xdr:row>134</xdr:row>
      <xdr:rowOff>128754</xdr:rowOff>
    </xdr:to>
    <xdr:sp macro="" textlink="">
      <xdr:nvSpPr>
        <xdr:cNvPr id="144" name="CuadroTexto 143"/>
        <xdr:cNvSpPr txBox="1"/>
      </xdr:nvSpPr>
      <xdr:spPr>
        <a:xfrm>
          <a:off x="18855110" y="15703771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19</xdr:col>
      <xdr:colOff>351693</xdr:colOff>
      <xdr:row>128</xdr:row>
      <xdr:rowOff>73270</xdr:rowOff>
    </xdr:from>
    <xdr:to>
      <xdr:col>20</xdr:col>
      <xdr:colOff>111925</xdr:colOff>
      <xdr:row>128</xdr:row>
      <xdr:rowOff>309753</xdr:rowOff>
    </xdr:to>
    <xdr:sp macro="" textlink="">
      <xdr:nvSpPr>
        <xdr:cNvPr id="145" name="CuadroTexto 144"/>
        <xdr:cNvSpPr txBox="1"/>
      </xdr:nvSpPr>
      <xdr:spPr>
        <a:xfrm>
          <a:off x="21475212" y="13598770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14</xdr:col>
      <xdr:colOff>342901</xdr:colOff>
      <xdr:row>123</xdr:row>
      <xdr:rowOff>79132</xdr:rowOff>
    </xdr:from>
    <xdr:to>
      <xdr:col>15</xdr:col>
      <xdr:colOff>103133</xdr:colOff>
      <xdr:row>123</xdr:row>
      <xdr:rowOff>315615</xdr:rowOff>
    </xdr:to>
    <xdr:sp macro="" textlink="">
      <xdr:nvSpPr>
        <xdr:cNvPr id="146" name="CuadroTexto 145"/>
        <xdr:cNvSpPr txBox="1"/>
      </xdr:nvSpPr>
      <xdr:spPr>
        <a:xfrm>
          <a:off x="19085170" y="1169963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15</xdr:col>
      <xdr:colOff>114301</xdr:colOff>
      <xdr:row>123</xdr:row>
      <xdr:rowOff>290148</xdr:rowOff>
    </xdr:from>
    <xdr:to>
      <xdr:col>15</xdr:col>
      <xdr:colOff>350783</xdr:colOff>
      <xdr:row>124</xdr:row>
      <xdr:rowOff>145631</xdr:rowOff>
    </xdr:to>
    <xdr:sp macro="" textlink="">
      <xdr:nvSpPr>
        <xdr:cNvPr id="147" name="CuadroTexto 146"/>
        <xdr:cNvSpPr txBox="1"/>
      </xdr:nvSpPr>
      <xdr:spPr>
        <a:xfrm>
          <a:off x="19332820" y="1191064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15</xdr:col>
      <xdr:colOff>354624</xdr:colOff>
      <xdr:row>124</xdr:row>
      <xdr:rowOff>76202</xdr:rowOff>
    </xdr:from>
    <xdr:to>
      <xdr:col>16</xdr:col>
      <xdr:colOff>114856</xdr:colOff>
      <xdr:row>124</xdr:row>
      <xdr:rowOff>312685</xdr:rowOff>
    </xdr:to>
    <xdr:sp macro="" textlink="">
      <xdr:nvSpPr>
        <xdr:cNvPr id="148" name="CuadroTexto 147"/>
        <xdr:cNvSpPr txBox="1"/>
      </xdr:nvSpPr>
      <xdr:spPr>
        <a:xfrm>
          <a:off x="19573143" y="1207770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16</xdr:col>
      <xdr:colOff>111370</xdr:colOff>
      <xdr:row>124</xdr:row>
      <xdr:rowOff>265237</xdr:rowOff>
    </xdr:from>
    <xdr:to>
      <xdr:col>16</xdr:col>
      <xdr:colOff>347852</xdr:colOff>
      <xdr:row>125</xdr:row>
      <xdr:rowOff>120720</xdr:rowOff>
    </xdr:to>
    <xdr:sp macro="" textlink="">
      <xdr:nvSpPr>
        <xdr:cNvPr id="149" name="CuadroTexto 148"/>
        <xdr:cNvSpPr txBox="1"/>
      </xdr:nvSpPr>
      <xdr:spPr>
        <a:xfrm>
          <a:off x="19806139" y="1226673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16</xdr:col>
      <xdr:colOff>344367</xdr:colOff>
      <xdr:row>125</xdr:row>
      <xdr:rowOff>73272</xdr:rowOff>
    </xdr:from>
    <xdr:to>
      <xdr:col>17</xdr:col>
      <xdr:colOff>104599</xdr:colOff>
      <xdr:row>125</xdr:row>
      <xdr:rowOff>309755</xdr:rowOff>
    </xdr:to>
    <xdr:sp macro="" textlink="">
      <xdr:nvSpPr>
        <xdr:cNvPr id="150" name="CuadroTexto 149"/>
        <xdr:cNvSpPr txBox="1"/>
      </xdr:nvSpPr>
      <xdr:spPr>
        <a:xfrm>
          <a:off x="20039136" y="1245577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16</xdr:col>
      <xdr:colOff>130421</xdr:colOff>
      <xdr:row>125</xdr:row>
      <xdr:rowOff>276961</xdr:rowOff>
    </xdr:from>
    <xdr:to>
      <xdr:col>16</xdr:col>
      <xdr:colOff>366903</xdr:colOff>
      <xdr:row>126</xdr:row>
      <xdr:rowOff>132444</xdr:rowOff>
    </xdr:to>
    <xdr:sp macro="" textlink="">
      <xdr:nvSpPr>
        <xdr:cNvPr id="151" name="CuadroTexto 150"/>
        <xdr:cNvSpPr txBox="1"/>
      </xdr:nvSpPr>
      <xdr:spPr>
        <a:xfrm>
          <a:off x="19825190" y="12659461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15</xdr:col>
      <xdr:colOff>121629</xdr:colOff>
      <xdr:row>128</xdr:row>
      <xdr:rowOff>275496</xdr:rowOff>
    </xdr:from>
    <xdr:to>
      <xdr:col>15</xdr:col>
      <xdr:colOff>358111</xdr:colOff>
      <xdr:row>129</xdr:row>
      <xdr:rowOff>130979</xdr:rowOff>
    </xdr:to>
    <xdr:sp macro="" textlink="">
      <xdr:nvSpPr>
        <xdr:cNvPr id="152" name="CuadroTexto 151"/>
        <xdr:cNvSpPr txBox="1"/>
      </xdr:nvSpPr>
      <xdr:spPr>
        <a:xfrm>
          <a:off x="19340148" y="13800996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15</xdr:col>
      <xdr:colOff>347299</xdr:colOff>
      <xdr:row>128</xdr:row>
      <xdr:rowOff>76204</xdr:rowOff>
    </xdr:from>
    <xdr:to>
      <xdr:col>16</xdr:col>
      <xdr:colOff>107531</xdr:colOff>
      <xdr:row>128</xdr:row>
      <xdr:rowOff>312687</xdr:rowOff>
    </xdr:to>
    <xdr:sp macro="" textlink="">
      <xdr:nvSpPr>
        <xdr:cNvPr id="153" name="CuadroTexto 152"/>
        <xdr:cNvSpPr txBox="1"/>
      </xdr:nvSpPr>
      <xdr:spPr>
        <a:xfrm>
          <a:off x="19565818" y="13601704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16</xdr:col>
      <xdr:colOff>126026</xdr:colOff>
      <xdr:row>127</xdr:row>
      <xdr:rowOff>279893</xdr:rowOff>
    </xdr:from>
    <xdr:to>
      <xdr:col>16</xdr:col>
      <xdr:colOff>362508</xdr:colOff>
      <xdr:row>128</xdr:row>
      <xdr:rowOff>135376</xdr:rowOff>
    </xdr:to>
    <xdr:sp macro="" textlink="">
      <xdr:nvSpPr>
        <xdr:cNvPr id="154" name="CuadroTexto 153"/>
        <xdr:cNvSpPr txBox="1"/>
      </xdr:nvSpPr>
      <xdr:spPr>
        <a:xfrm>
          <a:off x="19820795" y="13424393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16</xdr:col>
      <xdr:colOff>359022</xdr:colOff>
      <xdr:row>127</xdr:row>
      <xdr:rowOff>73274</xdr:rowOff>
    </xdr:from>
    <xdr:to>
      <xdr:col>17</xdr:col>
      <xdr:colOff>119254</xdr:colOff>
      <xdr:row>127</xdr:row>
      <xdr:rowOff>309757</xdr:rowOff>
    </xdr:to>
    <xdr:sp macro="" textlink="">
      <xdr:nvSpPr>
        <xdr:cNvPr id="155" name="CuadroTexto 154"/>
        <xdr:cNvSpPr txBox="1"/>
      </xdr:nvSpPr>
      <xdr:spPr>
        <a:xfrm>
          <a:off x="20053791" y="13217774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17</xdr:col>
      <xdr:colOff>123095</xdr:colOff>
      <xdr:row>126</xdr:row>
      <xdr:rowOff>284289</xdr:rowOff>
    </xdr:from>
    <xdr:to>
      <xdr:col>17</xdr:col>
      <xdr:colOff>359577</xdr:colOff>
      <xdr:row>127</xdr:row>
      <xdr:rowOff>139772</xdr:rowOff>
    </xdr:to>
    <xdr:sp macro="" textlink="">
      <xdr:nvSpPr>
        <xdr:cNvPr id="156" name="CuadroTexto 155"/>
        <xdr:cNvSpPr txBox="1"/>
      </xdr:nvSpPr>
      <xdr:spPr>
        <a:xfrm>
          <a:off x="20294114" y="13047789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18</xdr:col>
      <xdr:colOff>356091</xdr:colOff>
      <xdr:row>127</xdr:row>
      <xdr:rowOff>84997</xdr:rowOff>
    </xdr:from>
    <xdr:to>
      <xdr:col>19</xdr:col>
      <xdr:colOff>116323</xdr:colOff>
      <xdr:row>127</xdr:row>
      <xdr:rowOff>321480</xdr:rowOff>
    </xdr:to>
    <xdr:sp macro="" textlink="">
      <xdr:nvSpPr>
        <xdr:cNvPr id="157" name="CuadroTexto 156"/>
        <xdr:cNvSpPr txBox="1"/>
      </xdr:nvSpPr>
      <xdr:spPr>
        <a:xfrm>
          <a:off x="21003360" y="1322949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17</xdr:col>
      <xdr:colOff>347299</xdr:colOff>
      <xdr:row>128</xdr:row>
      <xdr:rowOff>76205</xdr:rowOff>
    </xdr:from>
    <xdr:to>
      <xdr:col>18</xdr:col>
      <xdr:colOff>107531</xdr:colOff>
      <xdr:row>128</xdr:row>
      <xdr:rowOff>312688</xdr:rowOff>
    </xdr:to>
    <xdr:sp macro="" textlink="">
      <xdr:nvSpPr>
        <xdr:cNvPr id="158" name="CuadroTexto 157"/>
        <xdr:cNvSpPr txBox="1"/>
      </xdr:nvSpPr>
      <xdr:spPr>
        <a:xfrm>
          <a:off x="20518318" y="13601705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17</xdr:col>
      <xdr:colOff>118699</xdr:colOff>
      <xdr:row>128</xdr:row>
      <xdr:rowOff>272567</xdr:rowOff>
    </xdr:from>
    <xdr:to>
      <xdr:col>17</xdr:col>
      <xdr:colOff>355181</xdr:colOff>
      <xdr:row>129</xdr:row>
      <xdr:rowOff>128050</xdr:rowOff>
    </xdr:to>
    <xdr:sp macro="" textlink="">
      <xdr:nvSpPr>
        <xdr:cNvPr id="159" name="CuadroTexto 158"/>
        <xdr:cNvSpPr txBox="1"/>
      </xdr:nvSpPr>
      <xdr:spPr>
        <a:xfrm>
          <a:off x="20289718" y="1379806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16</xdr:col>
      <xdr:colOff>359022</xdr:colOff>
      <xdr:row>129</xdr:row>
      <xdr:rowOff>65948</xdr:rowOff>
    </xdr:from>
    <xdr:to>
      <xdr:col>17</xdr:col>
      <xdr:colOff>119254</xdr:colOff>
      <xdr:row>129</xdr:row>
      <xdr:rowOff>302431</xdr:rowOff>
    </xdr:to>
    <xdr:sp macro="" textlink="">
      <xdr:nvSpPr>
        <xdr:cNvPr id="160" name="CuadroTexto 159"/>
        <xdr:cNvSpPr txBox="1"/>
      </xdr:nvSpPr>
      <xdr:spPr>
        <a:xfrm>
          <a:off x="20053791" y="1397244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16</xdr:col>
      <xdr:colOff>108441</xdr:colOff>
      <xdr:row>129</xdr:row>
      <xdr:rowOff>269637</xdr:rowOff>
    </xdr:from>
    <xdr:to>
      <xdr:col>16</xdr:col>
      <xdr:colOff>344923</xdr:colOff>
      <xdr:row>130</xdr:row>
      <xdr:rowOff>125120</xdr:rowOff>
    </xdr:to>
    <xdr:sp macro="" textlink="">
      <xdr:nvSpPr>
        <xdr:cNvPr id="161" name="CuadroTexto 160"/>
        <xdr:cNvSpPr txBox="1"/>
      </xdr:nvSpPr>
      <xdr:spPr>
        <a:xfrm>
          <a:off x="19803210" y="1417613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14</xdr:col>
      <xdr:colOff>114303</xdr:colOff>
      <xdr:row>131</xdr:row>
      <xdr:rowOff>275499</xdr:rowOff>
    </xdr:from>
    <xdr:to>
      <xdr:col>14</xdr:col>
      <xdr:colOff>350785</xdr:colOff>
      <xdr:row>132</xdr:row>
      <xdr:rowOff>130982</xdr:rowOff>
    </xdr:to>
    <xdr:sp macro="" textlink="">
      <xdr:nvSpPr>
        <xdr:cNvPr id="162" name="CuadroTexto 161"/>
        <xdr:cNvSpPr txBox="1"/>
      </xdr:nvSpPr>
      <xdr:spPr>
        <a:xfrm>
          <a:off x="18856572" y="14943999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14</xdr:col>
      <xdr:colOff>354626</xdr:colOff>
      <xdr:row>132</xdr:row>
      <xdr:rowOff>76207</xdr:rowOff>
    </xdr:from>
    <xdr:to>
      <xdr:col>15</xdr:col>
      <xdr:colOff>114858</xdr:colOff>
      <xdr:row>132</xdr:row>
      <xdr:rowOff>312690</xdr:rowOff>
    </xdr:to>
    <xdr:sp macro="" textlink="">
      <xdr:nvSpPr>
        <xdr:cNvPr id="163" name="CuadroTexto 162"/>
        <xdr:cNvSpPr txBox="1"/>
      </xdr:nvSpPr>
      <xdr:spPr>
        <a:xfrm>
          <a:off x="19096895" y="1512570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X</a:t>
          </a:r>
        </a:p>
      </xdr:txBody>
    </xdr:sp>
    <xdr:clientData/>
  </xdr:twoCellAnchor>
  <xdr:twoCellAnchor>
    <xdr:from>
      <xdr:col>15</xdr:col>
      <xdr:colOff>118699</xdr:colOff>
      <xdr:row>131</xdr:row>
      <xdr:rowOff>272569</xdr:rowOff>
    </xdr:from>
    <xdr:to>
      <xdr:col>15</xdr:col>
      <xdr:colOff>355181</xdr:colOff>
      <xdr:row>132</xdr:row>
      <xdr:rowOff>128052</xdr:rowOff>
    </xdr:to>
    <xdr:sp macro="" textlink="">
      <xdr:nvSpPr>
        <xdr:cNvPr id="164" name="CuadroTexto 163"/>
        <xdr:cNvSpPr txBox="1"/>
      </xdr:nvSpPr>
      <xdr:spPr>
        <a:xfrm>
          <a:off x="19337218" y="14941069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15</xdr:col>
      <xdr:colOff>366349</xdr:colOff>
      <xdr:row>131</xdr:row>
      <xdr:rowOff>95257</xdr:rowOff>
    </xdr:from>
    <xdr:to>
      <xdr:col>16</xdr:col>
      <xdr:colOff>126581</xdr:colOff>
      <xdr:row>131</xdr:row>
      <xdr:rowOff>331740</xdr:rowOff>
    </xdr:to>
    <xdr:sp macro="" textlink="">
      <xdr:nvSpPr>
        <xdr:cNvPr id="165" name="CuadroTexto 164"/>
        <xdr:cNvSpPr txBox="1"/>
      </xdr:nvSpPr>
      <xdr:spPr>
        <a:xfrm>
          <a:off x="19584868" y="1476375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16</xdr:col>
      <xdr:colOff>115768</xdr:colOff>
      <xdr:row>130</xdr:row>
      <xdr:rowOff>262311</xdr:rowOff>
    </xdr:from>
    <xdr:to>
      <xdr:col>16</xdr:col>
      <xdr:colOff>352250</xdr:colOff>
      <xdr:row>131</xdr:row>
      <xdr:rowOff>117794</xdr:rowOff>
    </xdr:to>
    <xdr:sp macro="" textlink="">
      <xdr:nvSpPr>
        <xdr:cNvPr id="166" name="CuadroTexto 165"/>
        <xdr:cNvSpPr txBox="1"/>
      </xdr:nvSpPr>
      <xdr:spPr>
        <a:xfrm>
          <a:off x="19810537" y="14549811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16</xdr:col>
      <xdr:colOff>348765</xdr:colOff>
      <xdr:row>130</xdr:row>
      <xdr:rowOff>77673</xdr:rowOff>
    </xdr:from>
    <xdr:to>
      <xdr:col>17</xdr:col>
      <xdr:colOff>108997</xdr:colOff>
      <xdr:row>130</xdr:row>
      <xdr:rowOff>314156</xdr:rowOff>
    </xdr:to>
    <xdr:sp macro="" textlink="">
      <xdr:nvSpPr>
        <xdr:cNvPr id="167" name="CuadroTexto 166"/>
        <xdr:cNvSpPr txBox="1"/>
      </xdr:nvSpPr>
      <xdr:spPr>
        <a:xfrm>
          <a:off x="20043534" y="14365173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17</xdr:col>
      <xdr:colOff>112838</xdr:colOff>
      <xdr:row>129</xdr:row>
      <xdr:rowOff>252054</xdr:rowOff>
    </xdr:from>
    <xdr:to>
      <xdr:col>17</xdr:col>
      <xdr:colOff>349320</xdr:colOff>
      <xdr:row>130</xdr:row>
      <xdr:rowOff>107537</xdr:rowOff>
    </xdr:to>
    <xdr:sp macro="" textlink="">
      <xdr:nvSpPr>
        <xdr:cNvPr id="168" name="CuadroTexto 167"/>
        <xdr:cNvSpPr txBox="1"/>
      </xdr:nvSpPr>
      <xdr:spPr>
        <a:xfrm>
          <a:off x="20283857" y="14158554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17</xdr:col>
      <xdr:colOff>360488</xdr:colOff>
      <xdr:row>129</xdr:row>
      <xdr:rowOff>67416</xdr:rowOff>
    </xdr:from>
    <xdr:to>
      <xdr:col>18</xdr:col>
      <xdr:colOff>120720</xdr:colOff>
      <xdr:row>129</xdr:row>
      <xdr:rowOff>303899</xdr:rowOff>
    </xdr:to>
    <xdr:sp macro="" textlink="">
      <xdr:nvSpPr>
        <xdr:cNvPr id="169" name="CuadroTexto 168"/>
        <xdr:cNvSpPr txBox="1"/>
      </xdr:nvSpPr>
      <xdr:spPr>
        <a:xfrm>
          <a:off x="20531507" y="13973916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18</xdr:col>
      <xdr:colOff>117234</xdr:colOff>
      <xdr:row>128</xdr:row>
      <xdr:rowOff>249124</xdr:rowOff>
    </xdr:from>
    <xdr:to>
      <xdr:col>18</xdr:col>
      <xdr:colOff>353716</xdr:colOff>
      <xdr:row>129</xdr:row>
      <xdr:rowOff>104607</xdr:rowOff>
    </xdr:to>
    <xdr:sp macro="" textlink="">
      <xdr:nvSpPr>
        <xdr:cNvPr id="170" name="CuadroTexto 169"/>
        <xdr:cNvSpPr txBox="1"/>
      </xdr:nvSpPr>
      <xdr:spPr>
        <a:xfrm>
          <a:off x="20764503" y="13774624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18</xdr:col>
      <xdr:colOff>350230</xdr:colOff>
      <xdr:row>128</xdr:row>
      <xdr:rowOff>79140</xdr:rowOff>
    </xdr:from>
    <xdr:to>
      <xdr:col>19</xdr:col>
      <xdr:colOff>110462</xdr:colOff>
      <xdr:row>128</xdr:row>
      <xdr:rowOff>315623</xdr:rowOff>
    </xdr:to>
    <xdr:sp macro="" textlink="">
      <xdr:nvSpPr>
        <xdr:cNvPr id="171" name="CuadroTexto 170"/>
        <xdr:cNvSpPr txBox="1"/>
      </xdr:nvSpPr>
      <xdr:spPr>
        <a:xfrm>
          <a:off x="20997499" y="13604640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19</xdr:col>
      <xdr:colOff>128957</xdr:colOff>
      <xdr:row>127</xdr:row>
      <xdr:rowOff>253521</xdr:rowOff>
    </xdr:from>
    <xdr:to>
      <xdr:col>19</xdr:col>
      <xdr:colOff>365439</xdr:colOff>
      <xdr:row>128</xdr:row>
      <xdr:rowOff>109004</xdr:rowOff>
    </xdr:to>
    <xdr:sp macro="" textlink="">
      <xdr:nvSpPr>
        <xdr:cNvPr id="172" name="CuadroTexto 171"/>
        <xdr:cNvSpPr txBox="1"/>
      </xdr:nvSpPr>
      <xdr:spPr>
        <a:xfrm>
          <a:off x="21252476" y="13398021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X</a:t>
          </a:r>
        </a:p>
      </xdr:txBody>
    </xdr:sp>
    <xdr:clientData/>
  </xdr:twoCellAnchor>
  <xdr:twoCellAnchor>
    <xdr:from>
      <xdr:col>16</xdr:col>
      <xdr:colOff>354627</xdr:colOff>
      <xdr:row>131</xdr:row>
      <xdr:rowOff>76210</xdr:rowOff>
    </xdr:from>
    <xdr:to>
      <xdr:col>17</xdr:col>
      <xdr:colOff>114859</xdr:colOff>
      <xdr:row>131</xdr:row>
      <xdr:rowOff>312693</xdr:rowOff>
    </xdr:to>
    <xdr:sp macro="" textlink="">
      <xdr:nvSpPr>
        <xdr:cNvPr id="173" name="CuadroTexto 172"/>
        <xdr:cNvSpPr txBox="1"/>
      </xdr:nvSpPr>
      <xdr:spPr>
        <a:xfrm>
          <a:off x="20049396" y="14744710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17</xdr:col>
      <xdr:colOff>126027</xdr:colOff>
      <xdr:row>130</xdr:row>
      <xdr:rowOff>257918</xdr:rowOff>
    </xdr:from>
    <xdr:to>
      <xdr:col>17</xdr:col>
      <xdr:colOff>362509</xdr:colOff>
      <xdr:row>131</xdr:row>
      <xdr:rowOff>113401</xdr:rowOff>
    </xdr:to>
    <xdr:sp macro="" textlink="">
      <xdr:nvSpPr>
        <xdr:cNvPr id="174" name="CuadroTexto 173"/>
        <xdr:cNvSpPr txBox="1"/>
      </xdr:nvSpPr>
      <xdr:spPr>
        <a:xfrm>
          <a:off x="20297046" y="1454541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17</xdr:col>
      <xdr:colOff>359023</xdr:colOff>
      <xdr:row>130</xdr:row>
      <xdr:rowOff>65953</xdr:rowOff>
    </xdr:from>
    <xdr:to>
      <xdr:col>18</xdr:col>
      <xdr:colOff>119255</xdr:colOff>
      <xdr:row>130</xdr:row>
      <xdr:rowOff>302436</xdr:rowOff>
    </xdr:to>
    <xdr:sp macro="" textlink="">
      <xdr:nvSpPr>
        <xdr:cNvPr id="175" name="CuadroTexto 174"/>
        <xdr:cNvSpPr txBox="1"/>
      </xdr:nvSpPr>
      <xdr:spPr>
        <a:xfrm>
          <a:off x="20530042" y="14353453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18</xdr:col>
      <xdr:colOff>115769</xdr:colOff>
      <xdr:row>129</xdr:row>
      <xdr:rowOff>269642</xdr:rowOff>
    </xdr:from>
    <xdr:to>
      <xdr:col>18</xdr:col>
      <xdr:colOff>352251</xdr:colOff>
      <xdr:row>130</xdr:row>
      <xdr:rowOff>125125</xdr:rowOff>
    </xdr:to>
    <xdr:sp macro="" textlink="">
      <xdr:nvSpPr>
        <xdr:cNvPr id="176" name="CuadroTexto 175"/>
        <xdr:cNvSpPr txBox="1"/>
      </xdr:nvSpPr>
      <xdr:spPr>
        <a:xfrm>
          <a:off x="20763038" y="1417614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14</xdr:col>
      <xdr:colOff>121630</xdr:colOff>
      <xdr:row>134</xdr:row>
      <xdr:rowOff>268177</xdr:rowOff>
    </xdr:from>
    <xdr:to>
      <xdr:col>14</xdr:col>
      <xdr:colOff>358112</xdr:colOff>
      <xdr:row>135</xdr:row>
      <xdr:rowOff>123660</xdr:rowOff>
    </xdr:to>
    <xdr:sp macro="" textlink="">
      <xdr:nvSpPr>
        <xdr:cNvPr id="177" name="CuadroTexto 176"/>
        <xdr:cNvSpPr txBox="1"/>
      </xdr:nvSpPr>
      <xdr:spPr>
        <a:xfrm>
          <a:off x="18863899" y="1607967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18</xdr:col>
      <xdr:colOff>341438</xdr:colOff>
      <xdr:row>129</xdr:row>
      <xdr:rowOff>77677</xdr:rowOff>
    </xdr:from>
    <xdr:to>
      <xdr:col>19</xdr:col>
      <xdr:colOff>101670</xdr:colOff>
      <xdr:row>129</xdr:row>
      <xdr:rowOff>314160</xdr:rowOff>
    </xdr:to>
    <xdr:sp macro="" textlink="">
      <xdr:nvSpPr>
        <xdr:cNvPr id="178" name="CuadroTexto 177"/>
        <xdr:cNvSpPr txBox="1"/>
      </xdr:nvSpPr>
      <xdr:spPr>
        <a:xfrm>
          <a:off x="20988707" y="13984177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19</xdr:col>
      <xdr:colOff>105511</xdr:colOff>
      <xdr:row>128</xdr:row>
      <xdr:rowOff>266712</xdr:rowOff>
    </xdr:from>
    <xdr:to>
      <xdr:col>19</xdr:col>
      <xdr:colOff>341993</xdr:colOff>
      <xdr:row>129</xdr:row>
      <xdr:rowOff>122195</xdr:rowOff>
    </xdr:to>
    <xdr:sp macro="" textlink="">
      <xdr:nvSpPr>
        <xdr:cNvPr id="179" name="CuadroTexto 178"/>
        <xdr:cNvSpPr txBox="1"/>
      </xdr:nvSpPr>
      <xdr:spPr>
        <a:xfrm>
          <a:off x="21229030" y="1379221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</a:t>
          </a:r>
        </a:p>
      </xdr:txBody>
    </xdr:sp>
    <xdr:clientData/>
  </xdr:twoCellAnchor>
  <xdr:twoCellAnchor>
    <xdr:from>
      <xdr:col>14</xdr:col>
      <xdr:colOff>354626</xdr:colOff>
      <xdr:row>134</xdr:row>
      <xdr:rowOff>90865</xdr:rowOff>
    </xdr:from>
    <xdr:to>
      <xdr:col>15</xdr:col>
      <xdr:colOff>114858</xdr:colOff>
      <xdr:row>134</xdr:row>
      <xdr:rowOff>327348</xdr:rowOff>
    </xdr:to>
    <xdr:sp macro="" textlink="">
      <xdr:nvSpPr>
        <xdr:cNvPr id="180" name="CuadroTexto 179"/>
        <xdr:cNvSpPr txBox="1"/>
      </xdr:nvSpPr>
      <xdr:spPr>
        <a:xfrm>
          <a:off x="19096895" y="15902365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15</xdr:col>
      <xdr:colOff>111372</xdr:colOff>
      <xdr:row>133</xdr:row>
      <xdr:rowOff>279899</xdr:rowOff>
    </xdr:from>
    <xdr:to>
      <xdr:col>15</xdr:col>
      <xdr:colOff>347854</xdr:colOff>
      <xdr:row>134</xdr:row>
      <xdr:rowOff>135382</xdr:rowOff>
    </xdr:to>
    <xdr:sp macro="" textlink="">
      <xdr:nvSpPr>
        <xdr:cNvPr id="181" name="CuadroTexto 180"/>
        <xdr:cNvSpPr txBox="1"/>
      </xdr:nvSpPr>
      <xdr:spPr>
        <a:xfrm>
          <a:off x="19329891" y="15710399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15</xdr:col>
      <xdr:colOff>359022</xdr:colOff>
      <xdr:row>133</xdr:row>
      <xdr:rowOff>87934</xdr:rowOff>
    </xdr:from>
    <xdr:to>
      <xdr:col>16</xdr:col>
      <xdr:colOff>119254</xdr:colOff>
      <xdr:row>133</xdr:row>
      <xdr:rowOff>324417</xdr:rowOff>
    </xdr:to>
    <xdr:sp macro="" textlink="">
      <xdr:nvSpPr>
        <xdr:cNvPr id="182" name="CuadroTexto 181"/>
        <xdr:cNvSpPr txBox="1"/>
      </xdr:nvSpPr>
      <xdr:spPr>
        <a:xfrm>
          <a:off x="19577541" y="15518434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16</xdr:col>
      <xdr:colOff>115768</xdr:colOff>
      <xdr:row>132</xdr:row>
      <xdr:rowOff>269642</xdr:rowOff>
    </xdr:from>
    <xdr:to>
      <xdr:col>16</xdr:col>
      <xdr:colOff>352250</xdr:colOff>
      <xdr:row>133</xdr:row>
      <xdr:rowOff>125125</xdr:rowOff>
    </xdr:to>
    <xdr:sp macro="" textlink="">
      <xdr:nvSpPr>
        <xdr:cNvPr id="183" name="CuadroTexto 182"/>
        <xdr:cNvSpPr txBox="1"/>
      </xdr:nvSpPr>
      <xdr:spPr>
        <a:xfrm>
          <a:off x="19810537" y="1531914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16</xdr:col>
      <xdr:colOff>356091</xdr:colOff>
      <xdr:row>132</xdr:row>
      <xdr:rowOff>92330</xdr:rowOff>
    </xdr:from>
    <xdr:to>
      <xdr:col>17</xdr:col>
      <xdr:colOff>116323</xdr:colOff>
      <xdr:row>132</xdr:row>
      <xdr:rowOff>328813</xdr:rowOff>
    </xdr:to>
    <xdr:sp macro="" textlink="">
      <xdr:nvSpPr>
        <xdr:cNvPr id="184" name="CuadroTexto 183"/>
        <xdr:cNvSpPr txBox="1"/>
      </xdr:nvSpPr>
      <xdr:spPr>
        <a:xfrm>
          <a:off x="20050860" y="15141830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17</xdr:col>
      <xdr:colOff>112837</xdr:colOff>
      <xdr:row>131</xdr:row>
      <xdr:rowOff>266710</xdr:rowOff>
    </xdr:from>
    <xdr:to>
      <xdr:col>17</xdr:col>
      <xdr:colOff>349319</xdr:colOff>
      <xdr:row>132</xdr:row>
      <xdr:rowOff>122193</xdr:rowOff>
    </xdr:to>
    <xdr:sp macro="" textlink="">
      <xdr:nvSpPr>
        <xdr:cNvPr id="185" name="CuadroTexto 184"/>
        <xdr:cNvSpPr txBox="1"/>
      </xdr:nvSpPr>
      <xdr:spPr>
        <a:xfrm>
          <a:off x="20283856" y="14935210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17</xdr:col>
      <xdr:colOff>353160</xdr:colOff>
      <xdr:row>131</xdr:row>
      <xdr:rowOff>82071</xdr:rowOff>
    </xdr:from>
    <xdr:to>
      <xdr:col>18</xdr:col>
      <xdr:colOff>113392</xdr:colOff>
      <xdr:row>131</xdr:row>
      <xdr:rowOff>318554</xdr:rowOff>
    </xdr:to>
    <xdr:sp macro="" textlink="">
      <xdr:nvSpPr>
        <xdr:cNvPr id="186" name="CuadroTexto 185"/>
        <xdr:cNvSpPr txBox="1"/>
      </xdr:nvSpPr>
      <xdr:spPr>
        <a:xfrm>
          <a:off x="20524179" y="14750571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18</xdr:col>
      <xdr:colOff>109906</xdr:colOff>
      <xdr:row>130</xdr:row>
      <xdr:rowOff>285759</xdr:rowOff>
    </xdr:from>
    <xdr:to>
      <xdr:col>18</xdr:col>
      <xdr:colOff>346388</xdr:colOff>
      <xdr:row>131</xdr:row>
      <xdr:rowOff>141242</xdr:rowOff>
    </xdr:to>
    <xdr:sp macro="" textlink="">
      <xdr:nvSpPr>
        <xdr:cNvPr id="187" name="CuadroTexto 186"/>
        <xdr:cNvSpPr txBox="1"/>
      </xdr:nvSpPr>
      <xdr:spPr>
        <a:xfrm>
          <a:off x="20757175" y="14573259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18</xdr:col>
      <xdr:colOff>342902</xdr:colOff>
      <xdr:row>130</xdr:row>
      <xdr:rowOff>93793</xdr:rowOff>
    </xdr:from>
    <xdr:to>
      <xdr:col>19</xdr:col>
      <xdr:colOff>103134</xdr:colOff>
      <xdr:row>130</xdr:row>
      <xdr:rowOff>330276</xdr:rowOff>
    </xdr:to>
    <xdr:sp macro="" textlink="">
      <xdr:nvSpPr>
        <xdr:cNvPr id="188" name="CuadroTexto 187"/>
        <xdr:cNvSpPr txBox="1"/>
      </xdr:nvSpPr>
      <xdr:spPr>
        <a:xfrm>
          <a:off x="20990171" y="14381293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19</xdr:col>
      <xdr:colOff>106975</xdr:colOff>
      <xdr:row>129</xdr:row>
      <xdr:rowOff>282828</xdr:rowOff>
    </xdr:from>
    <xdr:to>
      <xdr:col>19</xdr:col>
      <xdr:colOff>343457</xdr:colOff>
      <xdr:row>130</xdr:row>
      <xdr:rowOff>138311</xdr:rowOff>
    </xdr:to>
    <xdr:sp macro="" textlink="">
      <xdr:nvSpPr>
        <xdr:cNvPr id="189" name="CuadroTexto 188"/>
        <xdr:cNvSpPr txBox="1"/>
      </xdr:nvSpPr>
      <xdr:spPr>
        <a:xfrm>
          <a:off x="21230494" y="14189328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19</xdr:col>
      <xdr:colOff>369279</xdr:colOff>
      <xdr:row>129</xdr:row>
      <xdr:rowOff>90862</xdr:rowOff>
    </xdr:from>
    <xdr:to>
      <xdr:col>20</xdr:col>
      <xdr:colOff>129511</xdr:colOff>
      <xdr:row>129</xdr:row>
      <xdr:rowOff>327345</xdr:rowOff>
    </xdr:to>
    <xdr:sp macro="" textlink="">
      <xdr:nvSpPr>
        <xdr:cNvPr id="190" name="CuadroTexto 189"/>
        <xdr:cNvSpPr txBox="1"/>
      </xdr:nvSpPr>
      <xdr:spPr>
        <a:xfrm>
          <a:off x="21492798" y="13997362"/>
          <a:ext cx="236482" cy="236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U</a:t>
          </a:r>
        </a:p>
      </xdr:txBody>
    </xdr:sp>
    <xdr:clientData/>
  </xdr:twoCellAnchor>
  <xdr:twoCellAnchor>
    <xdr:from>
      <xdr:col>11</xdr:col>
      <xdr:colOff>156882</xdr:colOff>
      <xdr:row>143</xdr:row>
      <xdr:rowOff>33618</xdr:rowOff>
    </xdr:from>
    <xdr:to>
      <xdr:col>11</xdr:col>
      <xdr:colOff>1893794</xdr:colOff>
      <xdr:row>143</xdr:row>
      <xdr:rowOff>146108</xdr:rowOff>
    </xdr:to>
    <xdr:sp macro="" textlink="">
      <xdr:nvSpPr>
        <xdr:cNvPr id="263" name="Forma libre 262"/>
        <xdr:cNvSpPr/>
      </xdr:nvSpPr>
      <xdr:spPr>
        <a:xfrm>
          <a:off x="15789088" y="18131118"/>
          <a:ext cx="1736912" cy="112490"/>
        </a:xfrm>
        <a:custGeom>
          <a:avLst/>
          <a:gdLst>
            <a:gd name="connsiteX0" fmla="*/ 0 w 1736912"/>
            <a:gd name="connsiteY0" fmla="*/ 0 h 112490"/>
            <a:gd name="connsiteX1" fmla="*/ 616324 w 1736912"/>
            <a:gd name="connsiteY1" fmla="*/ 112058 h 112490"/>
            <a:gd name="connsiteX2" fmla="*/ 1019736 w 1736912"/>
            <a:gd name="connsiteY2" fmla="*/ 22411 h 112490"/>
            <a:gd name="connsiteX3" fmla="*/ 1490383 w 1736912"/>
            <a:gd name="connsiteY3" fmla="*/ 112058 h 112490"/>
            <a:gd name="connsiteX4" fmla="*/ 1736912 w 1736912"/>
            <a:gd name="connsiteY4" fmla="*/ 56029 h 1124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736912" h="112490">
              <a:moveTo>
                <a:pt x="0" y="0"/>
              </a:moveTo>
              <a:cubicBezTo>
                <a:pt x="223184" y="54161"/>
                <a:pt x="446368" y="108323"/>
                <a:pt x="616324" y="112058"/>
              </a:cubicBezTo>
              <a:cubicBezTo>
                <a:pt x="786280" y="115793"/>
                <a:pt x="874060" y="22411"/>
                <a:pt x="1019736" y="22411"/>
              </a:cubicBezTo>
              <a:cubicBezTo>
                <a:pt x="1165412" y="22411"/>
                <a:pt x="1370854" y="106455"/>
                <a:pt x="1490383" y="112058"/>
              </a:cubicBezTo>
              <a:cubicBezTo>
                <a:pt x="1609912" y="117661"/>
                <a:pt x="1671545" y="67235"/>
                <a:pt x="1736912" y="56029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146107</xdr:colOff>
      <xdr:row>139</xdr:row>
      <xdr:rowOff>87923</xdr:rowOff>
    </xdr:from>
    <xdr:to>
      <xdr:col>11</xdr:col>
      <xdr:colOff>1809750</xdr:colOff>
      <xdr:row>139</xdr:row>
      <xdr:rowOff>89646</xdr:rowOff>
    </xdr:to>
    <xdr:cxnSp macro="">
      <xdr:nvCxnSpPr>
        <xdr:cNvPr id="267" name="Conector recto 266"/>
        <xdr:cNvCxnSpPr/>
      </xdr:nvCxnSpPr>
      <xdr:spPr>
        <a:xfrm flipV="1">
          <a:off x="15774434" y="17232923"/>
          <a:ext cx="1663643" cy="1723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117231</xdr:colOff>
      <xdr:row>142</xdr:row>
      <xdr:rowOff>107576</xdr:rowOff>
    </xdr:from>
    <xdr:to>
      <xdr:col>11</xdr:col>
      <xdr:colOff>1843628</xdr:colOff>
      <xdr:row>142</xdr:row>
      <xdr:rowOff>109904</xdr:rowOff>
    </xdr:to>
    <xdr:cxnSp macro="">
      <xdr:nvCxnSpPr>
        <xdr:cNvPr id="268" name="Conector recto 267"/>
        <xdr:cNvCxnSpPr/>
      </xdr:nvCxnSpPr>
      <xdr:spPr>
        <a:xfrm flipV="1">
          <a:off x="15745558" y="17824076"/>
          <a:ext cx="1726397" cy="2328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141194</xdr:colOff>
      <xdr:row>140</xdr:row>
      <xdr:rowOff>73958</xdr:rowOff>
    </xdr:from>
    <xdr:to>
      <xdr:col>11</xdr:col>
      <xdr:colOff>1833283</xdr:colOff>
      <xdr:row>140</xdr:row>
      <xdr:rowOff>73958</xdr:rowOff>
    </xdr:to>
    <xdr:cxnSp macro="">
      <xdr:nvCxnSpPr>
        <xdr:cNvPr id="269" name="Conector recto 268"/>
        <xdr:cNvCxnSpPr/>
      </xdr:nvCxnSpPr>
      <xdr:spPr>
        <a:xfrm>
          <a:off x="15773400" y="17409458"/>
          <a:ext cx="1692089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140591</xdr:colOff>
      <xdr:row>140</xdr:row>
      <xdr:rowOff>136711</xdr:rowOff>
    </xdr:from>
    <xdr:to>
      <xdr:col>11</xdr:col>
      <xdr:colOff>1832680</xdr:colOff>
      <xdr:row>140</xdr:row>
      <xdr:rowOff>136711</xdr:rowOff>
    </xdr:to>
    <xdr:cxnSp macro="">
      <xdr:nvCxnSpPr>
        <xdr:cNvPr id="270" name="Conector recto 269"/>
        <xdr:cNvCxnSpPr/>
      </xdr:nvCxnSpPr>
      <xdr:spPr>
        <a:xfrm>
          <a:off x="15768918" y="17472211"/>
          <a:ext cx="1692089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133437</xdr:colOff>
      <xdr:row>141</xdr:row>
      <xdr:rowOff>85595</xdr:rowOff>
    </xdr:from>
    <xdr:to>
      <xdr:col>11</xdr:col>
      <xdr:colOff>1825526</xdr:colOff>
      <xdr:row>141</xdr:row>
      <xdr:rowOff>85595</xdr:rowOff>
    </xdr:to>
    <xdr:cxnSp macro="">
      <xdr:nvCxnSpPr>
        <xdr:cNvPr id="271" name="Conector recto 270"/>
        <xdr:cNvCxnSpPr/>
      </xdr:nvCxnSpPr>
      <xdr:spPr>
        <a:xfrm>
          <a:off x="15761764" y="17611595"/>
          <a:ext cx="1692089" cy="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266700</xdr:colOff>
      <xdr:row>165</xdr:row>
      <xdr:rowOff>182217</xdr:rowOff>
    </xdr:from>
    <xdr:to>
      <xdr:col>10</xdr:col>
      <xdr:colOff>0</xdr:colOff>
      <xdr:row>168</xdr:row>
      <xdr:rowOff>48867</xdr:rowOff>
    </xdr:to>
    <xdr:sp macro="" textlink="">
      <xdr:nvSpPr>
        <xdr:cNvPr id="426" name="Elipse 425"/>
        <xdr:cNvSpPr/>
      </xdr:nvSpPr>
      <xdr:spPr>
        <a:xfrm>
          <a:off x="13924722" y="22280217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10</xdr:col>
      <xdr:colOff>495300</xdr:colOff>
      <xdr:row>165</xdr:row>
      <xdr:rowOff>170255</xdr:rowOff>
    </xdr:from>
    <xdr:to>
      <xdr:col>10</xdr:col>
      <xdr:colOff>990600</xdr:colOff>
      <xdr:row>168</xdr:row>
      <xdr:rowOff>36905</xdr:rowOff>
    </xdr:to>
    <xdr:sp macro="" textlink="">
      <xdr:nvSpPr>
        <xdr:cNvPr id="427" name="Elipse 426"/>
        <xdr:cNvSpPr/>
      </xdr:nvSpPr>
      <xdr:spPr>
        <a:xfrm>
          <a:off x="14917271" y="22268255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10</xdr:col>
      <xdr:colOff>514350</xdr:colOff>
      <xdr:row>169</xdr:row>
      <xdr:rowOff>2064</xdr:rowOff>
    </xdr:from>
    <xdr:to>
      <xdr:col>10</xdr:col>
      <xdr:colOff>1009650</xdr:colOff>
      <xdr:row>171</xdr:row>
      <xdr:rowOff>59214</xdr:rowOff>
    </xdr:to>
    <xdr:sp macro="" textlink="">
      <xdr:nvSpPr>
        <xdr:cNvPr id="428" name="Elipse 427"/>
        <xdr:cNvSpPr/>
      </xdr:nvSpPr>
      <xdr:spPr>
        <a:xfrm>
          <a:off x="14934372" y="22862064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9</xdr:col>
      <xdr:colOff>276225</xdr:colOff>
      <xdr:row>173</xdr:row>
      <xdr:rowOff>0</xdr:rowOff>
    </xdr:from>
    <xdr:to>
      <xdr:col>10</xdr:col>
      <xdr:colOff>9525</xdr:colOff>
      <xdr:row>175</xdr:row>
      <xdr:rowOff>57150</xdr:rowOff>
    </xdr:to>
    <xdr:sp macro="" textlink="">
      <xdr:nvSpPr>
        <xdr:cNvPr id="429" name="Elipse 428"/>
        <xdr:cNvSpPr/>
      </xdr:nvSpPr>
      <xdr:spPr>
        <a:xfrm>
          <a:off x="13935075" y="19812000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9</xdr:col>
      <xdr:colOff>514350</xdr:colOff>
      <xdr:row>168</xdr:row>
      <xdr:rowOff>48867</xdr:rowOff>
    </xdr:from>
    <xdr:to>
      <xdr:col>9</xdr:col>
      <xdr:colOff>523875</xdr:colOff>
      <xdr:row>173</xdr:row>
      <xdr:rowOff>0</xdr:rowOff>
    </xdr:to>
    <xdr:cxnSp macro="">
      <xdr:nvCxnSpPr>
        <xdr:cNvPr id="430" name="Conector recto 429"/>
        <xdr:cNvCxnSpPr>
          <a:stCxn id="429" idx="0"/>
          <a:endCxn id="426" idx="4"/>
        </xdr:cNvCxnSpPr>
      </xdr:nvCxnSpPr>
      <xdr:spPr>
        <a:xfrm flipH="1" flipV="1">
          <a:off x="14172372" y="22718367"/>
          <a:ext cx="9525" cy="903633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504825</xdr:colOff>
      <xdr:row>177</xdr:row>
      <xdr:rowOff>98574</xdr:rowOff>
    </xdr:from>
    <xdr:to>
      <xdr:col>10</xdr:col>
      <xdr:colOff>1000125</xdr:colOff>
      <xdr:row>179</xdr:row>
      <xdr:rowOff>155724</xdr:rowOff>
    </xdr:to>
    <xdr:sp macro="" textlink="">
      <xdr:nvSpPr>
        <xdr:cNvPr id="431" name="Elipse 430"/>
        <xdr:cNvSpPr/>
      </xdr:nvSpPr>
      <xdr:spPr>
        <a:xfrm>
          <a:off x="14924847" y="24482574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>
    <xdr:from>
      <xdr:col>9</xdr:col>
      <xdr:colOff>285750</xdr:colOff>
      <xdr:row>180</xdr:row>
      <xdr:rowOff>38100</xdr:rowOff>
    </xdr:from>
    <xdr:to>
      <xdr:col>10</xdr:col>
      <xdr:colOff>19050</xdr:colOff>
      <xdr:row>182</xdr:row>
      <xdr:rowOff>95250</xdr:rowOff>
    </xdr:to>
    <xdr:sp macro="" textlink="">
      <xdr:nvSpPr>
        <xdr:cNvPr id="432" name="Elipse 431"/>
        <xdr:cNvSpPr/>
      </xdr:nvSpPr>
      <xdr:spPr>
        <a:xfrm>
          <a:off x="13944600" y="21183600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9</xdr:col>
      <xdr:colOff>698990</xdr:colOff>
      <xdr:row>174</xdr:row>
      <xdr:rowOff>183484</xdr:rowOff>
    </xdr:from>
    <xdr:to>
      <xdr:col>10</xdr:col>
      <xdr:colOff>577360</xdr:colOff>
      <xdr:row>177</xdr:row>
      <xdr:rowOff>162740</xdr:rowOff>
    </xdr:to>
    <xdr:cxnSp macro="">
      <xdr:nvCxnSpPr>
        <xdr:cNvPr id="433" name="Conector recto 432"/>
        <xdr:cNvCxnSpPr>
          <a:stCxn id="431" idx="1"/>
          <a:endCxn id="429" idx="5"/>
        </xdr:cNvCxnSpPr>
      </xdr:nvCxnSpPr>
      <xdr:spPr>
        <a:xfrm flipH="1" flipV="1">
          <a:off x="14357012" y="23995984"/>
          <a:ext cx="640370" cy="550756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175</xdr:row>
      <xdr:rowOff>57150</xdr:rowOff>
    </xdr:from>
    <xdr:to>
      <xdr:col>9</xdr:col>
      <xdr:colOff>533400</xdr:colOff>
      <xdr:row>180</xdr:row>
      <xdr:rowOff>38100</xdr:rowOff>
    </xdr:to>
    <xdr:cxnSp macro="">
      <xdr:nvCxnSpPr>
        <xdr:cNvPr id="434" name="Conector recto 433"/>
        <xdr:cNvCxnSpPr>
          <a:stCxn id="432" idx="0"/>
          <a:endCxn id="429" idx="4"/>
        </xdr:cNvCxnSpPr>
      </xdr:nvCxnSpPr>
      <xdr:spPr>
        <a:xfrm flipH="1" flipV="1">
          <a:off x="14182725" y="20250150"/>
          <a:ext cx="9525" cy="93345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698990</xdr:colOff>
      <xdr:row>170</xdr:row>
      <xdr:rowOff>185548</xdr:rowOff>
    </xdr:from>
    <xdr:to>
      <xdr:col>10</xdr:col>
      <xdr:colOff>586885</xdr:colOff>
      <xdr:row>173</xdr:row>
      <xdr:rowOff>64166</xdr:rowOff>
    </xdr:to>
    <xdr:cxnSp macro="">
      <xdr:nvCxnSpPr>
        <xdr:cNvPr id="435" name="Conector recto 434"/>
        <xdr:cNvCxnSpPr>
          <a:stCxn id="429" idx="7"/>
          <a:endCxn id="428" idx="3"/>
        </xdr:cNvCxnSpPr>
      </xdr:nvCxnSpPr>
      <xdr:spPr>
        <a:xfrm flipV="1">
          <a:off x="14357012" y="23236048"/>
          <a:ext cx="649895" cy="450118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167</xdr:row>
      <xdr:rowOff>163239</xdr:rowOff>
    </xdr:from>
    <xdr:to>
      <xdr:col>10</xdr:col>
      <xdr:colOff>567835</xdr:colOff>
      <xdr:row>173</xdr:row>
      <xdr:rowOff>0</xdr:rowOff>
    </xdr:to>
    <xdr:cxnSp macro="">
      <xdr:nvCxnSpPr>
        <xdr:cNvPr id="436" name="Conector recto 435"/>
        <xdr:cNvCxnSpPr>
          <a:stCxn id="429" idx="0"/>
          <a:endCxn id="427" idx="3"/>
        </xdr:cNvCxnSpPr>
      </xdr:nvCxnSpPr>
      <xdr:spPr>
        <a:xfrm flipV="1">
          <a:off x="14183846" y="22642239"/>
          <a:ext cx="805960" cy="979761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746677</xdr:colOff>
      <xdr:row>169</xdr:row>
      <xdr:rowOff>18630</xdr:rowOff>
    </xdr:from>
    <xdr:to>
      <xdr:col>11</xdr:col>
      <xdr:colOff>1240786</xdr:colOff>
      <xdr:row>171</xdr:row>
      <xdr:rowOff>75780</xdr:rowOff>
    </xdr:to>
    <xdr:sp macro="" textlink="">
      <xdr:nvSpPr>
        <xdr:cNvPr id="437" name="Elipse 436"/>
        <xdr:cNvSpPr/>
      </xdr:nvSpPr>
      <xdr:spPr>
        <a:xfrm>
          <a:off x="16375960" y="22878630"/>
          <a:ext cx="494109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>
    <xdr:from>
      <xdr:col>11</xdr:col>
      <xdr:colOff>733425</xdr:colOff>
      <xdr:row>177</xdr:row>
      <xdr:rowOff>82008</xdr:rowOff>
    </xdr:from>
    <xdr:to>
      <xdr:col>11</xdr:col>
      <xdr:colOff>1227534</xdr:colOff>
      <xdr:row>179</xdr:row>
      <xdr:rowOff>139158</xdr:rowOff>
    </xdr:to>
    <xdr:sp macro="" textlink="">
      <xdr:nvSpPr>
        <xdr:cNvPr id="438" name="Elipse 437"/>
        <xdr:cNvSpPr/>
      </xdr:nvSpPr>
      <xdr:spPr>
        <a:xfrm>
          <a:off x="16362708" y="24466008"/>
          <a:ext cx="494109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8</a:t>
          </a:r>
        </a:p>
      </xdr:txBody>
    </xdr:sp>
    <xdr:clientData/>
  </xdr:twoCellAnchor>
  <xdr:twoCellAnchor>
    <xdr:from>
      <xdr:col>10</xdr:col>
      <xdr:colOff>1009650</xdr:colOff>
      <xdr:row>170</xdr:row>
      <xdr:rowOff>30639</xdr:rowOff>
    </xdr:from>
    <xdr:to>
      <xdr:col>11</xdr:col>
      <xdr:colOff>746677</xdr:colOff>
      <xdr:row>170</xdr:row>
      <xdr:rowOff>47205</xdr:rowOff>
    </xdr:to>
    <xdr:cxnSp macro="">
      <xdr:nvCxnSpPr>
        <xdr:cNvPr id="439" name="Conector recto 438"/>
        <xdr:cNvCxnSpPr>
          <a:stCxn id="428" idx="6"/>
          <a:endCxn id="437" idx="2"/>
        </xdr:cNvCxnSpPr>
      </xdr:nvCxnSpPr>
      <xdr:spPr>
        <a:xfrm>
          <a:off x="15429672" y="23081139"/>
          <a:ext cx="946288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1000125</xdr:colOff>
      <xdr:row>178</xdr:row>
      <xdr:rowOff>110583</xdr:rowOff>
    </xdr:from>
    <xdr:to>
      <xdr:col>11</xdr:col>
      <xdr:colOff>733425</xdr:colOff>
      <xdr:row>178</xdr:row>
      <xdr:rowOff>127149</xdr:rowOff>
    </xdr:to>
    <xdr:cxnSp macro="">
      <xdr:nvCxnSpPr>
        <xdr:cNvPr id="443" name="Conector recto 442"/>
        <xdr:cNvCxnSpPr>
          <a:stCxn id="431" idx="6"/>
          <a:endCxn id="438" idx="2"/>
        </xdr:cNvCxnSpPr>
      </xdr:nvCxnSpPr>
      <xdr:spPr>
        <a:xfrm flipV="1">
          <a:off x="15420147" y="24685083"/>
          <a:ext cx="942561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170</xdr:row>
      <xdr:rowOff>30639</xdr:rowOff>
    </xdr:from>
    <xdr:to>
      <xdr:col>11</xdr:col>
      <xdr:colOff>805786</xdr:colOff>
      <xdr:row>177</xdr:row>
      <xdr:rowOff>146174</xdr:rowOff>
    </xdr:to>
    <xdr:cxnSp macro="">
      <xdr:nvCxnSpPr>
        <xdr:cNvPr id="449" name="Conector recto 448"/>
        <xdr:cNvCxnSpPr>
          <a:stCxn id="428" idx="6"/>
          <a:endCxn id="438" idx="1"/>
        </xdr:cNvCxnSpPr>
      </xdr:nvCxnSpPr>
      <xdr:spPr>
        <a:xfrm>
          <a:off x="15429672" y="23081139"/>
          <a:ext cx="1005397" cy="144903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1000125</xdr:colOff>
      <xdr:row>170</xdr:row>
      <xdr:rowOff>47205</xdr:rowOff>
    </xdr:from>
    <xdr:to>
      <xdr:col>11</xdr:col>
      <xdr:colOff>746677</xdr:colOff>
      <xdr:row>178</xdr:row>
      <xdr:rowOff>127149</xdr:rowOff>
    </xdr:to>
    <xdr:cxnSp macro="">
      <xdr:nvCxnSpPr>
        <xdr:cNvPr id="453" name="Conector recto 452"/>
        <xdr:cNvCxnSpPr>
          <a:stCxn id="437" idx="2"/>
          <a:endCxn id="431" idx="6"/>
        </xdr:cNvCxnSpPr>
      </xdr:nvCxnSpPr>
      <xdr:spPr>
        <a:xfrm flipH="1">
          <a:off x="15420147" y="23097705"/>
          <a:ext cx="955813" cy="1603944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689465</xdr:colOff>
      <xdr:row>167</xdr:row>
      <xdr:rowOff>175201</xdr:rowOff>
    </xdr:from>
    <xdr:to>
      <xdr:col>11</xdr:col>
      <xdr:colOff>819038</xdr:colOff>
      <xdr:row>169</xdr:row>
      <xdr:rowOff>82796</xdr:rowOff>
    </xdr:to>
    <xdr:cxnSp macro="">
      <xdr:nvCxnSpPr>
        <xdr:cNvPr id="457" name="Conector recto 456"/>
        <xdr:cNvCxnSpPr>
          <a:stCxn id="426" idx="5"/>
          <a:endCxn id="437" idx="1"/>
        </xdr:cNvCxnSpPr>
      </xdr:nvCxnSpPr>
      <xdr:spPr>
        <a:xfrm>
          <a:off x="14347487" y="22654201"/>
          <a:ext cx="2100834" cy="28859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689465</xdr:colOff>
      <xdr:row>167</xdr:row>
      <xdr:rowOff>175201</xdr:rowOff>
    </xdr:from>
    <xdr:to>
      <xdr:col>11</xdr:col>
      <xdr:colOff>733425</xdr:colOff>
      <xdr:row>178</xdr:row>
      <xdr:rowOff>110583</xdr:rowOff>
    </xdr:to>
    <xdr:cxnSp macro="">
      <xdr:nvCxnSpPr>
        <xdr:cNvPr id="461" name="Conector recto 460"/>
        <xdr:cNvCxnSpPr>
          <a:stCxn id="426" idx="5"/>
          <a:endCxn id="438" idx="2"/>
        </xdr:cNvCxnSpPr>
      </xdr:nvCxnSpPr>
      <xdr:spPr>
        <a:xfrm>
          <a:off x="14347487" y="22654201"/>
          <a:ext cx="2015221" cy="2030882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708515</xdr:colOff>
      <xdr:row>170</xdr:row>
      <xdr:rowOff>47205</xdr:rowOff>
    </xdr:from>
    <xdr:to>
      <xdr:col>11</xdr:col>
      <xdr:colOff>746677</xdr:colOff>
      <xdr:row>180</xdr:row>
      <xdr:rowOff>102266</xdr:rowOff>
    </xdr:to>
    <xdr:cxnSp macro="">
      <xdr:nvCxnSpPr>
        <xdr:cNvPr id="465" name="Conector recto 464"/>
        <xdr:cNvCxnSpPr>
          <a:stCxn id="432" idx="7"/>
          <a:endCxn id="437" idx="2"/>
        </xdr:cNvCxnSpPr>
      </xdr:nvCxnSpPr>
      <xdr:spPr>
        <a:xfrm flipV="1">
          <a:off x="14366537" y="23097705"/>
          <a:ext cx="2009423" cy="196006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179</xdr:row>
      <xdr:rowOff>74992</xdr:rowOff>
    </xdr:from>
    <xdr:to>
      <xdr:col>11</xdr:col>
      <xdr:colOff>805786</xdr:colOff>
      <xdr:row>181</xdr:row>
      <xdr:rowOff>66675</xdr:rowOff>
    </xdr:to>
    <xdr:cxnSp macro="">
      <xdr:nvCxnSpPr>
        <xdr:cNvPr id="469" name="Conector recto 468"/>
        <xdr:cNvCxnSpPr>
          <a:stCxn id="432" idx="6"/>
          <a:endCxn id="438" idx="3"/>
        </xdr:cNvCxnSpPr>
      </xdr:nvCxnSpPr>
      <xdr:spPr>
        <a:xfrm flipV="1">
          <a:off x="14439072" y="24839992"/>
          <a:ext cx="1995997" cy="3726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1641613</xdr:colOff>
      <xdr:row>169</xdr:row>
      <xdr:rowOff>15679</xdr:rowOff>
    </xdr:from>
    <xdr:to>
      <xdr:col>12</xdr:col>
      <xdr:colOff>164462</xdr:colOff>
      <xdr:row>171</xdr:row>
      <xdr:rowOff>72829</xdr:rowOff>
    </xdr:to>
    <xdr:sp macro="" textlink="">
      <xdr:nvSpPr>
        <xdr:cNvPr id="473" name="Elipse 472"/>
        <xdr:cNvSpPr/>
      </xdr:nvSpPr>
      <xdr:spPr>
        <a:xfrm>
          <a:off x="17270896" y="22875679"/>
          <a:ext cx="494109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9</a:t>
          </a:r>
        </a:p>
      </xdr:txBody>
    </xdr:sp>
    <xdr:clientData/>
  </xdr:twoCellAnchor>
  <xdr:twoCellAnchor>
    <xdr:from>
      <xdr:col>11</xdr:col>
      <xdr:colOff>1240786</xdr:colOff>
      <xdr:row>170</xdr:row>
      <xdr:rowOff>44254</xdr:rowOff>
    </xdr:from>
    <xdr:to>
      <xdr:col>11</xdr:col>
      <xdr:colOff>1641613</xdr:colOff>
      <xdr:row>170</xdr:row>
      <xdr:rowOff>47205</xdr:rowOff>
    </xdr:to>
    <xdr:cxnSp macro="">
      <xdr:nvCxnSpPr>
        <xdr:cNvPr id="478" name="Conector recto 477"/>
        <xdr:cNvCxnSpPr>
          <a:stCxn id="437" idx="6"/>
          <a:endCxn id="473" idx="2"/>
        </xdr:cNvCxnSpPr>
      </xdr:nvCxnSpPr>
      <xdr:spPr>
        <a:xfrm flipV="1">
          <a:off x="16870069" y="23094754"/>
          <a:ext cx="400827" cy="295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659648</xdr:colOff>
      <xdr:row>168</xdr:row>
      <xdr:rowOff>21145</xdr:rowOff>
    </xdr:from>
    <xdr:to>
      <xdr:col>11</xdr:col>
      <xdr:colOff>789221</xdr:colOff>
      <xdr:row>169</xdr:row>
      <xdr:rowOff>119240</xdr:rowOff>
    </xdr:to>
    <xdr:cxnSp macro="">
      <xdr:nvCxnSpPr>
        <xdr:cNvPr id="504" name="Conector recto 503"/>
        <xdr:cNvCxnSpPr/>
      </xdr:nvCxnSpPr>
      <xdr:spPr>
        <a:xfrm>
          <a:off x="14317670" y="22690645"/>
          <a:ext cx="2100834" cy="28859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5798</xdr:colOff>
      <xdr:row>179</xdr:row>
      <xdr:rowOff>28609</xdr:rowOff>
    </xdr:from>
    <xdr:to>
      <xdr:col>11</xdr:col>
      <xdr:colOff>792534</xdr:colOff>
      <xdr:row>181</xdr:row>
      <xdr:rowOff>20292</xdr:rowOff>
    </xdr:to>
    <xdr:cxnSp macro="">
      <xdr:nvCxnSpPr>
        <xdr:cNvPr id="505" name="Conector recto 504"/>
        <xdr:cNvCxnSpPr/>
      </xdr:nvCxnSpPr>
      <xdr:spPr>
        <a:xfrm flipV="1">
          <a:off x="14425820" y="24793609"/>
          <a:ext cx="1995997" cy="3726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701061</xdr:colOff>
      <xdr:row>167</xdr:row>
      <xdr:rowOff>128818</xdr:rowOff>
    </xdr:from>
    <xdr:to>
      <xdr:col>11</xdr:col>
      <xdr:colOff>745021</xdr:colOff>
      <xdr:row>178</xdr:row>
      <xdr:rowOff>64200</xdr:rowOff>
    </xdr:to>
    <xdr:cxnSp macro="">
      <xdr:nvCxnSpPr>
        <xdr:cNvPr id="506" name="Conector recto 505"/>
        <xdr:cNvCxnSpPr/>
      </xdr:nvCxnSpPr>
      <xdr:spPr>
        <a:xfrm>
          <a:off x="14359083" y="22607818"/>
          <a:ext cx="2015221" cy="2030882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1020003</xdr:colOff>
      <xdr:row>170</xdr:row>
      <xdr:rowOff>116779</xdr:rowOff>
    </xdr:from>
    <xdr:to>
      <xdr:col>11</xdr:col>
      <xdr:colOff>766555</xdr:colOff>
      <xdr:row>179</xdr:row>
      <xdr:rowOff>6223</xdr:rowOff>
    </xdr:to>
    <xdr:cxnSp macro="">
      <xdr:nvCxnSpPr>
        <xdr:cNvPr id="507" name="Conector recto 506"/>
        <xdr:cNvCxnSpPr/>
      </xdr:nvCxnSpPr>
      <xdr:spPr>
        <a:xfrm flipH="1">
          <a:off x="15440025" y="23167279"/>
          <a:ext cx="955813" cy="1603944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995156</xdr:colOff>
      <xdr:row>178</xdr:row>
      <xdr:rowOff>155309</xdr:rowOff>
    </xdr:from>
    <xdr:to>
      <xdr:col>11</xdr:col>
      <xdr:colOff>728456</xdr:colOff>
      <xdr:row>178</xdr:row>
      <xdr:rowOff>171875</xdr:rowOff>
    </xdr:to>
    <xdr:cxnSp macro="">
      <xdr:nvCxnSpPr>
        <xdr:cNvPr id="508" name="Conector recto 507"/>
        <xdr:cNvCxnSpPr/>
      </xdr:nvCxnSpPr>
      <xdr:spPr>
        <a:xfrm flipV="1">
          <a:off x="15415178" y="24729809"/>
          <a:ext cx="942561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678697</xdr:colOff>
      <xdr:row>170</xdr:row>
      <xdr:rowOff>17388</xdr:rowOff>
    </xdr:from>
    <xdr:to>
      <xdr:col>11</xdr:col>
      <xdr:colOff>716859</xdr:colOff>
      <xdr:row>180</xdr:row>
      <xdr:rowOff>72449</xdr:rowOff>
    </xdr:to>
    <xdr:cxnSp macro="">
      <xdr:nvCxnSpPr>
        <xdr:cNvPr id="509" name="Conector recto 508"/>
        <xdr:cNvCxnSpPr/>
      </xdr:nvCxnSpPr>
      <xdr:spPr>
        <a:xfrm flipV="1">
          <a:off x="14336719" y="23067888"/>
          <a:ext cx="2009423" cy="196006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1021246</xdr:colOff>
      <xdr:row>169</xdr:row>
      <xdr:rowOff>183039</xdr:rowOff>
    </xdr:from>
    <xdr:to>
      <xdr:col>11</xdr:col>
      <xdr:colOff>758273</xdr:colOff>
      <xdr:row>170</xdr:row>
      <xdr:rowOff>9105</xdr:rowOff>
    </xdr:to>
    <xdr:cxnSp macro="">
      <xdr:nvCxnSpPr>
        <xdr:cNvPr id="510" name="Conector recto 509"/>
        <xdr:cNvCxnSpPr/>
      </xdr:nvCxnSpPr>
      <xdr:spPr>
        <a:xfrm>
          <a:off x="15441268" y="23043039"/>
          <a:ext cx="946288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1062659</xdr:colOff>
      <xdr:row>170</xdr:row>
      <xdr:rowOff>17386</xdr:rowOff>
    </xdr:from>
    <xdr:to>
      <xdr:col>11</xdr:col>
      <xdr:colOff>858795</xdr:colOff>
      <xdr:row>177</xdr:row>
      <xdr:rowOff>132921</xdr:rowOff>
    </xdr:to>
    <xdr:cxnSp macro="">
      <xdr:nvCxnSpPr>
        <xdr:cNvPr id="511" name="Conector recto 510"/>
        <xdr:cNvCxnSpPr/>
      </xdr:nvCxnSpPr>
      <xdr:spPr>
        <a:xfrm>
          <a:off x="15482681" y="23067886"/>
          <a:ext cx="1005397" cy="144903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1235817</xdr:colOff>
      <xdr:row>169</xdr:row>
      <xdr:rowOff>188371</xdr:rowOff>
    </xdr:from>
    <xdr:to>
      <xdr:col>11</xdr:col>
      <xdr:colOff>1636644</xdr:colOff>
      <xdr:row>170</xdr:row>
      <xdr:rowOff>822</xdr:rowOff>
    </xdr:to>
    <xdr:cxnSp macro="">
      <xdr:nvCxnSpPr>
        <xdr:cNvPr id="513" name="Conector recto 512"/>
        <xdr:cNvCxnSpPr/>
      </xdr:nvCxnSpPr>
      <xdr:spPr>
        <a:xfrm flipV="1">
          <a:off x="16865100" y="23048371"/>
          <a:ext cx="400827" cy="295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266700</xdr:colOff>
      <xdr:row>145</xdr:row>
      <xdr:rowOff>182217</xdr:rowOff>
    </xdr:from>
    <xdr:to>
      <xdr:col>10</xdr:col>
      <xdr:colOff>0</xdr:colOff>
      <xdr:row>148</xdr:row>
      <xdr:rowOff>48867</xdr:rowOff>
    </xdr:to>
    <xdr:sp macro="" textlink="">
      <xdr:nvSpPr>
        <xdr:cNvPr id="514" name="Elipse 513"/>
        <xdr:cNvSpPr/>
      </xdr:nvSpPr>
      <xdr:spPr>
        <a:xfrm>
          <a:off x="13926671" y="22280217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10</xdr:col>
      <xdr:colOff>495300</xdr:colOff>
      <xdr:row>145</xdr:row>
      <xdr:rowOff>170255</xdr:rowOff>
    </xdr:from>
    <xdr:to>
      <xdr:col>10</xdr:col>
      <xdr:colOff>990600</xdr:colOff>
      <xdr:row>148</xdr:row>
      <xdr:rowOff>36905</xdr:rowOff>
    </xdr:to>
    <xdr:sp macro="" textlink="">
      <xdr:nvSpPr>
        <xdr:cNvPr id="515" name="Elipse 514"/>
        <xdr:cNvSpPr/>
      </xdr:nvSpPr>
      <xdr:spPr>
        <a:xfrm>
          <a:off x="14917271" y="22268255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10</xdr:col>
      <xdr:colOff>514350</xdr:colOff>
      <xdr:row>149</xdr:row>
      <xdr:rowOff>2064</xdr:rowOff>
    </xdr:from>
    <xdr:to>
      <xdr:col>10</xdr:col>
      <xdr:colOff>1009650</xdr:colOff>
      <xdr:row>151</xdr:row>
      <xdr:rowOff>59214</xdr:rowOff>
    </xdr:to>
    <xdr:sp macro="" textlink="">
      <xdr:nvSpPr>
        <xdr:cNvPr id="516" name="Elipse 515"/>
        <xdr:cNvSpPr/>
      </xdr:nvSpPr>
      <xdr:spPr>
        <a:xfrm>
          <a:off x="14936321" y="22862064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9</xdr:col>
      <xdr:colOff>276225</xdr:colOff>
      <xdr:row>153</xdr:row>
      <xdr:rowOff>0</xdr:rowOff>
    </xdr:from>
    <xdr:to>
      <xdr:col>10</xdr:col>
      <xdr:colOff>9525</xdr:colOff>
      <xdr:row>155</xdr:row>
      <xdr:rowOff>57150</xdr:rowOff>
    </xdr:to>
    <xdr:sp macro="" textlink="">
      <xdr:nvSpPr>
        <xdr:cNvPr id="517" name="Elipse 516"/>
        <xdr:cNvSpPr/>
      </xdr:nvSpPr>
      <xdr:spPr>
        <a:xfrm>
          <a:off x="13936196" y="23622000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9</xdr:col>
      <xdr:colOff>514350</xdr:colOff>
      <xdr:row>148</xdr:row>
      <xdr:rowOff>48867</xdr:rowOff>
    </xdr:from>
    <xdr:to>
      <xdr:col>9</xdr:col>
      <xdr:colOff>523875</xdr:colOff>
      <xdr:row>153</xdr:row>
      <xdr:rowOff>0</xdr:rowOff>
    </xdr:to>
    <xdr:cxnSp macro="">
      <xdr:nvCxnSpPr>
        <xdr:cNvPr id="518" name="Conector recto 517"/>
        <xdr:cNvCxnSpPr>
          <a:stCxn id="517" idx="0"/>
          <a:endCxn id="514" idx="4"/>
        </xdr:cNvCxnSpPr>
      </xdr:nvCxnSpPr>
      <xdr:spPr>
        <a:xfrm flipH="1" flipV="1">
          <a:off x="14174321" y="22718367"/>
          <a:ext cx="9525" cy="903633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504825</xdr:colOff>
      <xdr:row>157</xdr:row>
      <xdr:rowOff>98574</xdr:rowOff>
    </xdr:from>
    <xdr:to>
      <xdr:col>10</xdr:col>
      <xdr:colOff>1000125</xdr:colOff>
      <xdr:row>159</xdr:row>
      <xdr:rowOff>155724</xdr:rowOff>
    </xdr:to>
    <xdr:sp macro="" textlink="">
      <xdr:nvSpPr>
        <xdr:cNvPr id="519" name="Elipse 518"/>
        <xdr:cNvSpPr/>
      </xdr:nvSpPr>
      <xdr:spPr>
        <a:xfrm>
          <a:off x="14926796" y="24482574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>
    <xdr:from>
      <xdr:col>9</xdr:col>
      <xdr:colOff>285750</xdr:colOff>
      <xdr:row>160</xdr:row>
      <xdr:rowOff>38100</xdr:rowOff>
    </xdr:from>
    <xdr:to>
      <xdr:col>10</xdr:col>
      <xdr:colOff>19050</xdr:colOff>
      <xdr:row>162</xdr:row>
      <xdr:rowOff>95250</xdr:rowOff>
    </xdr:to>
    <xdr:sp macro="" textlink="">
      <xdr:nvSpPr>
        <xdr:cNvPr id="520" name="Elipse 519"/>
        <xdr:cNvSpPr/>
      </xdr:nvSpPr>
      <xdr:spPr>
        <a:xfrm>
          <a:off x="13945721" y="24993600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9</xdr:col>
      <xdr:colOff>698990</xdr:colOff>
      <xdr:row>154</xdr:row>
      <xdr:rowOff>183484</xdr:rowOff>
    </xdr:from>
    <xdr:to>
      <xdr:col>10</xdr:col>
      <xdr:colOff>577360</xdr:colOff>
      <xdr:row>157</xdr:row>
      <xdr:rowOff>162740</xdr:rowOff>
    </xdr:to>
    <xdr:cxnSp macro="">
      <xdr:nvCxnSpPr>
        <xdr:cNvPr id="521" name="Conector recto 520"/>
        <xdr:cNvCxnSpPr>
          <a:stCxn id="519" idx="1"/>
          <a:endCxn id="517" idx="5"/>
        </xdr:cNvCxnSpPr>
      </xdr:nvCxnSpPr>
      <xdr:spPr>
        <a:xfrm flipH="1" flipV="1">
          <a:off x="14358961" y="23995984"/>
          <a:ext cx="640370" cy="550756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155</xdr:row>
      <xdr:rowOff>57150</xdr:rowOff>
    </xdr:from>
    <xdr:to>
      <xdr:col>9</xdr:col>
      <xdr:colOff>533400</xdr:colOff>
      <xdr:row>160</xdr:row>
      <xdr:rowOff>38100</xdr:rowOff>
    </xdr:to>
    <xdr:cxnSp macro="">
      <xdr:nvCxnSpPr>
        <xdr:cNvPr id="522" name="Conector recto 521"/>
        <xdr:cNvCxnSpPr>
          <a:stCxn id="520" idx="0"/>
          <a:endCxn id="517" idx="4"/>
        </xdr:cNvCxnSpPr>
      </xdr:nvCxnSpPr>
      <xdr:spPr>
        <a:xfrm flipH="1" flipV="1">
          <a:off x="14183846" y="24060150"/>
          <a:ext cx="9525" cy="93345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698990</xdr:colOff>
      <xdr:row>150</xdr:row>
      <xdr:rowOff>185548</xdr:rowOff>
    </xdr:from>
    <xdr:to>
      <xdr:col>10</xdr:col>
      <xdr:colOff>586885</xdr:colOff>
      <xdr:row>153</xdr:row>
      <xdr:rowOff>64166</xdr:rowOff>
    </xdr:to>
    <xdr:cxnSp macro="">
      <xdr:nvCxnSpPr>
        <xdr:cNvPr id="523" name="Conector recto 522"/>
        <xdr:cNvCxnSpPr>
          <a:stCxn id="517" idx="7"/>
          <a:endCxn id="516" idx="3"/>
        </xdr:cNvCxnSpPr>
      </xdr:nvCxnSpPr>
      <xdr:spPr>
        <a:xfrm flipV="1">
          <a:off x="14358961" y="23236048"/>
          <a:ext cx="649895" cy="450118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147</xdr:row>
      <xdr:rowOff>163239</xdr:rowOff>
    </xdr:from>
    <xdr:to>
      <xdr:col>10</xdr:col>
      <xdr:colOff>567835</xdr:colOff>
      <xdr:row>153</xdr:row>
      <xdr:rowOff>0</xdr:rowOff>
    </xdr:to>
    <xdr:cxnSp macro="">
      <xdr:nvCxnSpPr>
        <xdr:cNvPr id="524" name="Conector recto 523"/>
        <xdr:cNvCxnSpPr>
          <a:stCxn id="517" idx="0"/>
          <a:endCxn id="515" idx="3"/>
        </xdr:cNvCxnSpPr>
      </xdr:nvCxnSpPr>
      <xdr:spPr>
        <a:xfrm flipV="1">
          <a:off x="14183846" y="22642239"/>
          <a:ext cx="805960" cy="979761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266700</xdr:colOff>
      <xdr:row>188</xdr:row>
      <xdr:rowOff>182217</xdr:rowOff>
    </xdr:from>
    <xdr:to>
      <xdr:col>10</xdr:col>
      <xdr:colOff>0</xdr:colOff>
      <xdr:row>191</xdr:row>
      <xdr:rowOff>48867</xdr:rowOff>
    </xdr:to>
    <xdr:sp macro="" textlink="">
      <xdr:nvSpPr>
        <xdr:cNvPr id="546" name="Elipse 545"/>
        <xdr:cNvSpPr/>
      </xdr:nvSpPr>
      <xdr:spPr>
        <a:xfrm>
          <a:off x="13925550" y="22280217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10</xdr:col>
      <xdr:colOff>495300</xdr:colOff>
      <xdr:row>188</xdr:row>
      <xdr:rowOff>170255</xdr:rowOff>
    </xdr:from>
    <xdr:to>
      <xdr:col>10</xdr:col>
      <xdr:colOff>990600</xdr:colOff>
      <xdr:row>191</xdr:row>
      <xdr:rowOff>36905</xdr:rowOff>
    </xdr:to>
    <xdr:sp macro="" textlink="">
      <xdr:nvSpPr>
        <xdr:cNvPr id="547" name="Elipse 546"/>
        <xdr:cNvSpPr/>
      </xdr:nvSpPr>
      <xdr:spPr>
        <a:xfrm>
          <a:off x="14916150" y="26459255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10</xdr:col>
      <xdr:colOff>514350</xdr:colOff>
      <xdr:row>192</xdr:row>
      <xdr:rowOff>2064</xdr:rowOff>
    </xdr:from>
    <xdr:to>
      <xdr:col>10</xdr:col>
      <xdr:colOff>1009650</xdr:colOff>
      <xdr:row>194</xdr:row>
      <xdr:rowOff>59214</xdr:rowOff>
    </xdr:to>
    <xdr:sp macro="" textlink="">
      <xdr:nvSpPr>
        <xdr:cNvPr id="548" name="Elipse 547"/>
        <xdr:cNvSpPr/>
      </xdr:nvSpPr>
      <xdr:spPr>
        <a:xfrm>
          <a:off x="14935200" y="22862064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9</xdr:col>
      <xdr:colOff>276225</xdr:colOff>
      <xdr:row>196</xdr:row>
      <xdr:rowOff>0</xdr:rowOff>
    </xdr:from>
    <xdr:to>
      <xdr:col>10</xdr:col>
      <xdr:colOff>9525</xdr:colOff>
      <xdr:row>198</xdr:row>
      <xdr:rowOff>57150</xdr:rowOff>
    </xdr:to>
    <xdr:sp macro="" textlink="">
      <xdr:nvSpPr>
        <xdr:cNvPr id="549" name="Elipse 548"/>
        <xdr:cNvSpPr/>
      </xdr:nvSpPr>
      <xdr:spPr>
        <a:xfrm>
          <a:off x="13935075" y="23622000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9</xdr:col>
      <xdr:colOff>514350</xdr:colOff>
      <xdr:row>191</xdr:row>
      <xdr:rowOff>48867</xdr:rowOff>
    </xdr:from>
    <xdr:to>
      <xdr:col>9</xdr:col>
      <xdr:colOff>523875</xdr:colOff>
      <xdr:row>196</xdr:row>
      <xdr:rowOff>0</xdr:rowOff>
    </xdr:to>
    <xdr:cxnSp macro="">
      <xdr:nvCxnSpPr>
        <xdr:cNvPr id="550" name="Conector recto 549"/>
        <xdr:cNvCxnSpPr>
          <a:stCxn id="549" idx="0"/>
          <a:endCxn id="546" idx="4"/>
        </xdr:cNvCxnSpPr>
      </xdr:nvCxnSpPr>
      <xdr:spPr>
        <a:xfrm flipH="1" flipV="1">
          <a:off x="14173200" y="22718367"/>
          <a:ext cx="9525" cy="903633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504825</xdr:colOff>
      <xdr:row>200</xdr:row>
      <xdr:rowOff>98574</xdr:rowOff>
    </xdr:from>
    <xdr:to>
      <xdr:col>10</xdr:col>
      <xdr:colOff>1000125</xdr:colOff>
      <xdr:row>202</xdr:row>
      <xdr:rowOff>155724</xdr:rowOff>
    </xdr:to>
    <xdr:sp macro="" textlink="">
      <xdr:nvSpPr>
        <xdr:cNvPr id="551" name="Elipse 550"/>
        <xdr:cNvSpPr/>
      </xdr:nvSpPr>
      <xdr:spPr>
        <a:xfrm>
          <a:off x="14925675" y="24482574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>
    <xdr:from>
      <xdr:col>9</xdr:col>
      <xdr:colOff>285750</xdr:colOff>
      <xdr:row>203</xdr:row>
      <xdr:rowOff>38100</xdr:rowOff>
    </xdr:from>
    <xdr:to>
      <xdr:col>10</xdr:col>
      <xdr:colOff>19050</xdr:colOff>
      <xdr:row>205</xdr:row>
      <xdr:rowOff>95250</xdr:rowOff>
    </xdr:to>
    <xdr:sp macro="" textlink="">
      <xdr:nvSpPr>
        <xdr:cNvPr id="552" name="Elipse 551"/>
        <xdr:cNvSpPr/>
      </xdr:nvSpPr>
      <xdr:spPr>
        <a:xfrm>
          <a:off x="13944600" y="24993600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9</xdr:col>
      <xdr:colOff>698990</xdr:colOff>
      <xdr:row>197</xdr:row>
      <xdr:rowOff>183484</xdr:rowOff>
    </xdr:from>
    <xdr:to>
      <xdr:col>10</xdr:col>
      <xdr:colOff>577360</xdr:colOff>
      <xdr:row>200</xdr:row>
      <xdr:rowOff>162740</xdr:rowOff>
    </xdr:to>
    <xdr:cxnSp macro="">
      <xdr:nvCxnSpPr>
        <xdr:cNvPr id="553" name="Conector recto 552"/>
        <xdr:cNvCxnSpPr>
          <a:stCxn id="551" idx="1"/>
          <a:endCxn id="549" idx="5"/>
        </xdr:cNvCxnSpPr>
      </xdr:nvCxnSpPr>
      <xdr:spPr>
        <a:xfrm flipH="1" flipV="1">
          <a:off x="14357840" y="23995984"/>
          <a:ext cx="640370" cy="550756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198</xdr:row>
      <xdr:rowOff>57150</xdr:rowOff>
    </xdr:from>
    <xdr:to>
      <xdr:col>9</xdr:col>
      <xdr:colOff>533400</xdr:colOff>
      <xdr:row>203</xdr:row>
      <xdr:rowOff>38100</xdr:rowOff>
    </xdr:to>
    <xdr:cxnSp macro="">
      <xdr:nvCxnSpPr>
        <xdr:cNvPr id="554" name="Conector recto 553"/>
        <xdr:cNvCxnSpPr>
          <a:stCxn id="552" idx="0"/>
          <a:endCxn id="549" idx="4"/>
        </xdr:cNvCxnSpPr>
      </xdr:nvCxnSpPr>
      <xdr:spPr>
        <a:xfrm flipH="1" flipV="1">
          <a:off x="14182725" y="24060150"/>
          <a:ext cx="9525" cy="93345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698990</xdr:colOff>
      <xdr:row>193</xdr:row>
      <xdr:rowOff>185548</xdr:rowOff>
    </xdr:from>
    <xdr:to>
      <xdr:col>10</xdr:col>
      <xdr:colOff>586885</xdr:colOff>
      <xdr:row>196</xdr:row>
      <xdr:rowOff>64166</xdr:rowOff>
    </xdr:to>
    <xdr:cxnSp macro="">
      <xdr:nvCxnSpPr>
        <xdr:cNvPr id="555" name="Conector recto 554"/>
        <xdr:cNvCxnSpPr>
          <a:stCxn id="549" idx="7"/>
          <a:endCxn id="548" idx="3"/>
        </xdr:cNvCxnSpPr>
      </xdr:nvCxnSpPr>
      <xdr:spPr>
        <a:xfrm flipV="1">
          <a:off x="14357840" y="23236048"/>
          <a:ext cx="649895" cy="450118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190</xdr:row>
      <xdr:rowOff>163239</xdr:rowOff>
    </xdr:from>
    <xdr:to>
      <xdr:col>10</xdr:col>
      <xdr:colOff>567835</xdr:colOff>
      <xdr:row>196</xdr:row>
      <xdr:rowOff>0</xdr:rowOff>
    </xdr:to>
    <xdr:cxnSp macro="">
      <xdr:nvCxnSpPr>
        <xdr:cNvPr id="556" name="Conector recto 555"/>
        <xdr:cNvCxnSpPr>
          <a:stCxn id="549" idx="0"/>
          <a:endCxn id="547" idx="3"/>
        </xdr:cNvCxnSpPr>
      </xdr:nvCxnSpPr>
      <xdr:spPr>
        <a:xfrm flipV="1">
          <a:off x="14182725" y="22642239"/>
          <a:ext cx="805960" cy="979761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746677</xdr:colOff>
      <xdr:row>192</xdr:row>
      <xdr:rowOff>18630</xdr:rowOff>
    </xdr:from>
    <xdr:to>
      <xdr:col>11</xdr:col>
      <xdr:colOff>1240786</xdr:colOff>
      <xdr:row>194</xdr:row>
      <xdr:rowOff>75780</xdr:rowOff>
    </xdr:to>
    <xdr:sp macro="" textlink="">
      <xdr:nvSpPr>
        <xdr:cNvPr id="557" name="Elipse 556"/>
        <xdr:cNvSpPr/>
      </xdr:nvSpPr>
      <xdr:spPr>
        <a:xfrm>
          <a:off x="16377202" y="22878630"/>
          <a:ext cx="494109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>
    <xdr:from>
      <xdr:col>11</xdr:col>
      <xdr:colOff>733425</xdr:colOff>
      <xdr:row>200</xdr:row>
      <xdr:rowOff>82008</xdr:rowOff>
    </xdr:from>
    <xdr:to>
      <xdr:col>11</xdr:col>
      <xdr:colOff>1227534</xdr:colOff>
      <xdr:row>202</xdr:row>
      <xdr:rowOff>139158</xdr:rowOff>
    </xdr:to>
    <xdr:sp macro="" textlink="">
      <xdr:nvSpPr>
        <xdr:cNvPr id="558" name="Elipse 557"/>
        <xdr:cNvSpPr/>
      </xdr:nvSpPr>
      <xdr:spPr>
        <a:xfrm>
          <a:off x="16363950" y="24466008"/>
          <a:ext cx="494109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8</a:t>
          </a:r>
        </a:p>
      </xdr:txBody>
    </xdr:sp>
    <xdr:clientData/>
  </xdr:twoCellAnchor>
  <xdr:twoCellAnchor>
    <xdr:from>
      <xdr:col>10</xdr:col>
      <xdr:colOff>1009650</xdr:colOff>
      <xdr:row>193</xdr:row>
      <xdr:rowOff>30639</xdr:rowOff>
    </xdr:from>
    <xdr:to>
      <xdr:col>11</xdr:col>
      <xdr:colOff>746677</xdr:colOff>
      <xdr:row>193</xdr:row>
      <xdr:rowOff>47205</xdr:rowOff>
    </xdr:to>
    <xdr:cxnSp macro="">
      <xdr:nvCxnSpPr>
        <xdr:cNvPr id="559" name="Conector recto 558"/>
        <xdr:cNvCxnSpPr>
          <a:stCxn id="548" idx="6"/>
          <a:endCxn id="557" idx="2"/>
        </xdr:cNvCxnSpPr>
      </xdr:nvCxnSpPr>
      <xdr:spPr>
        <a:xfrm>
          <a:off x="15430500" y="23081139"/>
          <a:ext cx="946702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1000125</xdr:colOff>
      <xdr:row>201</xdr:row>
      <xdr:rowOff>110583</xdr:rowOff>
    </xdr:from>
    <xdr:to>
      <xdr:col>11</xdr:col>
      <xdr:colOff>733425</xdr:colOff>
      <xdr:row>201</xdr:row>
      <xdr:rowOff>127149</xdr:rowOff>
    </xdr:to>
    <xdr:cxnSp macro="">
      <xdr:nvCxnSpPr>
        <xdr:cNvPr id="560" name="Conector recto 559"/>
        <xdr:cNvCxnSpPr>
          <a:stCxn id="551" idx="6"/>
          <a:endCxn id="558" idx="2"/>
        </xdr:cNvCxnSpPr>
      </xdr:nvCxnSpPr>
      <xdr:spPr>
        <a:xfrm flipV="1">
          <a:off x="15420975" y="24685083"/>
          <a:ext cx="942975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193</xdr:row>
      <xdr:rowOff>30639</xdr:rowOff>
    </xdr:from>
    <xdr:to>
      <xdr:col>11</xdr:col>
      <xdr:colOff>805786</xdr:colOff>
      <xdr:row>200</xdr:row>
      <xdr:rowOff>146174</xdr:rowOff>
    </xdr:to>
    <xdr:cxnSp macro="">
      <xdr:nvCxnSpPr>
        <xdr:cNvPr id="561" name="Conector recto 560"/>
        <xdr:cNvCxnSpPr>
          <a:stCxn id="548" idx="6"/>
          <a:endCxn id="558" idx="1"/>
        </xdr:cNvCxnSpPr>
      </xdr:nvCxnSpPr>
      <xdr:spPr>
        <a:xfrm>
          <a:off x="15430500" y="23081139"/>
          <a:ext cx="1005811" cy="144903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1000125</xdr:colOff>
      <xdr:row>193</xdr:row>
      <xdr:rowOff>47205</xdr:rowOff>
    </xdr:from>
    <xdr:to>
      <xdr:col>11</xdr:col>
      <xdr:colOff>746677</xdr:colOff>
      <xdr:row>201</xdr:row>
      <xdr:rowOff>127149</xdr:rowOff>
    </xdr:to>
    <xdr:cxnSp macro="">
      <xdr:nvCxnSpPr>
        <xdr:cNvPr id="562" name="Conector recto 561"/>
        <xdr:cNvCxnSpPr>
          <a:stCxn id="557" idx="2"/>
          <a:endCxn id="551" idx="6"/>
        </xdr:cNvCxnSpPr>
      </xdr:nvCxnSpPr>
      <xdr:spPr>
        <a:xfrm flipH="1">
          <a:off x="15420975" y="23097705"/>
          <a:ext cx="956227" cy="1603944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689465</xdr:colOff>
      <xdr:row>190</xdr:row>
      <xdr:rowOff>175201</xdr:rowOff>
    </xdr:from>
    <xdr:to>
      <xdr:col>11</xdr:col>
      <xdr:colOff>819038</xdr:colOff>
      <xdr:row>192</xdr:row>
      <xdr:rowOff>82796</xdr:rowOff>
    </xdr:to>
    <xdr:cxnSp macro="">
      <xdr:nvCxnSpPr>
        <xdr:cNvPr id="563" name="Conector recto 562"/>
        <xdr:cNvCxnSpPr>
          <a:stCxn id="546" idx="5"/>
          <a:endCxn id="557" idx="1"/>
        </xdr:cNvCxnSpPr>
      </xdr:nvCxnSpPr>
      <xdr:spPr>
        <a:xfrm>
          <a:off x="14348315" y="22654201"/>
          <a:ext cx="2101248" cy="28859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689465</xdr:colOff>
      <xdr:row>190</xdr:row>
      <xdr:rowOff>175201</xdr:rowOff>
    </xdr:from>
    <xdr:to>
      <xdr:col>11</xdr:col>
      <xdr:colOff>733425</xdr:colOff>
      <xdr:row>201</xdr:row>
      <xdr:rowOff>110583</xdr:rowOff>
    </xdr:to>
    <xdr:cxnSp macro="">
      <xdr:nvCxnSpPr>
        <xdr:cNvPr id="564" name="Conector recto 563"/>
        <xdr:cNvCxnSpPr>
          <a:stCxn id="546" idx="5"/>
          <a:endCxn id="558" idx="2"/>
        </xdr:cNvCxnSpPr>
      </xdr:nvCxnSpPr>
      <xdr:spPr>
        <a:xfrm>
          <a:off x="14348315" y="22654201"/>
          <a:ext cx="2015635" cy="2030882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708515</xdr:colOff>
      <xdr:row>193</xdr:row>
      <xdr:rowOff>47205</xdr:rowOff>
    </xdr:from>
    <xdr:to>
      <xdr:col>11</xdr:col>
      <xdr:colOff>746677</xdr:colOff>
      <xdr:row>203</xdr:row>
      <xdr:rowOff>102266</xdr:rowOff>
    </xdr:to>
    <xdr:cxnSp macro="">
      <xdr:nvCxnSpPr>
        <xdr:cNvPr id="565" name="Conector recto 564"/>
        <xdr:cNvCxnSpPr>
          <a:stCxn id="552" idx="7"/>
          <a:endCxn id="557" idx="2"/>
        </xdr:cNvCxnSpPr>
      </xdr:nvCxnSpPr>
      <xdr:spPr>
        <a:xfrm flipV="1">
          <a:off x="14367365" y="23097705"/>
          <a:ext cx="2009837" cy="196006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202</xdr:row>
      <xdr:rowOff>74992</xdr:rowOff>
    </xdr:from>
    <xdr:to>
      <xdr:col>11</xdr:col>
      <xdr:colOff>805786</xdr:colOff>
      <xdr:row>204</xdr:row>
      <xdr:rowOff>66675</xdr:rowOff>
    </xdr:to>
    <xdr:cxnSp macro="">
      <xdr:nvCxnSpPr>
        <xdr:cNvPr id="566" name="Conector recto 565"/>
        <xdr:cNvCxnSpPr>
          <a:stCxn id="552" idx="6"/>
          <a:endCxn id="558" idx="3"/>
        </xdr:cNvCxnSpPr>
      </xdr:nvCxnSpPr>
      <xdr:spPr>
        <a:xfrm flipV="1">
          <a:off x="14439900" y="24839992"/>
          <a:ext cx="1996411" cy="3726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1622563</xdr:colOff>
      <xdr:row>192</xdr:row>
      <xdr:rowOff>15679</xdr:rowOff>
    </xdr:from>
    <xdr:to>
      <xdr:col>12</xdr:col>
      <xdr:colOff>145412</xdr:colOff>
      <xdr:row>194</xdr:row>
      <xdr:rowOff>72829</xdr:rowOff>
    </xdr:to>
    <xdr:sp macro="" textlink="">
      <xdr:nvSpPr>
        <xdr:cNvPr id="567" name="Elipse 566"/>
        <xdr:cNvSpPr/>
      </xdr:nvSpPr>
      <xdr:spPr>
        <a:xfrm>
          <a:off x="17253088" y="26685679"/>
          <a:ext cx="494524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9</a:t>
          </a:r>
        </a:p>
      </xdr:txBody>
    </xdr:sp>
    <xdr:clientData/>
  </xdr:twoCellAnchor>
  <xdr:twoCellAnchor>
    <xdr:from>
      <xdr:col>9</xdr:col>
      <xdr:colOff>659648</xdr:colOff>
      <xdr:row>191</xdr:row>
      <xdr:rowOff>21145</xdr:rowOff>
    </xdr:from>
    <xdr:to>
      <xdr:col>11</xdr:col>
      <xdr:colOff>789221</xdr:colOff>
      <xdr:row>192</xdr:row>
      <xdr:rowOff>119240</xdr:rowOff>
    </xdr:to>
    <xdr:cxnSp macro="">
      <xdr:nvCxnSpPr>
        <xdr:cNvPr id="569" name="Conector recto 568"/>
        <xdr:cNvCxnSpPr/>
      </xdr:nvCxnSpPr>
      <xdr:spPr>
        <a:xfrm>
          <a:off x="14318498" y="26500645"/>
          <a:ext cx="2101248" cy="28859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5798</xdr:colOff>
      <xdr:row>202</xdr:row>
      <xdr:rowOff>28609</xdr:rowOff>
    </xdr:from>
    <xdr:to>
      <xdr:col>11</xdr:col>
      <xdr:colOff>792534</xdr:colOff>
      <xdr:row>204</xdr:row>
      <xdr:rowOff>20292</xdr:rowOff>
    </xdr:to>
    <xdr:cxnSp macro="">
      <xdr:nvCxnSpPr>
        <xdr:cNvPr id="570" name="Conector recto 569"/>
        <xdr:cNvCxnSpPr/>
      </xdr:nvCxnSpPr>
      <xdr:spPr>
        <a:xfrm flipV="1">
          <a:off x="14426648" y="24793609"/>
          <a:ext cx="1996411" cy="3726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701061</xdr:colOff>
      <xdr:row>190</xdr:row>
      <xdr:rowOff>128818</xdr:rowOff>
    </xdr:from>
    <xdr:to>
      <xdr:col>11</xdr:col>
      <xdr:colOff>745021</xdr:colOff>
      <xdr:row>201</xdr:row>
      <xdr:rowOff>64200</xdr:rowOff>
    </xdr:to>
    <xdr:cxnSp macro="">
      <xdr:nvCxnSpPr>
        <xdr:cNvPr id="571" name="Conector recto 570"/>
        <xdr:cNvCxnSpPr/>
      </xdr:nvCxnSpPr>
      <xdr:spPr>
        <a:xfrm>
          <a:off x="14359911" y="22607818"/>
          <a:ext cx="2015635" cy="2030882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1020003</xdr:colOff>
      <xdr:row>193</xdr:row>
      <xdr:rowOff>116779</xdr:rowOff>
    </xdr:from>
    <xdr:to>
      <xdr:col>11</xdr:col>
      <xdr:colOff>766555</xdr:colOff>
      <xdr:row>202</xdr:row>
      <xdr:rowOff>6223</xdr:rowOff>
    </xdr:to>
    <xdr:cxnSp macro="">
      <xdr:nvCxnSpPr>
        <xdr:cNvPr id="572" name="Conector recto 571"/>
        <xdr:cNvCxnSpPr/>
      </xdr:nvCxnSpPr>
      <xdr:spPr>
        <a:xfrm flipH="1">
          <a:off x="15440853" y="23167279"/>
          <a:ext cx="956227" cy="1603944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995156</xdr:colOff>
      <xdr:row>201</xdr:row>
      <xdr:rowOff>155309</xdr:rowOff>
    </xdr:from>
    <xdr:to>
      <xdr:col>11</xdr:col>
      <xdr:colOff>728456</xdr:colOff>
      <xdr:row>201</xdr:row>
      <xdr:rowOff>171875</xdr:rowOff>
    </xdr:to>
    <xdr:cxnSp macro="">
      <xdr:nvCxnSpPr>
        <xdr:cNvPr id="573" name="Conector recto 572"/>
        <xdr:cNvCxnSpPr/>
      </xdr:nvCxnSpPr>
      <xdr:spPr>
        <a:xfrm flipV="1">
          <a:off x="15416006" y="24729809"/>
          <a:ext cx="942975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678697</xdr:colOff>
      <xdr:row>193</xdr:row>
      <xdr:rowOff>17388</xdr:rowOff>
    </xdr:from>
    <xdr:to>
      <xdr:col>11</xdr:col>
      <xdr:colOff>716859</xdr:colOff>
      <xdr:row>203</xdr:row>
      <xdr:rowOff>72449</xdr:rowOff>
    </xdr:to>
    <xdr:cxnSp macro="">
      <xdr:nvCxnSpPr>
        <xdr:cNvPr id="574" name="Conector recto 573"/>
        <xdr:cNvCxnSpPr/>
      </xdr:nvCxnSpPr>
      <xdr:spPr>
        <a:xfrm flipV="1">
          <a:off x="14337547" y="23067888"/>
          <a:ext cx="2009837" cy="196006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1021246</xdr:colOff>
      <xdr:row>192</xdr:row>
      <xdr:rowOff>183039</xdr:rowOff>
    </xdr:from>
    <xdr:to>
      <xdr:col>11</xdr:col>
      <xdr:colOff>758273</xdr:colOff>
      <xdr:row>193</xdr:row>
      <xdr:rowOff>9105</xdr:rowOff>
    </xdr:to>
    <xdr:cxnSp macro="">
      <xdr:nvCxnSpPr>
        <xdr:cNvPr id="575" name="Conector recto 574"/>
        <xdr:cNvCxnSpPr/>
      </xdr:nvCxnSpPr>
      <xdr:spPr>
        <a:xfrm>
          <a:off x="15442096" y="23043039"/>
          <a:ext cx="946702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1062659</xdr:colOff>
      <xdr:row>193</xdr:row>
      <xdr:rowOff>17386</xdr:rowOff>
    </xdr:from>
    <xdr:to>
      <xdr:col>11</xdr:col>
      <xdr:colOff>858795</xdr:colOff>
      <xdr:row>200</xdr:row>
      <xdr:rowOff>132921</xdr:rowOff>
    </xdr:to>
    <xdr:cxnSp macro="">
      <xdr:nvCxnSpPr>
        <xdr:cNvPr id="576" name="Conector recto 575"/>
        <xdr:cNvCxnSpPr/>
      </xdr:nvCxnSpPr>
      <xdr:spPr>
        <a:xfrm>
          <a:off x="15483509" y="23067886"/>
          <a:ext cx="1005811" cy="144903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514350</xdr:colOff>
      <xdr:row>195</xdr:row>
      <xdr:rowOff>180975</xdr:rowOff>
    </xdr:from>
    <xdr:to>
      <xdr:col>10</xdr:col>
      <xdr:colOff>1009650</xdr:colOff>
      <xdr:row>198</xdr:row>
      <xdr:rowOff>47625</xdr:rowOff>
    </xdr:to>
    <xdr:sp macro="" textlink="">
      <xdr:nvSpPr>
        <xdr:cNvPr id="578" name="Elipse 577"/>
        <xdr:cNvSpPr/>
      </xdr:nvSpPr>
      <xdr:spPr>
        <a:xfrm>
          <a:off x="14935200" y="27422475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</xdr:txBody>
    </xdr:sp>
    <xdr:clientData/>
  </xdr:twoCellAnchor>
  <xdr:twoCellAnchor>
    <xdr:from>
      <xdr:col>10</xdr:col>
      <xdr:colOff>9525</xdr:colOff>
      <xdr:row>197</xdr:row>
      <xdr:rowOff>19050</xdr:rowOff>
    </xdr:from>
    <xdr:to>
      <xdr:col>10</xdr:col>
      <xdr:colOff>514350</xdr:colOff>
      <xdr:row>197</xdr:row>
      <xdr:rowOff>28575</xdr:rowOff>
    </xdr:to>
    <xdr:cxnSp macro="">
      <xdr:nvCxnSpPr>
        <xdr:cNvPr id="579" name="Conector recto 578"/>
        <xdr:cNvCxnSpPr>
          <a:stCxn id="549" idx="6"/>
          <a:endCxn id="578" idx="2"/>
        </xdr:cNvCxnSpPr>
      </xdr:nvCxnSpPr>
      <xdr:spPr>
        <a:xfrm flipV="1">
          <a:off x="14430375" y="27641550"/>
          <a:ext cx="504825" cy="9525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689465</xdr:colOff>
      <xdr:row>190</xdr:row>
      <xdr:rowOff>175201</xdr:rowOff>
    </xdr:from>
    <xdr:to>
      <xdr:col>10</xdr:col>
      <xdr:colOff>762000</xdr:colOff>
      <xdr:row>195</xdr:row>
      <xdr:rowOff>180975</xdr:rowOff>
    </xdr:to>
    <xdr:cxnSp macro="">
      <xdr:nvCxnSpPr>
        <xdr:cNvPr id="582" name="Conector recto 581"/>
        <xdr:cNvCxnSpPr>
          <a:stCxn id="578" idx="0"/>
          <a:endCxn id="546" idx="5"/>
        </xdr:cNvCxnSpPr>
      </xdr:nvCxnSpPr>
      <xdr:spPr>
        <a:xfrm flipH="1" flipV="1">
          <a:off x="14348315" y="26464201"/>
          <a:ext cx="834535" cy="958274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762000</xdr:colOff>
      <xdr:row>194</xdr:row>
      <xdr:rowOff>59214</xdr:rowOff>
    </xdr:from>
    <xdr:to>
      <xdr:col>10</xdr:col>
      <xdr:colOff>762000</xdr:colOff>
      <xdr:row>195</xdr:row>
      <xdr:rowOff>180975</xdr:rowOff>
    </xdr:to>
    <xdr:cxnSp macro="">
      <xdr:nvCxnSpPr>
        <xdr:cNvPr id="585" name="Conector recto 584"/>
        <xdr:cNvCxnSpPr>
          <a:stCxn id="578" idx="0"/>
          <a:endCxn id="548" idx="4"/>
        </xdr:cNvCxnSpPr>
      </xdr:nvCxnSpPr>
      <xdr:spPr>
        <a:xfrm flipV="1">
          <a:off x="15182850" y="27110214"/>
          <a:ext cx="0" cy="312261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752475</xdr:colOff>
      <xdr:row>198</xdr:row>
      <xdr:rowOff>47625</xdr:rowOff>
    </xdr:from>
    <xdr:to>
      <xdr:col>10</xdr:col>
      <xdr:colOff>762000</xdr:colOff>
      <xdr:row>200</xdr:row>
      <xdr:rowOff>98574</xdr:rowOff>
    </xdr:to>
    <xdr:cxnSp macro="">
      <xdr:nvCxnSpPr>
        <xdr:cNvPr id="588" name="Conector recto 587"/>
        <xdr:cNvCxnSpPr>
          <a:stCxn id="551" idx="0"/>
          <a:endCxn id="578" idx="4"/>
        </xdr:cNvCxnSpPr>
      </xdr:nvCxnSpPr>
      <xdr:spPr>
        <a:xfrm flipV="1">
          <a:off x="15173325" y="27860625"/>
          <a:ext cx="9525" cy="431949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708515</xdr:colOff>
      <xdr:row>197</xdr:row>
      <xdr:rowOff>173959</xdr:rowOff>
    </xdr:from>
    <xdr:to>
      <xdr:col>10</xdr:col>
      <xdr:colOff>586885</xdr:colOff>
      <xdr:row>203</xdr:row>
      <xdr:rowOff>102266</xdr:rowOff>
    </xdr:to>
    <xdr:cxnSp macro="">
      <xdr:nvCxnSpPr>
        <xdr:cNvPr id="591" name="Conector recto 590"/>
        <xdr:cNvCxnSpPr>
          <a:stCxn id="552" idx="7"/>
          <a:endCxn id="578" idx="3"/>
        </xdr:cNvCxnSpPr>
      </xdr:nvCxnSpPr>
      <xdr:spPr>
        <a:xfrm flipV="1">
          <a:off x="14367365" y="27796459"/>
          <a:ext cx="640370" cy="107130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194</xdr:row>
      <xdr:rowOff>11614</xdr:rowOff>
    </xdr:from>
    <xdr:to>
      <xdr:col>11</xdr:col>
      <xdr:colOff>819038</xdr:colOff>
      <xdr:row>197</xdr:row>
      <xdr:rowOff>19050</xdr:rowOff>
    </xdr:to>
    <xdr:cxnSp macro="">
      <xdr:nvCxnSpPr>
        <xdr:cNvPr id="594" name="Conector recto 593"/>
        <xdr:cNvCxnSpPr>
          <a:stCxn id="557" idx="3"/>
          <a:endCxn id="578" idx="6"/>
        </xdr:cNvCxnSpPr>
      </xdr:nvCxnSpPr>
      <xdr:spPr>
        <a:xfrm flipH="1">
          <a:off x="15430500" y="27062614"/>
          <a:ext cx="1019063" cy="578936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197</xdr:row>
      <xdr:rowOff>19050</xdr:rowOff>
    </xdr:from>
    <xdr:to>
      <xdr:col>11</xdr:col>
      <xdr:colOff>733425</xdr:colOff>
      <xdr:row>201</xdr:row>
      <xdr:rowOff>110583</xdr:rowOff>
    </xdr:to>
    <xdr:cxnSp macro="">
      <xdr:nvCxnSpPr>
        <xdr:cNvPr id="597" name="Conector recto 596"/>
        <xdr:cNvCxnSpPr>
          <a:stCxn id="558" idx="2"/>
          <a:endCxn id="578" idx="6"/>
        </xdr:cNvCxnSpPr>
      </xdr:nvCxnSpPr>
      <xdr:spPr>
        <a:xfrm flipH="1" flipV="1">
          <a:off x="15430500" y="27641550"/>
          <a:ext cx="933450" cy="853533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194</xdr:row>
      <xdr:rowOff>8663</xdr:rowOff>
    </xdr:from>
    <xdr:to>
      <xdr:col>11</xdr:col>
      <xdr:colOff>1694984</xdr:colOff>
      <xdr:row>197</xdr:row>
      <xdr:rowOff>19050</xdr:rowOff>
    </xdr:to>
    <xdr:cxnSp macro="">
      <xdr:nvCxnSpPr>
        <xdr:cNvPr id="600" name="Conector recto 599"/>
        <xdr:cNvCxnSpPr>
          <a:stCxn id="567" idx="3"/>
          <a:endCxn id="578" idx="6"/>
        </xdr:cNvCxnSpPr>
      </xdr:nvCxnSpPr>
      <xdr:spPr>
        <a:xfrm flipH="1">
          <a:off x="15430500" y="27059663"/>
          <a:ext cx="1895009" cy="58188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990600</xdr:colOff>
      <xdr:row>190</xdr:row>
      <xdr:rowOff>8330</xdr:rowOff>
    </xdr:from>
    <xdr:to>
      <xdr:col>11</xdr:col>
      <xdr:colOff>1694984</xdr:colOff>
      <xdr:row>192</xdr:row>
      <xdr:rowOff>79845</xdr:rowOff>
    </xdr:to>
    <xdr:cxnSp macro="">
      <xdr:nvCxnSpPr>
        <xdr:cNvPr id="609" name="Conector recto 608"/>
        <xdr:cNvCxnSpPr>
          <a:stCxn id="567" idx="1"/>
          <a:endCxn id="547" idx="6"/>
        </xdr:cNvCxnSpPr>
      </xdr:nvCxnSpPr>
      <xdr:spPr>
        <a:xfrm flipH="1" flipV="1">
          <a:off x="15411450" y="26297330"/>
          <a:ext cx="1914059" cy="452515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</xdr:colOff>
      <xdr:row>197</xdr:row>
      <xdr:rowOff>28575</xdr:rowOff>
    </xdr:from>
    <xdr:to>
      <xdr:col>11</xdr:col>
      <xdr:colOff>733425</xdr:colOff>
      <xdr:row>201</xdr:row>
      <xdr:rowOff>110583</xdr:rowOff>
    </xdr:to>
    <xdr:cxnSp macro="">
      <xdr:nvCxnSpPr>
        <xdr:cNvPr id="612" name="Conector recto 611"/>
        <xdr:cNvCxnSpPr>
          <a:stCxn id="549" idx="6"/>
          <a:endCxn id="558" idx="2"/>
        </xdr:cNvCxnSpPr>
      </xdr:nvCxnSpPr>
      <xdr:spPr>
        <a:xfrm>
          <a:off x="14430375" y="27651075"/>
          <a:ext cx="1933575" cy="844008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980480</xdr:colOff>
      <xdr:row>194</xdr:row>
      <xdr:rowOff>75780</xdr:rowOff>
    </xdr:from>
    <xdr:to>
      <xdr:col>11</xdr:col>
      <xdr:colOff>993732</xdr:colOff>
      <xdr:row>200</xdr:row>
      <xdr:rowOff>82008</xdr:rowOff>
    </xdr:to>
    <xdr:cxnSp macro="">
      <xdr:nvCxnSpPr>
        <xdr:cNvPr id="615" name="Conector recto 614"/>
        <xdr:cNvCxnSpPr>
          <a:stCxn id="558" idx="0"/>
          <a:endCxn id="557" idx="4"/>
        </xdr:cNvCxnSpPr>
      </xdr:nvCxnSpPr>
      <xdr:spPr>
        <a:xfrm flipV="1">
          <a:off x="16611005" y="27126780"/>
          <a:ext cx="13252" cy="1149228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1240786</xdr:colOff>
      <xdr:row>193</xdr:row>
      <xdr:rowOff>44254</xdr:rowOff>
    </xdr:from>
    <xdr:to>
      <xdr:col>11</xdr:col>
      <xdr:colOff>1622563</xdr:colOff>
      <xdr:row>193</xdr:row>
      <xdr:rowOff>47205</xdr:rowOff>
    </xdr:to>
    <xdr:cxnSp macro="">
      <xdr:nvCxnSpPr>
        <xdr:cNvPr id="623" name="Conector recto 622"/>
        <xdr:cNvCxnSpPr>
          <a:stCxn id="557" idx="6"/>
          <a:endCxn id="567" idx="2"/>
        </xdr:cNvCxnSpPr>
      </xdr:nvCxnSpPr>
      <xdr:spPr>
        <a:xfrm flipV="1">
          <a:off x="16871311" y="26904754"/>
          <a:ext cx="381777" cy="295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1240786</xdr:colOff>
      <xdr:row>192</xdr:row>
      <xdr:rowOff>187129</xdr:rowOff>
    </xdr:from>
    <xdr:to>
      <xdr:col>11</xdr:col>
      <xdr:colOff>1622563</xdr:colOff>
      <xdr:row>192</xdr:row>
      <xdr:rowOff>190080</xdr:rowOff>
    </xdr:to>
    <xdr:cxnSp macro="">
      <xdr:nvCxnSpPr>
        <xdr:cNvPr id="626" name="Conector recto 625"/>
        <xdr:cNvCxnSpPr/>
      </xdr:nvCxnSpPr>
      <xdr:spPr>
        <a:xfrm flipV="1">
          <a:off x="16871311" y="26857129"/>
          <a:ext cx="381777" cy="295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495300</xdr:colOff>
      <xdr:row>185</xdr:row>
      <xdr:rowOff>94055</xdr:rowOff>
    </xdr:from>
    <xdr:to>
      <xdr:col>10</xdr:col>
      <xdr:colOff>990600</xdr:colOff>
      <xdr:row>187</xdr:row>
      <xdr:rowOff>151205</xdr:rowOff>
    </xdr:to>
    <xdr:sp macro="" textlink="">
      <xdr:nvSpPr>
        <xdr:cNvPr id="627" name="Elipse 626"/>
        <xdr:cNvSpPr/>
      </xdr:nvSpPr>
      <xdr:spPr>
        <a:xfrm>
          <a:off x="14916150" y="26002055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14</a:t>
          </a:r>
        </a:p>
      </xdr:txBody>
    </xdr:sp>
    <xdr:clientData/>
  </xdr:twoCellAnchor>
  <xdr:twoCellAnchor>
    <xdr:from>
      <xdr:col>10</xdr:col>
      <xdr:colOff>742950</xdr:colOff>
      <xdr:row>187</xdr:row>
      <xdr:rowOff>151205</xdr:rowOff>
    </xdr:from>
    <xdr:to>
      <xdr:col>10</xdr:col>
      <xdr:colOff>742950</xdr:colOff>
      <xdr:row>188</xdr:row>
      <xdr:rowOff>170255</xdr:rowOff>
    </xdr:to>
    <xdr:cxnSp macro="">
      <xdr:nvCxnSpPr>
        <xdr:cNvPr id="630" name="Conector recto 629"/>
        <xdr:cNvCxnSpPr>
          <a:stCxn id="627" idx="4"/>
          <a:endCxn id="547" idx="0"/>
        </xdr:cNvCxnSpPr>
      </xdr:nvCxnSpPr>
      <xdr:spPr>
        <a:xfrm>
          <a:off x="15163800" y="26440205"/>
          <a:ext cx="0" cy="20955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1155173</xdr:colOff>
      <xdr:row>194</xdr:row>
      <xdr:rowOff>72829</xdr:rowOff>
    </xdr:from>
    <xdr:to>
      <xdr:col>11</xdr:col>
      <xdr:colOff>1869825</xdr:colOff>
      <xdr:row>200</xdr:row>
      <xdr:rowOff>146174</xdr:rowOff>
    </xdr:to>
    <xdr:cxnSp macro="">
      <xdr:nvCxnSpPr>
        <xdr:cNvPr id="633" name="Conector recto 632"/>
        <xdr:cNvCxnSpPr>
          <a:stCxn id="567" idx="4"/>
          <a:endCxn id="558" idx="7"/>
        </xdr:cNvCxnSpPr>
      </xdr:nvCxnSpPr>
      <xdr:spPr>
        <a:xfrm flipH="1">
          <a:off x="16785698" y="27695329"/>
          <a:ext cx="714652" cy="1216345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431426</xdr:colOff>
      <xdr:row>203</xdr:row>
      <xdr:rowOff>38026</xdr:rowOff>
    </xdr:from>
    <xdr:to>
      <xdr:col>13</xdr:col>
      <xdr:colOff>164726</xdr:colOff>
      <xdr:row>205</xdr:row>
      <xdr:rowOff>95176</xdr:rowOff>
    </xdr:to>
    <xdr:sp macro="" textlink="">
      <xdr:nvSpPr>
        <xdr:cNvPr id="636" name="Elipse 635"/>
        <xdr:cNvSpPr/>
      </xdr:nvSpPr>
      <xdr:spPr>
        <a:xfrm>
          <a:off x="18035867" y="29375026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11</a:t>
          </a:r>
        </a:p>
      </xdr:txBody>
    </xdr:sp>
    <xdr:clientData/>
  </xdr:twoCellAnchor>
  <xdr:twoCellAnchor>
    <xdr:from>
      <xdr:col>12</xdr:col>
      <xdr:colOff>428066</xdr:colOff>
      <xdr:row>196</xdr:row>
      <xdr:rowOff>4408</xdr:rowOff>
    </xdr:from>
    <xdr:to>
      <xdr:col>13</xdr:col>
      <xdr:colOff>161926</xdr:colOff>
      <xdr:row>198</xdr:row>
      <xdr:rowOff>61558</xdr:rowOff>
    </xdr:to>
    <xdr:sp macro="" textlink="">
      <xdr:nvSpPr>
        <xdr:cNvPr id="637" name="Elipse 636"/>
        <xdr:cNvSpPr/>
      </xdr:nvSpPr>
      <xdr:spPr>
        <a:xfrm>
          <a:off x="18032507" y="28007908"/>
          <a:ext cx="49586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12</a:t>
          </a:r>
        </a:p>
      </xdr:txBody>
    </xdr:sp>
    <xdr:clientData/>
  </xdr:twoCellAnchor>
  <xdr:twoCellAnchor>
    <xdr:from>
      <xdr:col>12</xdr:col>
      <xdr:colOff>675996</xdr:colOff>
      <xdr:row>198</xdr:row>
      <xdr:rowOff>61558</xdr:rowOff>
    </xdr:from>
    <xdr:to>
      <xdr:col>12</xdr:col>
      <xdr:colOff>679076</xdr:colOff>
      <xdr:row>203</xdr:row>
      <xdr:rowOff>38026</xdr:rowOff>
    </xdr:to>
    <xdr:cxnSp macro="">
      <xdr:nvCxnSpPr>
        <xdr:cNvPr id="638" name="Conector recto 637"/>
        <xdr:cNvCxnSpPr>
          <a:stCxn id="637" idx="4"/>
          <a:endCxn id="636" idx="0"/>
        </xdr:cNvCxnSpPr>
      </xdr:nvCxnSpPr>
      <xdr:spPr>
        <a:xfrm>
          <a:off x="18280437" y="28446058"/>
          <a:ext cx="3080" cy="928968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266700</xdr:colOff>
      <xdr:row>211</xdr:row>
      <xdr:rowOff>182217</xdr:rowOff>
    </xdr:from>
    <xdr:to>
      <xdr:col>10</xdr:col>
      <xdr:colOff>0</xdr:colOff>
      <xdr:row>214</xdr:row>
      <xdr:rowOff>48867</xdr:rowOff>
    </xdr:to>
    <xdr:sp macro="" textlink="">
      <xdr:nvSpPr>
        <xdr:cNvPr id="648" name="Elipse 647"/>
        <xdr:cNvSpPr/>
      </xdr:nvSpPr>
      <xdr:spPr>
        <a:xfrm>
          <a:off x="13926671" y="26661717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10</xdr:col>
      <xdr:colOff>495300</xdr:colOff>
      <xdr:row>211</xdr:row>
      <xdr:rowOff>170255</xdr:rowOff>
    </xdr:from>
    <xdr:to>
      <xdr:col>10</xdr:col>
      <xdr:colOff>990600</xdr:colOff>
      <xdr:row>214</xdr:row>
      <xdr:rowOff>36905</xdr:rowOff>
    </xdr:to>
    <xdr:sp macro="" textlink="">
      <xdr:nvSpPr>
        <xdr:cNvPr id="649" name="Elipse 648"/>
        <xdr:cNvSpPr/>
      </xdr:nvSpPr>
      <xdr:spPr>
        <a:xfrm>
          <a:off x="14917271" y="26649755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10</xdr:col>
      <xdr:colOff>514350</xdr:colOff>
      <xdr:row>215</xdr:row>
      <xdr:rowOff>2064</xdr:rowOff>
    </xdr:from>
    <xdr:to>
      <xdr:col>10</xdr:col>
      <xdr:colOff>1009650</xdr:colOff>
      <xdr:row>217</xdr:row>
      <xdr:rowOff>59214</xdr:rowOff>
    </xdr:to>
    <xdr:sp macro="" textlink="">
      <xdr:nvSpPr>
        <xdr:cNvPr id="650" name="Elipse 649"/>
        <xdr:cNvSpPr/>
      </xdr:nvSpPr>
      <xdr:spPr>
        <a:xfrm>
          <a:off x="14936321" y="27243564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9</xdr:col>
      <xdr:colOff>276225</xdr:colOff>
      <xdr:row>219</xdr:row>
      <xdr:rowOff>0</xdr:rowOff>
    </xdr:from>
    <xdr:to>
      <xdr:col>10</xdr:col>
      <xdr:colOff>9525</xdr:colOff>
      <xdr:row>221</xdr:row>
      <xdr:rowOff>57150</xdr:rowOff>
    </xdr:to>
    <xdr:sp macro="" textlink="">
      <xdr:nvSpPr>
        <xdr:cNvPr id="651" name="Elipse 650"/>
        <xdr:cNvSpPr/>
      </xdr:nvSpPr>
      <xdr:spPr>
        <a:xfrm>
          <a:off x="13936196" y="28003500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9</xdr:col>
      <xdr:colOff>514350</xdr:colOff>
      <xdr:row>214</xdr:row>
      <xdr:rowOff>48867</xdr:rowOff>
    </xdr:from>
    <xdr:to>
      <xdr:col>9</xdr:col>
      <xdr:colOff>523875</xdr:colOff>
      <xdr:row>219</xdr:row>
      <xdr:rowOff>0</xdr:rowOff>
    </xdr:to>
    <xdr:cxnSp macro="">
      <xdr:nvCxnSpPr>
        <xdr:cNvPr id="652" name="Conector recto 651"/>
        <xdr:cNvCxnSpPr>
          <a:stCxn id="651" idx="0"/>
          <a:endCxn id="648" idx="4"/>
        </xdr:cNvCxnSpPr>
      </xdr:nvCxnSpPr>
      <xdr:spPr>
        <a:xfrm flipH="1" flipV="1">
          <a:off x="14174321" y="27099867"/>
          <a:ext cx="9525" cy="903633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504825</xdr:colOff>
      <xdr:row>223</xdr:row>
      <xdr:rowOff>98574</xdr:rowOff>
    </xdr:from>
    <xdr:to>
      <xdr:col>10</xdr:col>
      <xdr:colOff>1000125</xdr:colOff>
      <xdr:row>225</xdr:row>
      <xdr:rowOff>155724</xdr:rowOff>
    </xdr:to>
    <xdr:sp macro="" textlink="">
      <xdr:nvSpPr>
        <xdr:cNvPr id="653" name="Elipse 652"/>
        <xdr:cNvSpPr/>
      </xdr:nvSpPr>
      <xdr:spPr>
        <a:xfrm>
          <a:off x="14926796" y="28864074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>
    <xdr:from>
      <xdr:col>9</xdr:col>
      <xdr:colOff>285750</xdr:colOff>
      <xdr:row>226</xdr:row>
      <xdr:rowOff>38100</xdr:rowOff>
    </xdr:from>
    <xdr:to>
      <xdr:col>10</xdr:col>
      <xdr:colOff>19050</xdr:colOff>
      <xdr:row>228</xdr:row>
      <xdr:rowOff>95250</xdr:rowOff>
    </xdr:to>
    <xdr:sp macro="" textlink="">
      <xdr:nvSpPr>
        <xdr:cNvPr id="654" name="Elipse 653"/>
        <xdr:cNvSpPr/>
      </xdr:nvSpPr>
      <xdr:spPr>
        <a:xfrm>
          <a:off x="13945721" y="29375100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9</xdr:col>
      <xdr:colOff>698990</xdr:colOff>
      <xdr:row>220</xdr:row>
      <xdr:rowOff>183484</xdr:rowOff>
    </xdr:from>
    <xdr:to>
      <xdr:col>10</xdr:col>
      <xdr:colOff>577360</xdr:colOff>
      <xdr:row>223</xdr:row>
      <xdr:rowOff>162740</xdr:rowOff>
    </xdr:to>
    <xdr:cxnSp macro="">
      <xdr:nvCxnSpPr>
        <xdr:cNvPr id="655" name="Conector recto 654"/>
        <xdr:cNvCxnSpPr>
          <a:stCxn id="653" idx="1"/>
          <a:endCxn id="651" idx="5"/>
        </xdr:cNvCxnSpPr>
      </xdr:nvCxnSpPr>
      <xdr:spPr>
        <a:xfrm flipH="1" flipV="1">
          <a:off x="14358961" y="28377484"/>
          <a:ext cx="640370" cy="550756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221</xdr:row>
      <xdr:rowOff>57150</xdr:rowOff>
    </xdr:from>
    <xdr:to>
      <xdr:col>9</xdr:col>
      <xdr:colOff>533400</xdr:colOff>
      <xdr:row>226</xdr:row>
      <xdr:rowOff>38100</xdr:rowOff>
    </xdr:to>
    <xdr:cxnSp macro="">
      <xdr:nvCxnSpPr>
        <xdr:cNvPr id="656" name="Conector recto 655"/>
        <xdr:cNvCxnSpPr>
          <a:stCxn id="654" idx="0"/>
          <a:endCxn id="651" idx="4"/>
        </xdr:cNvCxnSpPr>
      </xdr:nvCxnSpPr>
      <xdr:spPr>
        <a:xfrm flipH="1" flipV="1">
          <a:off x="14183846" y="28441650"/>
          <a:ext cx="9525" cy="93345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698990</xdr:colOff>
      <xdr:row>216</xdr:row>
      <xdr:rowOff>185548</xdr:rowOff>
    </xdr:from>
    <xdr:to>
      <xdr:col>10</xdr:col>
      <xdr:colOff>586885</xdr:colOff>
      <xdr:row>219</xdr:row>
      <xdr:rowOff>64166</xdr:rowOff>
    </xdr:to>
    <xdr:cxnSp macro="">
      <xdr:nvCxnSpPr>
        <xdr:cNvPr id="657" name="Conector recto 656"/>
        <xdr:cNvCxnSpPr>
          <a:stCxn id="651" idx="7"/>
          <a:endCxn id="650" idx="3"/>
        </xdr:cNvCxnSpPr>
      </xdr:nvCxnSpPr>
      <xdr:spPr>
        <a:xfrm flipV="1">
          <a:off x="14358961" y="27617548"/>
          <a:ext cx="649895" cy="450118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213</xdr:row>
      <xdr:rowOff>163239</xdr:rowOff>
    </xdr:from>
    <xdr:to>
      <xdr:col>10</xdr:col>
      <xdr:colOff>567835</xdr:colOff>
      <xdr:row>219</xdr:row>
      <xdr:rowOff>0</xdr:rowOff>
    </xdr:to>
    <xdr:cxnSp macro="">
      <xdr:nvCxnSpPr>
        <xdr:cNvPr id="658" name="Conector recto 657"/>
        <xdr:cNvCxnSpPr>
          <a:stCxn id="651" idx="0"/>
          <a:endCxn id="649" idx="3"/>
        </xdr:cNvCxnSpPr>
      </xdr:nvCxnSpPr>
      <xdr:spPr>
        <a:xfrm flipV="1">
          <a:off x="14183846" y="27023739"/>
          <a:ext cx="805960" cy="979761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746677</xdr:colOff>
      <xdr:row>215</xdr:row>
      <xdr:rowOff>18630</xdr:rowOff>
    </xdr:from>
    <xdr:to>
      <xdr:col>11</xdr:col>
      <xdr:colOff>1240786</xdr:colOff>
      <xdr:row>217</xdr:row>
      <xdr:rowOff>75780</xdr:rowOff>
    </xdr:to>
    <xdr:sp macro="" textlink="">
      <xdr:nvSpPr>
        <xdr:cNvPr id="659" name="Elipse 658"/>
        <xdr:cNvSpPr/>
      </xdr:nvSpPr>
      <xdr:spPr>
        <a:xfrm>
          <a:off x="16378883" y="27260130"/>
          <a:ext cx="494109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>
    <xdr:from>
      <xdr:col>11</xdr:col>
      <xdr:colOff>733425</xdr:colOff>
      <xdr:row>223</xdr:row>
      <xdr:rowOff>82008</xdr:rowOff>
    </xdr:from>
    <xdr:to>
      <xdr:col>11</xdr:col>
      <xdr:colOff>1227534</xdr:colOff>
      <xdr:row>225</xdr:row>
      <xdr:rowOff>139158</xdr:rowOff>
    </xdr:to>
    <xdr:sp macro="" textlink="">
      <xdr:nvSpPr>
        <xdr:cNvPr id="660" name="Elipse 659"/>
        <xdr:cNvSpPr/>
      </xdr:nvSpPr>
      <xdr:spPr>
        <a:xfrm>
          <a:off x="16365631" y="28847508"/>
          <a:ext cx="494109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8</a:t>
          </a:r>
        </a:p>
      </xdr:txBody>
    </xdr:sp>
    <xdr:clientData/>
  </xdr:twoCellAnchor>
  <xdr:twoCellAnchor>
    <xdr:from>
      <xdr:col>10</xdr:col>
      <xdr:colOff>1009650</xdr:colOff>
      <xdr:row>216</xdr:row>
      <xdr:rowOff>30639</xdr:rowOff>
    </xdr:from>
    <xdr:to>
      <xdr:col>11</xdr:col>
      <xdr:colOff>746677</xdr:colOff>
      <xdr:row>216</xdr:row>
      <xdr:rowOff>47205</xdr:rowOff>
    </xdr:to>
    <xdr:cxnSp macro="">
      <xdr:nvCxnSpPr>
        <xdr:cNvPr id="661" name="Conector recto 660"/>
        <xdr:cNvCxnSpPr>
          <a:stCxn id="650" idx="6"/>
          <a:endCxn id="659" idx="2"/>
        </xdr:cNvCxnSpPr>
      </xdr:nvCxnSpPr>
      <xdr:spPr>
        <a:xfrm>
          <a:off x="15431621" y="27462639"/>
          <a:ext cx="947262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1000125</xdr:colOff>
      <xdr:row>224</xdr:row>
      <xdr:rowOff>110583</xdr:rowOff>
    </xdr:from>
    <xdr:to>
      <xdr:col>11</xdr:col>
      <xdr:colOff>733425</xdr:colOff>
      <xdr:row>224</xdr:row>
      <xdr:rowOff>127149</xdr:rowOff>
    </xdr:to>
    <xdr:cxnSp macro="">
      <xdr:nvCxnSpPr>
        <xdr:cNvPr id="662" name="Conector recto 661"/>
        <xdr:cNvCxnSpPr>
          <a:stCxn id="653" idx="6"/>
          <a:endCxn id="660" idx="2"/>
        </xdr:cNvCxnSpPr>
      </xdr:nvCxnSpPr>
      <xdr:spPr>
        <a:xfrm flipV="1">
          <a:off x="15422096" y="29066583"/>
          <a:ext cx="943535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216</xdr:row>
      <xdr:rowOff>30639</xdr:rowOff>
    </xdr:from>
    <xdr:to>
      <xdr:col>11</xdr:col>
      <xdr:colOff>805786</xdr:colOff>
      <xdr:row>223</xdr:row>
      <xdr:rowOff>146174</xdr:rowOff>
    </xdr:to>
    <xdr:cxnSp macro="">
      <xdr:nvCxnSpPr>
        <xdr:cNvPr id="663" name="Conector recto 662"/>
        <xdr:cNvCxnSpPr>
          <a:stCxn id="650" idx="6"/>
          <a:endCxn id="660" idx="1"/>
        </xdr:cNvCxnSpPr>
      </xdr:nvCxnSpPr>
      <xdr:spPr>
        <a:xfrm>
          <a:off x="15431621" y="27462639"/>
          <a:ext cx="1006371" cy="144903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1000125</xdr:colOff>
      <xdr:row>216</xdr:row>
      <xdr:rowOff>47205</xdr:rowOff>
    </xdr:from>
    <xdr:to>
      <xdr:col>11</xdr:col>
      <xdr:colOff>746677</xdr:colOff>
      <xdr:row>224</xdr:row>
      <xdr:rowOff>127149</xdr:rowOff>
    </xdr:to>
    <xdr:cxnSp macro="">
      <xdr:nvCxnSpPr>
        <xdr:cNvPr id="664" name="Conector recto 663"/>
        <xdr:cNvCxnSpPr>
          <a:stCxn id="659" idx="2"/>
          <a:endCxn id="653" idx="6"/>
        </xdr:cNvCxnSpPr>
      </xdr:nvCxnSpPr>
      <xdr:spPr>
        <a:xfrm flipH="1">
          <a:off x="15422096" y="27479205"/>
          <a:ext cx="956787" cy="1603944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689465</xdr:colOff>
      <xdr:row>213</xdr:row>
      <xdr:rowOff>175201</xdr:rowOff>
    </xdr:from>
    <xdr:to>
      <xdr:col>11</xdr:col>
      <xdr:colOff>819038</xdr:colOff>
      <xdr:row>215</xdr:row>
      <xdr:rowOff>82796</xdr:rowOff>
    </xdr:to>
    <xdr:cxnSp macro="">
      <xdr:nvCxnSpPr>
        <xdr:cNvPr id="665" name="Conector recto 664"/>
        <xdr:cNvCxnSpPr>
          <a:stCxn id="648" idx="5"/>
          <a:endCxn id="659" idx="1"/>
        </xdr:cNvCxnSpPr>
      </xdr:nvCxnSpPr>
      <xdr:spPr>
        <a:xfrm>
          <a:off x="14349436" y="27035701"/>
          <a:ext cx="2101808" cy="28859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689465</xdr:colOff>
      <xdr:row>213</xdr:row>
      <xdr:rowOff>175201</xdr:rowOff>
    </xdr:from>
    <xdr:to>
      <xdr:col>11</xdr:col>
      <xdr:colOff>733425</xdr:colOff>
      <xdr:row>224</xdr:row>
      <xdr:rowOff>110583</xdr:rowOff>
    </xdr:to>
    <xdr:cxnSp macro="">
      <xdr:nvCxnSpPr>
        <xdr:cNvPr id="666" name="Conector recto 665"/>
        <xdr:cNvCxnSpPr>
          <a:stCxn id="648" idx="5"/>
          <a:endCxn id="660" idx="2"/>
        </xdr:cNvCxnSpPr>
      </xdr:nvCxnSpPr>
      <xdr:spPr>
        <a:xfrm>
          <a:off x="14349436" y="27035701"/>
          <a:ext cx="2016195" cy="2030882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708515</xdr:colOff>
      <xdr:row>216</xdr:row>
      <xdr:rowOff>47205</xdr:rowOff>
    </xdr:from>
    <xdr:to>
      <xdr:col>11</xdr:col>
      <xdr:colOff>746677</xdr:colOff>
      <xdr:row>226</xdr:row>
      <xdr:rowOff>102266</xdr:rowOff>
    </xdr:to>
    <xdr:cxnSp macro="">
      <xdr:nvCxnSpPr>
        <xdr:cNvPr id="667" name="Conector recto 666"/>
        <xdr:cNvCxnSpPr>
          <a:stCxn id="654" idx="7"/>
          <a:endCxn id="659" idx="2"/>
        </xdr:cNvCxnSpPr>
      </xdr:nvCxnSpPr>
      <xdr:spPr>
        <a:xfrm flipV="1">
          <a:off x="14368486" y="27479205"/>
          <a:ext cx="2010397" cy="196006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225</xdr:row>
      <xdr:rowOff>74992</xdr:rowOff>
    </xdr:from>
    <xdr:to>
      <xdr:col>11</xdr:col>
      <xdr:colOff>805786</xdr:colOff>
      <xdr:row>227</xdr:row>
      <xdr:rowOff>66675</xdr:rowOff>
    </xdr:to>
    <xdr:cxnSp macro="">
      <xdr:nvCxnSpPr>
        <xdr:cNvPr id="668" name="Conector recto 667"/>
        <xdr:cNvCxnSpPr>
          <a:stCxn id="654" idx="6"/>
          <a:endCxn id="660" idx="3"/>
        </xdr:cNvCxnSpPr>
      </xdr:nvCxnSpPr>
      <xdr:spPr>
        <a:xfrm flipV="1">
          <a:off x="14441021" y="29221492"/>
          <a:ext cx="1996971" cy="3726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1622563</xdr:colOff>
      <xdr:row>215</xdr:row>
      <xdr:rowOff>15679</xdr:rowOff>
    </xdr:from>
    <xdr:to>
      <xdr:col>12</xdr:col>
      <xdr:colOff>145412</xdr:colOff>
      <xdr:row>217</xdr:row>
      <xdr:rowOff>72829</xdr:rowOff>
    </xdr:to>
    <xdr:sp macro="" textlink="">
      <xdr:nvSpPr>
        <xdr:cNvPr id="669" name="Elipse 668"/>
        <xdr:cNvSpPr/>
      </xdr:nvSpPr>
      <xdr:spPr>
        <a:xfrm>
          <a:off x="17254769" y="27257179"/>
          <a:ext cx="495084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9</a:t>
          </a:r>
        </a:p>
      </xdr:txBody>
    </xdr:sp>
    <xdr:clientData/>
  </xdr:twoCellAnchor>
  <xdr:twoCellAnchor>
    <xdr:from>
      <xdr:col>9</xdr:col>
      <xdr:colOff>659648</xdr:colOff>
      <xdr:row>214</xdr:row>
      <xdr:rowOff>21145</xdr:rowOff>
    </xdr:from>
    <xdr:to>
      <xdr:col>11</xdr:col>
      <xdr:colOff>789221</xdr:colOff>
      <xdr:row>215</xdr:row>
      <xdr:rowOff>119240</xdr:rowOff>
    </xdr:to>
    <xdr:cxnSp macro="">
      <xdr:nvCxnSpPr>
        <xdr:cNvPr id="670" name="Conector recto 669"/>
        <xdr:cNvCxnSpPr/>
      </xdr:nvCxnSpPr>
      <xdr:spPr>
        <a:xfrm>
          <a:off x="14319619" y="27072145"/>
          <a:ext cx="2101808" cy="28859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5798</xdr:colOff>
      <xdr:row>225</xdr:row>
      <xdr:rowOff>28609</xdr:rowOff>
    </xdr:from>
    <xdr:to>
      <xdr:col>11</xdr:col>
      <xdr:colOff>792534</xdr:colOff>
      <xdr:row>227</xdr:row>
      <xdr:rowOff>20292</xdr:rowOff>
    </xdr:to>
    <xdr:cxnSp macro="">
      <xdr:nvCxnSpPr>
        <xdr:cNvPr id="671" name="Conector recto 670"/>
        <xdr:cNvCxnSpPr/>
      </xdr:nvCxnSpPr>
      <xdr:spPr>
        <a:xfrm flipV="1">
          <a:off x="14427769" y="29175109"/>
          <a:ext cx="1996971" cy="3726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701061</xdr:colOff>
      <xdr:row>213</xdr:row>
      <xdr:rowOff>128818</xdr:rowOff>
    </xdr:from>
    <xdr:to>
      <xdr:col>11</xdr:col>
      <xdr:colOff>745021</xdr:colOff>
      <xdr:row>224</xdr:row>
      <xdr:rowOff>64200</xdr:rowOff>
    </xdr:to>
    <xdr:cxnSp macro="">
      <xdr:nvCxnSpPr>
        <xdr:cNvPr id="672" name="Conector recto 671"/>
        <xdr:cNvCxnSpPr/>
      </xdr:nvCxnSpPr>
      <xdr:spPr>
        <a:xfrm>
          <a:off x="14361032" y="26989318"/>
          <a:ext cx="2016195" cy="2030882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1020003</xdr:colOff>
      <xdr:row>216</xdr:row>
      <xdr:rowOff>116779</xdr:rowOff>
    </xdr:from>
    <xdr:to>
      <xdr:col>11</xdr:col>
      <xdr:colOff>766555</xdr:colOff>
      <xdr:row>225</xdr:row>
      <xdr:rowOff>6223</xdr:rowOff>
    </xdr:to>
    <xdr:cxnSp macro="">
      <xdr:nvCxnSpPr>
        <xdr:cNvPr id="673" name="Conector recto 672"/>
        <xdr:cNvCxnSpPr/>
      </xdr:nvCxnSpPr>
      <xdr:spPr>
        <a:xfrm flipH="1">
          <a:off x="15441974" y="27548779"/>
          <a:ext cx="956787" cy="1603944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995156</xdr:colOff>
      <xdr:row>224</xdr:row>
      <xdr:rowOff>155309</xdr:rowOff>
    </xdr:from>
    <xdr:to>
      <xdr:col>11</xdr:col>
      <xdr:colOff>728456</xdr:colOff>
      <xdr:row>224</xdr:row>
      <xdr:rowOff>171875</xdr:rowOff>
    </xdr:to>
    <xdr:cxnSp macro="">
      <xdr:nvCxnSpPr>
        <xdr:cNvPr id="674" name="Conector recto 673"/>
        <xdr:cNvCxnSpPr/>
      </xdr:nvCxnSpPr>
      <xdr:spPr>
        <a:xfrm flipV="1">
          <a:off x="15417127" y="29111309"/>
          <a:ext cx="943535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678697</xdr:colOff>
      <xdr:row>216</xdr:row>
      <xdr:rowOff>17388</xdr:rowOff>
    </xdr:from>
    <xdr:to>
      <xdr:col>11</xdr:col>
      <xdr:colOff>716859</xdr:colOff>
      <xdr:row>226</xdr:row>
      <xdr:rowOff>72449</xdr:rowOff>
    </xdr:to>
    <xdr:cxnSp macro="">
      <xdr:nvCxnSpPr>
        <xdr:cNvPr id="675" name="Conector recto 674"/>
        <xdr:cNvCxnSpPr/>
      </xdr:nvCxnSpPr>
      <xdr:spPr>
        <a:xfrm flipV="1">
          <a:off x="14338668" y="27449388"/>
          <a:ext cx="2010397" cy="196006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1021246</xdr:colOff>
      <xdr:row>215</xdr:row>
      <xdr:rowOff>183039</xdr:rowOff>
    </xdr:from>
    <xdr:to>
      <xdr:col>11</xdr:col>
      <xdr:colOff>758273</xdr:colOff>
      <xdr:row>216</xdr:row>
      <xdr:rowOff>9105</xdr:rowOff>
    </xdr:to>
    <xdr:cxnSp macro="">
      <xdr:nvCxnSpPr>
        <xdr:cNvPr id="676" name="Conector recto 675"/>
        <xdr:cNvCxnSpPr/>
      </xdr:nvCxnSpPr>
      <xdr:spPr>
        <a:xfrm>
          <a:off x="15443217" y="27424539"/>
          <a:ext cx="947262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1062659</xdr:colOff>
      <xdr:row>216</xdr:row>
      <xdr:rowOff>17386</xdr:rowOff>
    </xdr:from>
    <xdr:to>
      <xdr:col>11</xdr:col>
      <xdr:colOff>858795</xdr:colOff>
      <xdr:row>223</xdr:row>
      <xdr:rowOff>132921</xdr:rowOff>
    </xdr:to>
    <xdr:cxnSp macro="">
      <xdr:nvCxnSpPr>
        <xdr:cNvPr id="677" name="Conector recto 676"/>
        <xdr:cNvCxnSpPr/>
      </xdr:nvCxnSpPr>
      <xdr:spPr>
        <a:xfrm>
          <a:off x="15484630" y="27449386"/>
          <a:ext cx="1006371" cy="144903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514350</xdr:colOff>
      <xdr:row>218</xdr:row>
      <xdr:rowOff>180975</xdr:rowOff>
    </xdr:from>
    <xdr:to>
      <xdr:col>10</xdr:col>
      <xdr:colOff>1009650</xdr:colOff>
      <xdr:row>221</xdr:row>
      <xdr:rowOff>47625</xdr:rowOff>
    </xdr:to>
    <xdr:sp macro="" textlink="">
      <xdr:nvSpPr>
        <xdr:cNvPr id="678" name="Elipse 677"/>
        <xdr:cNvSpPr/>
      </xdr:nvSpPr>
      <xdr:spPr>
        <a:xfrm>
          <a:off x="14936321" y="27993975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</xdr:txBody>
    </xdr:sp>
    <xdr:clientData/>
  </xdr:twoCellAnchor>
  <xdr:twoCellAnchor>
    <xdr:from>
      <xdr:col>10</xdr:col>
      <xdr:colOff>9525</xdr:colOff>
      <xdr:row>220</xdr:row>
      <xdr:rowOff>19050</xdr:rowOff>
    </xdr:from>
    <xdr:to>
      <xdr:col>10</xdr:col>
      <xdr:colOff>514350</xdr:colOff>
      <xdr:row>220</xdr:row>
      <xdr:rowOff>28575</xdr:rowOff>
    </xdr:to>
    <xdr:cxnSp macro="">
      <xdr:nvCxnSpPr>
        <xdr:cNvPr id="679" name="Conector recto 678"/>
        <xdr:cNvCxnSpPr>
          <a:stCxn id="651" idx="6"/>
          <a:endCxn id="678" idx="2"/>
        </xdr:cNvCxnSpPr>
      </xdr:nvCxnSpPr>
      <xdr:spPr>
        <a:xfrm flipV="1">
          <a:off x="14431496" y="28213050"/>
          <a:ext cx="504825" cy="9525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689465</xdr:colOff>
      <xdr:row>213</xdr:row>
      <xdr:rowOff>175201</xdr:rowOff>
    </xdr:from>
    <xdr:to>
      <xdr:col>10</xdr:col>
      <xdr:colOff>762000</xdr:colOff>
      <xdr:row>218</xdr:row>
      <xdr:rowOff>180975</xdr:rowOff>
    </xdr:to>
    <xdr:cxnSp macro="">
      <xdr:nvCxnSpPr>
        <xdr:cNvPr id="680" name="Conector recto 679"/>
        <xdr:cNvCxnSpPr>
          <a:stCxn id="678" idx="0"/>
          <a:endCxn id="648" idx="5"/>
        </xdr:cNvCxnSpPr>
      </xdr:nvCxnSpPr>
      <xdr:spPr>
        <a:xfrm flipH="1" flipV="1">
          <a:off x="14349436" y="27035701"/>
          <a:ext cx="834535" cy="958274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762000</xdr:colOff>
      <xdr:row>217</xdr:row>
      <xdr:rowOff>59214</xdr:rowOff>
    </xdr:from>
    <xdr:to>
      <xdr:col>10</xdr:col>
      <xdr:colOff>762000</xdr:colOff>
      <xdr:row>218</xdr:row>
      <xdr:rowOff>180975</xdr:rowOff>
    </xdr:to>
    <xdr:cxnSp macro="">
      <xdr:nvCxnSpPr>
        <xdr:cNvPr id="681" name="Conector recto 680"/>
        <xdr:cNvCxnSpPr>
          <a:stCxn id="678" idx="0"/>
          <a:endCxn id="650" idx="4"/>
        </xdr:cNvCxnSpPr>
      </xdr:nvCxnSpPr>
      <xdr:spPr>
        <a:xfrm flipV="1">
          <a:off x="15183971" y="27681714"/>
          <a:ext cx="0" cy="312261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752475</xdr:colOff>
      <xdr:row>221</xdr:row>
      <xdr:rowOff>47625</xdr:rowOff>
    </xdr:from>
    <xdr:to>
      <xdr:col>10</xdr:col>
      <xdr:colOff>762000</xdr:colOff>
      <xdr:row>223</xdr:row>
      <xdr:rowOff>98574</xdr:rowOff>
    </xdr:to>
    <xdr:cxnSp macro="">
      <xdr:nvCxnSpPr>
        <xdr:cNvPr id="682" name="Conector recto 681"/>
        <xdr:cNvCxnSpPr>
          <a:stCxn id="653" idx="0"/>
          <a:endCxn id="678" idx="4"/>
        </xdr:cNvCxnSpPr>
      </xdr:nvCxnSpPr>
      <xdr:spPr>
        <a:xfrm flipV="1">
          <a:off x="15174446" y="28432125"/>
          <a:ext cx="9525" cy="431949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708515</xdr:colOff>
      <xdr:row>220</xdr:row>
      <xdr:rowOff>173959</xdr:rowOff>
    </xdr:from>
    <xdr:to>
      <xdr:col>10</xdr:col>
      <xdr:colOff>586885</xdr:colOff>
      <xdr:row>226</xdr:row>
      <xdr:rowOff>102266</xdr:rowOff>
    </xdr:to>
    <xdr:cxnSp macro="">
      <xdr:nvCxnSpPr>
        <xdr:cNvPr id="683" name="Conector recto 682"/>
        <xdr:cNvCxnSpPr>
          <a:stCxn id="654" idx="7"/>
          <a:endCxn id="678" idx="3"/>
        </xdr:cNvCxnSpPr>
      </xdr:nvCxnSpPr>
      <xdr:spPr>
        <a:xfrm flipV="1">
          <a:off x="14368486" y="28367959"/>
          <a:ext cx="640370" cy="107130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217</xdr:row>
      <xdr:rowOff>11614</xdr:rowOff>
    </xdr:from>
    <xdr:to>
      <xdr:col>11</xdr:col>
      <xdr:colOff>819038</xdr:colOff>
      <xdr:row>220</xdr:row>
      <xdr:rowOff>19050</xdr:rowOff>
    </xdr:to>
    <xdr:cxnSp macro="">
      <xdr:nvCxnSpPr>
        <xdr:cNvPr id="684" name="Conector recto 683"/>
        <xdr:cNvCxnSpPr>
          <a:stCxn id="659" idx="3"/>
          <a:endCxn id="678" idx="6"/>
        </xdr:cNvCxnSpPr>
      </xdr:nvCxnSpPr>
      <xdr:spPr>
        <a:xfrm flipH="1">
          <a:off x="15431621" y="27634114"/>
          <a:ext cx="1019623" cy="578936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220</xdr:row>
      <xdr:rowOff>19050</xdr:rowOff>
    </xdr:from>
    <xdr:to>
      <xdr:col>11</xdr:col>
      <xdr:colOff>733425</xdr:colOff>
      <xdr:row>224</xdr:row>
      <xdr:rowOff>110583</xdr:rowOff>
    </xdr:to>
    <xdr:cxnSp macro="">
      <xdr:nvCxnSpPr>
        <xdr:cNvPr id="685" name="Conector recto 684"/>
        <xdr:cNvCxnSpPr>
          <a:stCxn id="660" idx="2"/>
          <a:endCxn id="678" idx="6"/>
        </xdr:cNvCxnSpPr>
      </xdr:nvCxnSpPr>
      <xdr:spPr>
        <a:xfrm flipH="1" flipV="1">
          <a:off x="15431621" y="28213050"/>
          <a:ext cx="934010" cy="853533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217</xdr:row>
      <xdr:rowOff>8663</xdr:rowOff>
    </xdr:from>
    <xdr:to>
      <xdr:col>11</xdr:col>
      <xdr:colOff>1694984</xdr:colOff>
      <xdr:row>220</xdr:row>
      <xdr:rowOff>19050</xdr:rowOff>
    </xdr:to>
    <xdr:cxnSp macro="">
      <xdr:nvCxnSpPr>
        <xdr:cNvPr id="686" name="Conector recto 685"/>
        <xdr:cNvCxnSpPr>
          <a:stCxn id="669" idx="3"/>
          <a:endCxn id="678" idx="6"/>
        </xdr:cNvCxnSpPr>
      </xdr:nvCxnSpPr>
      <xdr:spPr>
        <a:xfrm flipH="1">
          <a:off x="15431621" y="27631163"/>
          <a:ext cx="1895569" cy="58188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990600</xdr:colOff>
      <xdr:row>213</xdr:row>
      <xdr:rowOff>8330</xdr:rowOff>
    </xdr:from>
    <xdr:to>
      <xdr:col>11</xdr:col>
      <xdr:colOff>1694984</xdr:colOff>
      <xdr:row>215</xdr:row>
      <xdr:rowOff>79845</xdr:rowOff>
    </xdr:to>
    <xdr:cxnSp macro="">
      <xdr:nvCxnSpPr>
        <xdr:cNvPr id="687" name="Conector recto 686"/>
        <xdr:cNvCxnSpPr>
          <a:stCxn id="669" idx="1"/>
          <a:endCxn id="649" idx="6"/>
        </xdr:cNvCxnSpPr>
      </xdr:nvCxnSpPr>
      <xdr:spPr>
        <a:xfrm flipH="1" flipV="1">
          <a:off x="15412571" y="26868830"/>
          <a:ext cx="1914619" cy="452515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</xdr:colOff>
      <xdr:row>220</xdr:row>
      <xdr:rowOff>28575</xdr:rowOff>
    </xdr:from>
    <xdr:to>
      <xdr:col>11</xdr:col>
      <xdr:colOff>733425</xdr:colOff>
      <xdr:row>224</xdr:row>
      <xdr:rowOff>110583</xdr:rowOff>
    </xdr:to>
    <xdr:cxnSp macro="">
      <xdr:nvCxnSpPr>
        <xdr:cNvPr id="688" name="Conector recto 687"/>
        <xdr:cNvCxnSpPr>
          <a:stCxn id="651" idx="6"/>
          <a:endCxn id="660" idx="2"/>
        </xdr:cNvCxnSpPr>
      </xdr:nvCxnSpPr>
      <xdr:spPr>
        <a:xfrm>
          <a:off x="14431496" y="28222575"/>
          <a:ext cx="1934135" cy="844008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980480</xdr:colOff>
      <xdr:row>217</xdr:row>
      <xdr:rowOff>75780</xdr:rowOff>
    </xdr:from>
    <xdr:to>
      <xdr:col>11</xdr:col>
      <xdr:colOff>993732</xdr:colOff>
      <xdr:row>223</xdr:row>
      <xdr:rowOff>82008</xdr:rowOff>
    </xdr:to>
    <xdr:cxnSp macro="">
      <xdr:nvCxnSpPr>
        <xdr:cNvPr id="689" name="Conector recto 688"/>
        <xdr:cNvCxnSpPr>
          <a:stCxn id="660" idx="0"/>
          <a:endCxn id="659" idx="4"/>
        </xdr:cNvCxnSpPr>
      </xdr:nvCxnSpPr>
      <xdr:spPr>
        <a:xfrm flipV="1">
          <a:off x="16612686" y="27698280"/>
          <a:ext cx="13252" cy="1149228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1240786</xdr:colOff>
      <xdr:row>216</xdr:row>
      <xdr:rowOff>44254</xdr:rowOff>
    </xdr:from>
    <xdr:to>
      <xdr:col>11</xdr:col>
      <xdr:colOff>1622563</xdr:colOff>
      <xdr:row>216</xdr:row>
      <xdr:rowOff>47205</xdr:rowOff>
    </xdr:to>
    <xdr:cxnSp macro="">
      <xdr:nvCxnSpPr>
        <xdr:cNvPr id="690" name="Conector recto 689"/>
        <xdr:cNvCxnSpPr>
          <a:stCxn id="659" idx="6"/>
          <a:endCxn id="669" idx="2"/>
        </xdr:cNvCxnSpPr>
      </xdr:nvCxnSpPr>
      <xdr:spPr>
        <a:xfrm flipV="1">
          <a:off x="16872992" y="27476254"/>
          <a:ext cx="381777" cy="295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1240786</xdr:colOff>
      <xdr:row>215</xdr:row>
      <xdr:rowOff>187129</xdr:rowOff>
    </xdr:from>
    <xdr:to>
      <xdr:col>11</xdr:col>
      <xdr:colOff>1622563</xdr:colOff>
      <xdr:row>215</xdr:row>
      <xdr:rowOff>190080</xdr:rowOff>
    </xdr:to>
    <xdr:cxnSp macro="">
      <xdr:nvCxnSpPr>
        <xdr:cNvPr id="691" name="Conector recto 690"/>
        <xdr:cNvCxnSpPr/>
      </xdr:nvCxnSpPr>
      <xdr:spPr>
        <a:xfrm flipV="1">
          <a:off x="16872992" y="27428629"/>
          <a:ext cx="381777" cy="295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495300</xdr:colOff>
      <xdr:row>208</xdr:row>
      <xdr:rowOff>94055</xdr:rowOff>
    </xdr:from>
    <xdr:to>
      <xdr:col>10</xdr:col>
      <xdr:colOff>990600</xdr:colOff>
      <xdr:row>210</xdr:row>
      <xdr:rowOff>151205</xdr:rowOff>
    </xdr:to>
    <xdr:sp macro="" textlink="">
      <xdr:nvSpPr>
        <xdr:cNvPr id="692" name="Elipse 691"/>
        <xdr:cNvSpPr/>
      </xdr:nvSpPr>
      <xdr:spPr>
        <a:xfrm>
          <a:off x="14917271" y="26002055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14</a:t>
          </a:r>
        </a:p>
      </xdr:txBody>
    </xdr:sp>
    <xdr:clientData/>
  </xdr:twoCellAnchor>
  <xdr:twoCellAnchor>
    <xdr:from>
      <xdr:col>10</xdr:col>
      <xdr:colOff>742950</xdr:colOff>
      <xdr:row>210</xdr:row>
      <xdr:rowOff>151205</xdr:rowOff>
    </xdr:from>
    <xdr:to>
      <xdr:col>10</xdr:col>
      <xdr:colOff>742950</xdr:colOff>
      <xdr:row>211</xdr:row>
      <xdr:rowOff>170255</xdr:rowOff>
    </xdr:to>
    <xdr:cxnSp macro="">
      <xdr:nvCxnSpPr>
        <xdr:cNvPr id="693" name="Conector recto 692"/>
        <xdr:cNvCxnSpPr>
          <a:stCxn id="692" idx="4"/>
          <a:endCxn id="649" idx="0"/>
        </xdr:cNvCxnSpPr>
      </xdr:nvCxnSpPr>
      <xdr:spPr>
        <a:xfrm>
          <a:off x="15164921" y="26440205"/>
          <a:ext cx="0" cy="20955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1155173</xdr:colOff>
      <xdr:row>217</xdr:row>
      <xdr:rowOff>72829</xdr:rowOff>
    </xdr:from>
    <xdr:to>
      <xdr:col>11</xdr:col>
      <xdr:colOff>1869825</xdr:colOff>
      <xdr:row>223</xdr:row>
      <xdr:rowOff>146174</xdr:rowOff>
    </xdr:to>
    <xdr:cxnSp macro="">
      <xdr:nvCxnSpPr>
        <xdr:cNvPr id="694" name="Conector recto 693"/>
        <xdr:cNvCxnSpPr>
          <a:stCxn id="669" idx="4"/>
          <a:endCxn id="660" idx="7"/>
        </xdr:cNvCxnSpPr>
      </xdr:nvCxnSpPr>
      <xdr:spPr>
        <a:xfrm flipH="1">
          <a:off x="16787379" y="27695329"/>
          <a:ext cx="714652" cy="1216345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431426</xdr:colOff>
      <xdr:row>228</xdr:row>
      <xdr:rowOff>161291</xdr:rowOff>
    </xdr:from>
    <xdr:to>
      <xdr:col>13</xdr:col>
      <xdr:colOff>164726</xdr:colOff>
      <xdr:row>231</xdr:row>
      <xdr:rowOff>27941</xdr:rowOff>
    </xdr:to>
    <xdr:sp macro="" textlink="">
      <xdr:nvSpPr>
        <xdr:cNvPr id="695" name="Elipse 694"/>
        <xdr:cNvSpPr/>
      </xdr:nvSpPr>
      <xdr:spPr>
        <a:xfrm>
          <a:off x="18035867" y="34260791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11</a:t>
          </a:r>
        </a:p>
      </xdr:txBody>
    </xdr:sp>
    <xdr:clientData/>
  </xdr:twoCellAnchor>
  <xdr:twoCellAnchor>
    <xdr:from>
      <xdr:col>12</xdr:col>
      <xdr:colOff>428066</xdr:colOff>
      <xdr:row>219</xdr:row>
      <xdr:rowOff>4408</xdr:rowOff>
    </xdr:from>
    <xdr:to>
      <xdr:col>13</xdr:col>
      <xdr:colOff>161926</xdr:colOff>
      <xdr:row>221</xdr:row>
      <xdr:rowOff>61558</xdr:rowOff>
    </xdr:to>
    <xdr:sp macro="" textlink="">
      <xdr:nvSpPr>
        <xdr:cNvPr id="696" name="Elipse 695"/>
        <xdr:cNvSpPr/>
      </xdr:nvSpPr>
      <xdr:spPr>
        <a:xfrm>
          <a:off x="18032507" y="28007908"/>
          <a:ext cx="49586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12</a:t>
          </a:r>
        </a:p>
      </xdr:txBody>
    </xdr:sp>
    <xdr:clientData/>
  </xdr:twoCellAnchor>
  <xdr:twoCellAnchor>
    <xdr:from>
      <xdr:col>12</xdr:col>
      <xdr:colOff>675996</xdr:colOff>
      <xdr:row>221</xdr:row>
      <xdr:rowOff>61558</xdr:rowOff>
    </xdr:from>
    <xdr:to>
      <xdr:col>12</xdr:col>
      <xdr:colOff>679076</xdr:colOff>
      <xdr:row>228</xdr:row>
      <xdr:rowOff>161291</xdr:rowOff>
    </xdr:to>
    <xdr:cxnSp macro="">
      <xdr:nvCxnSpPr>
        <xdr:cNvPr id="697" name="Conector recto 696"/>
        <xdr:cNvCxnSpPr>
          <a:stCxn id="696" idx="4"/>
          <a:endCxn id="695" idx="0"/>
        </xdr:cNvCxnSpPr>
      </xdr:nvCxnSpPr>
      <xdr:spPr>
        <a:xfrm>
          <a:off x="18280437" y="32827558"/>
          <a:ext cx="3080" cy="1433233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918065</xdr:colOff>
      <xdr:row>213</xdr:row>
      <xdr:rowOff>163239</xdr:rowOff>
    </xdr:from>
    <xdr:to>
      <xdr:col>11</xdr:col>
      <xdr:colOff>805786</xdr:colOff>
      <xdr:row>223</xdr:row>
      <xdr:rowOff>146174</xdr:rowOff>
    </xdr:to>
    <xdr:cxnSp macro="">
      <xdr:nvCxnSpPr>
        <xdr:cNvPr id="698" name="Conector recto 697"/>
        <xdr:cNvCxnSpPr>
          <a:stCxn id="649" idx="5"/>
          <a:endCxn id="660" idx="1"/>
        </xdr:cNvCxnSpPr>
      </xdr:nvCxnSpPr>
      <xdr:spPr>
        <a:xfrm>
          <a:off x="15340036" y="31405239"/>
          <a:ext cx="1097956" cy="1887935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1614208</xdr:colOff>
      <xdr:row>223</xdr:row>
      <xdr:rowOff>66319</xdr:rowOff>
    </xdr:from>
    <xdr:to>
      <xdr:col>12</xdr:col>
      <xdr:colOff>136082</xdr:colOff>
      <xdr:row>225</xdr:row>
      <xdr:rowOff>123469</xdr:rowOff>
    </xdr:to>
    <xdr:sp macro="" textlink="">
      <xdr:nvSpPr>
        <xdr:cNvPr id="701" name="Elipse 700"/>
        <xdr:cNvSpPr/>
      </xdr:nvSpPr>
      <xdr:spPr>
        <a:xfrm>
          <a:off x="17246414" y="33213319"/>
          <a:ext cx="494109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13</a:t>
          </a:r>
        </a:p>
      </xdr:txBody>
    </xdr:sp>
    <xdr:clientData/>
  </xdr:twoCellAnchor>
  <xdr:twoCellAnchor>
    <xdr:from>
      <xdr:col>10</xdr:col>
      <xdr:colOff>918065</xdr:colOff>
      <xdr:row>213</xdr:row>
      <xdr:rowOff>163239</xdr:rowOff>
    </xdr:from>
    <xdr:to>
      <xdr:col>11</xdr:col>
      <xdr:colOff>1686569</xdr:colOff>
      <xdr:row>223</xdr:row>
      <xdr:rowOff>130485</xdr:rowOff>
    </xdr:to>
    <xdr:cxnSp macro="">
      <xdr:nvCxnSpPr>
        <xdr:cNvPr id="702" name="Conector recto 701"/>
        <xdr:cNvCxnSpPr>
          <a:stCxn id="649" idx="5"/>
          <a:endCxn id="701" idx="1"/>
        </xdr:cNvCxnSpPr>
      </xdr:nvCxnSpPr>
      <xdr:spPr>
        <a:xfrm>
          <a:off x="15340036" y="31405239"/>
          <a:ext cx="1978739" cy="1872246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698990</xdr:colOff>
      <xdr:row>220</xdr:row>
      <xdr:rowOff>183484</xdr:rowOff>
    </xdr:from>
    <xdr:to>
      <xdr:col>12</xdr:col>
      <xdr:colOff>431426</xdr:colOff>
      <xdr:row>229</xdr:row>
      <xdr:rowOff>189866</xdr:rowOff>
    </xdr:to>
    <xdr:cxnSp macro="">
      <xdr:nvCxnSpPr>
        <xdr:cNvPr id="705" name="Conector recto 704"/>
        <xdr:cNvCxnSpPr>
          <a:stCxn id="651" idx="5"/>
          <a:endCxn id="695" idx="2"/>
        </xdr:cNvCxnSpPr>
      </xdr:nvCxnSpPr>
      <xdr:spPr>
        <a:xfrm>
          <a:off x="14358961" y="32758984"/>
          <a:ext cx="3676906" cy="1720882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514350</xdr:colOff>
      <xdr:row>214</xdr:row>
      <xdr:rowOff>48867</xdr:rowOff>
    </xdr:from>
    <xdr:to>
      <xdr:col>10</xdr:col>
      <xdr:colOff>514350</xdr:colOff>
      <xdr:row>216</xdr:row>
      <xdr:rowOff>30639</xdr:rowOff>
    </xdr:to>
    <xdr:cxnSp macro="">
      <xdr:nvCxnSpPr>
        <xdr:cNvPr id="710" name="Conector recto 709"/>
        <xdr:cNvCxnSpPr>
          <a:stCxn id="648" idx="4"/>
          <a:endCxn id="650" idx="2"/>
        </xdr:cNvCxnSpPr>
      </xdr:nvCxnSpPr>
      <xdr:spPr>
        <a:xfrm>
          <a:off x="14174321" y="31481367"/>
          <a:ext cx="762000" cy="362772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514350</xdr:colOff>
      <xdr:row>214</xdr:row>
      <xdr:rowOff>48867</xdr:rowOff>
    </xdr:from>
    <xdr:to>
      <xdr:col>10</xdr:col>
      <xdr:colOff>504825</xdr:colOff>
      <xdr:row>224</xdr:row>
      <xdr:rowOff>127149</xdr:rowOff>
    </xdr:to>
    <xdr:cxnSp macro="">
      <xdr:nvCxnSpPr>
        <xdr:cNvPr id="713" name="Conector recto 712"/>
        <xdr:cNvCxnSpPr>
          <a:stCxn id="648" idx="4"/>
          <a:endCxn id="653" idx="2"/>
        </xdr:cNvCxnSpPr>
      </xdr:nvCxnSpPr>
      <xdr:spPr>
        <a:xfrm>
          <a:off x="14174321" y="31481367"/>
          <a:ext cx="752475" cy="1983282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708515</xdr:colOff>
      <xdr:row>216</xdr:row>
      <xdr:rowOff>185548</xdr:rowOff>
    </xdr:from>
    <xdr:to>
      <xdr:col>10</xdr:col>
      <xdr:colOff>586885</xdr:colOff>
      <xdr:row>226</xdr:row>
      <xdr:rowOff>102266</xdr:rowOff>
    </xdr:to>
    <xdr:cxnSp macro="">
      <xdr:nvCxnSpPr>
        <xdr:cNvPr id="716" name="Conector recto 715"/>
        <xdr:cNvCxnSpPr>
          <a:stCxn id="650" idx="3"/>
          <a:endCxn id="654" idx="7"/>
        </xdr:cNvCxnSpPr>
      </xdr:nvCxnSpPr>
      <xdr:spPr>
        <a:xfrm flipH="1">
          <a:off x="14368486" y="31999048"/>
          <a:ext cx="640370" cy="1821718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708515</xdr:colOff>
      <xdr:row>225</xdr:row>
      <xdr:rowOff>91558</xdr:rowOff>
    </xdr:from>
    <xdr:to>
      <xdr:col>10</xdr:col>
      <xdr:colOff>577360</xdr:colOff>
      <xdr:row>226</xdr:row>
      <xdr:rowOff>102266</xdr:rowOff>
    </xdr:to>
    <xdr:cxnSp macro="">
      <xdr:nvCxnSpPr>
        <xdr:cNvPr id="719" name="Conector recto 718"/>
        <xdr:cNvCxnSpPr>
          <a:stCxn id="653" idx="3"/>
          <a:endCxn id="654" idx="7"/>
        </xdr:cNvCxnSpPr>
      </xdr:nvCxnSpPr>
      <xdr:spPr>
        <a:xfrm flipH="1">
          <a:off x="14368486" y="33619558"/>
          <a:ext cx="630845" cy="201208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1240786</xdr:colOff>
      <xdr:row>216</xdr:row>
      <xdr:rowOff>47205</xdr:rowOff>
    </xdr:from>
    <xdr:to>
      <xdr:col>12</xdr:col>
      <xdr:colOff>679076</xdr:colOff>
      <xdr:row>228</xdr:row>
      <xdr:rowOff>161291</xdr:rowOff>
    </xdr:to>
    <xdr:cxnSp macro="">
      <xdr:nvCxnSpPr>
        <xdr:cNvPr id="722" name="Conector recto 721"/>
        <xdr:cNvCxnSpPr>
          <a:stCxn id="659" idx="6"/>
          <a:endCxn id="695" idx="0"/>
        </xdr:cNvCxnSpPr>
      </xdr:nvCxnSpPr>
      <xdr:spPr>
        <a:xfrm>
          <a:off x="16872992" y="31860705"/>
          <a:ext cx="1410525" cy="2400086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698990</xdr:colOff>
      <xdr:row>220</xdr:row>
      <xdr:rowOff>183484</xdr:rowOff>
    </xdr:from>
    <xdr:to>
      <xdr:col>11</xdr:col>
      <xdr:colOff>1686569</xdr:colOff>
      <xdr:row>223</xdr:row>
      <xdr:rowOff>130485</xdr:rowOff>
    </xdr:to>
    <xdr:cxnSp macro="">
      <xdr:nvCxnSpPr>
        <xdr:cNvPr id="726" name="Conector recto 725"/>
        <xdr:cNvCxnSpPr>
          <a:stCxn id="651" idx="5"/>
          <a:endCxn id="701" idx="1"/>
        </xdr:cNvCxnSpPr>
      </xdr:nvCxnSpPr>
      <xdr:spPr>
        <a:xfrm>
          <a:off x="14358961" y="32758984"/>
          <a:ext cx="2959814" cy="518501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1168425</xdr:colOff>
      <xdr:row>217</xdr:row>
      <xdr:rowOff>11614</xdr:rowOff>
    </xdr:from>
    <xdr:to>
      <xdr:col>11</xdr:col>
      <xdr:colOff>1686569</xdr:colOff>
      <xdr:row>223</xdr:row>
      <xdr:rowOff>130485</xdr:rowOff>
    </xdr:to>
    <xdr:cxnSp macro="">
      <xdr:nvCxnSpPr>
        <xdr:cNvPr id="730" name="Conector recto 729"/>
        <xdr:cNvCxnSpPr>
          <a:stCxn id="659" idx="5"/>
          <a:endCxn id="701" idx="1"/>
        </xdr:cNvCxnSpPr>
      </xdr:nvCxnSpPr>
      <xdr:spPr>
        <a:xfrm>
          <a:off x="16800631" y="32015614"/>
          <a:ext cx="518144" cy="1261871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1155173</xdr:colOff>
      <xdr:row>225</xdr:row>
      <xdr:rowOff>74992</xdr:rowOff>
    </xdr:from>
    <xdr:to>
      <xdr:col>12</xdr:col>
      <xdr:colOff>431426</xdr:colOff>
      <xdr:row>229</xdr:row>
      <xdr:rowOff>189866</xdr:rowOff>
    </xdr:to>
    <xdr:cxnSp macro="">
      <xdr:nvCxnSpPr>
        <xdr:cNvPr id="733" name="Conector recto 732"/>
        <xdr:cNvCxnSpPr>
          <a:stCxn id="660" idx="5"/>
          <a:endCxn id="695" idx="2"/>
        </xdr:cNvCxnSpPr>
      </xdr:nvCxnSpPr>
      <xdr:spPr>
        <a:xfrm>
          <a:off x="16787379" y="33602992"/>
          <a:ext cx="1248488" cy="876874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1227534</xdr:colOff>
      <xdr:row>224</xdr:row>
      <xdr:rowOff>94894</xdr:rowOff>
    </xdr:from>
    <xdr:to>
      <xdr:col>11</xdr:col>
      <xdr:colOff>1614208</xdr:colOff>
      <xdr:row>224</xdr:row>
      <xdr:rowOff>110583</xdr:rowOff>
    </xdr:to>
    <xdr:cxnSp macro="">
      <xdr:nvCxnSpPr>
        <xdr:cNvPr id="736" name="Conector recto 735"/>
        <xdr:cNvCxnSpPr>
          <a:stCxn id="660" idx="6"/>
          <a:endCxn id="701" idx="2"/>
        </xdr:cNvCxnSpPr>
      </xdr:nvCxnSpPr>
      <xdr:spPr>
        <a:xfrm flipV="1">
          <a:off x="16859740" y="33432394"/>
          <a:ext cx="386674" cy="15689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1861263</xdr:colOff>
      <xdr:row>217</xdr:row>
      <xdr:rowOff>72829</xdr:rowOff>
    </xdr:from>
    <xdr:to>
      <xdr:col>11</xdr:col>
      <xdr:colOff>1881311</xdr:colOff>
      <xdr:row>223</xdr:row>
      <xdr:rowOff>66319</xdr:rowOff>
    </xdr:to>
    <xdr:cxnSp macro="">
      <xdr:nvCxnSpPr>
        <xdr:cNvPr id="739" name="Conector recto 738"/>
        <xdr:cNvCxnSpPr>
          <a:endCxn id="701" idx="0"/>
        </xdr:cNvCxnSpPr>
      </xdr:nvCxnSpPr>
      <xdr:spPr>
        <a:xfrm flipH="1">
          <a:off x="17493469" y="32076829"/>
          <a:ext cx="20048" cy="1136490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72909</xdr:colOff>
      <xdr:row>217</xdr:row>
      <xdr:rowOff>8663</xdr:rowOff>
    </xdr:from>
    <xdr:to>
      <xdr:col>12</xdr:col>
      <xdr:colOff>679076</xdr:colOff>
      <xdr:row>228</xdr:row>
      <xdr:rowOff>161291</xdr:rowOff>
    </xdr:to>
    <xdr:cxnSp macro="">
      <xdr:nvCxnSpPr>
        <xdr:cNvPr id="744" name="Conector recto 743"/>
        <xdr:cNvCxnSpPr>
          <a:stCxn id="669" idx="5"/>
          <a:endCxn id="695" idx="0"/>
        </xdr:cNvCxnSpPr>
      </xdr:nvCxnSpPr>
      <xdr:spPr>
        <a:xfrm>
          <a:off x="17677350" y="32012663"/>
          <a:ext cx="606167" cy="2248128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220</xdr:row>
      <xdr:rowOff>19050</xdr:rowOff>
    </xdr:from>
    <xdr:to>
      <xdr:col>11</xdr:col>
      <xdr:colOff>1686569</xdr:colOff>
      <xdr:row>223</xdr:row>
      <xdr:rowOff>130485</xdr:rowOff>
    </xdr:to>
    <xdr:cxnSp macro="">
      <xdr:nvCxnSpPr>
        <xdr:cNvPr id="747" name="Conector recto 746"/>
        <xdr:cNvCxnSpPr>
          <a:stCxn id="678" idx="6"/>
          <a:endCxn id="701" idx="1"/>
        </xdr:cNvCxnSpPr>
      </xdr:nvCxnSpPr>
      <xdr:spPr>
        <a:xfrm>
          <a:off x="15431621" y="32594550"/>
          <a:ext cx="1887154" cy="682935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63721</xdr:colOff>
      <xdr:row>225</xdr:row>
      <xdr:rowOff>59303</xdr:rowOff>
    </xdr:from>
    <xdr:to>
      <xdr:col>12</xdr:col>
      <xdr:colOff>503961</xdr:colOff>
      <xdr:row>229</xdr:row>
      <xdr:rowOff>34957</xdr:rowOff>
    </xdr:to>
    <xdr:cxnSp macro="">
      <xdr:nvCxnSpPr>
        <xdr:cNvPr id="750" name="Conector recto 749"/>
        <xdr:cNvCxnSpPr>
          <a:stCxn id="701" idx="5"/>
          <a:endCxn id="695" idx="1"/>
        </xdr:cNvCxnSpPr>
      </xdr:nvCxnSpPr>
      <xdr:spPr>
        <a:xfrm>
          <a:off x="17668162" y="33587303"/>
          <a:ext cx="440240" cy="737654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63721</xdr:colOff>
      <xdr:row>220</xdr:row>
      <xdr:rowOff>187892</xdr:rowOff>
    </xdr:from>
    <xdr:to>
      <xdr:col>12</xdr:col>
      <xdr:colOff>500683</xdr:colOff>
      <xdr:row>223</xdr:row>
      <xdr:rowOff>130485</xdr:rowOff>
    </xdr:to>
    <xdr:cxnSp macro="">
      <xdr:nvCxnSpPr>
        <xdr:cNvPr id="753" name="Conector recto 752"/>
        <xdr:cNvCxnSpPr>
          <a:stCxn id="701" idx="7"/>
          <a:endCxn id="696" idx="3"/>
        </xdr:cNvCxnSpPr>
      </xdr:nvCxnSpPr>
      <xdr:spPr>
        <a:xfrm flipV="1">
          <a:off x="17668162" y="32763392"/>
          <a:ext cx="436962" cy="514093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918065</xdr:colOff>
      <xdr:row>210</xdr:row>
      <xdr:rowOff>87039</xdr:rowOff>
    </xdr:from>
    <xdr:to>
      <xdr:col>11</xdr:col>
      <xdr:colOff>1686569</xdr:colOff>
      <xdr:row>223</xdr:row>
      <xdr:rowOff>130485</xdr:rowOff>
    </xdr:to>
    <xdr:cxnSp macro="">
      <xdr:nvCxnSpPr>
        <xdr:cNvPr id="756" name="Conector recto 755"/>
        <xdr:cNvCxnSpPr>
          <a:stCxn id="701" idx="1"/>
          <a:endCxn id="692" idx="5"/>
        </xdr:cNvCxnSpPr>
      </xdr:nvCxnSpPr>
      <xdr:spPr>
        <a:xfrm flipH="1" flipV="1">
          <a:off x="15340036" y="30757539"/>
          <a:ext cx="1978739" cy="2519946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266700</xdr:colOff>
      <xdr:row>236</xdr:row>
      <xdr:rowOff>182217</xdr:rowOff>
    </xdr:from>
    <xdr:to>
      <xdr:col>10</xdr:col>
      <xdr:colOff>0</xdr:colOff>
      <xdr:row>239</xdr:row>
      <xdr:rowOff>48867</xdr:rowOff>
    </xdr:to>
    <xdr:sp macro="" textlink="">
      <xdr:nvSpPr>
        <xdr:cNvPr id="759" name="Elipse 758"/>
        <xdr:cNvSpPr/>
      </xdr:nvSpPr>
      <xdr:spPr>
        <a:xfrm>
          <a:off x="13926671" y="31043217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10</xdr:col>
      <xdr:colOff>495300</xdr:colOff>
      <xdr:row>236</xdr:row>
      <xdr:rowOff>170255</xdr:rowOff>
    </xdr:from>
    <xdr:to>
      <xdr:col>10</xdr:col>
      <xdr:colOff>990600</xdr:colOff>
      <xdr:row>239</xdr:row>
      <xdr:rowOff>36905</xdr:rowOff>
    </xdr:to>
    <xdr:sp macro="" textlink="">
      <xdr:nvSpPr>
        <xdr:cNvPr id="760" name="Elipse 759"/>
        <xdr:cNvSpPr/>
      </xdr:nvSpPr>
      <xdr:spPr>
        <a:xfrm>
          <a:off x="14917271" y="31031255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10</xdr:col>
      <xdr:colOff>514350</xdr:colOff>
      <xdr:row>240</xdr:row>
      <xdr:rowOff>2064</xdr:rowOff>
    </xdr:from>
    <xdr:to>
      <xdr:col>10</xdr:col>
      <xdr:colOff>1009650</xdr:colOff>
      <xdr:row>242</xdr:row>
      <xdr:rowOff>59214</xdr:rowOff>
    </xdr:to>
    <xdr:sp macro="" textlink="">
      <xdr:nvSpPr>
        <xdr:cNvPr id="761" name="Elipse 760"/>
        <xdr:cNvSpPr/>
      </xdr:nvSpPr>
      <xdr:spPr>
        <a:xfrm>
          <a:off x="14936321" y="31625064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9</xdr:col>
      <xdr:colOff>276225</xdr:colOff>
      <xdr:row>244</xdr:row>
      <xdr:rowOff>0</xdr:rowOff>
    </xdr:from>
    <xdr:to>
      <xdr:col>10</xdr:col>
      <xdr:colOff>9525</xdr:colOff>
      <xdr:row>246</xdr:row>
      <xdr:rowOff>57150</xdr:rowOff>
    </xdr:to>
    <xdr:sp macro="" textlink="">
      <xdr:nvSpPr>
        <xdr:cNvPr id="762" name="Elipse 761"/>
        <xdr:cNvSpPr/>
      </xdr:nvSpPr>
      <xdr:spPr>
        <a:xfrm>
          <a:off x="13936196" y="32385000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9</xdr:col>
      <xdr:colOff>514350</xdr:colOff>
      <xdr:row>239</xdr:row>
      <xdr:rowOff>48867</xdr:rowOff>
    </xdr:from>
    <xdr:to>
      <xdr:col>9</xdr:col>
      <xdr:colOff>523875</xdr:colOff>
      <xdr:row>244</xdr:row>
      <xdr:rowOff>0</xdr:rowOff>
    </xdr:to>
    <xdr:cxnSp macro="">
      <xdr:nvCxnSpPr>
        <xdr:cNvPr id="763" name="Conector recto 762"/>
        <xdr:cNvCxnSpPr>
          <a:stCxn id="762" idx="0"/>
          <a:endCxn id="759" idx="4"/>
        </xdr:cNvCxnSpPr>
      </xdr:nvCxnSpPr>
      <xdr:spPr>
        <a:xfrm flipH="1" flipV="1">
          <a:off x="14174321" y="31481367"/>
          <a:ext cx="9525" cy="903633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504825</xdr:colOff>
      <xdr:row>248</xdr:row>
      <xdr:rowOff>98574</xdr:rowOff>
    </xdr:from>
    <xdr:to>
      <xdr:col>10</xdr:col>
      <xdr:colOff>1000125</xdr:colOff>
      <xdr:row>250</xdr:row>
      <xdr:rowOff>155724</xdr:rowOff>
    </xdr:to>
    <xdr:sp macro="" textlink="">
      <xdr:nvSpPr>
        <xdr:cNvPr id="764" name="Elipse 763"/>
        <xdr:cNvSpPr/>
      </xdr:nvSpPr>
      <xdr:spPr>
        <a:xfrm>
          <a:off x="14926796" y="33245574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>
    <xdr:from>
      <xdr:col>9</xdr:col>
      <xdr:colOff>285750</xdr:colOff>
      <xdr:row>251</xdr:row>
      <xdr:rowOff>38100</xdr:rowOff>
    </xdr:from>
    <xdr:to>
      <xdr:col>10</xdr:col>
      <xdr:colOff>19050</xdr:colOff>
      <xdr:row>253</xdr:row>
      <xdr:rowOff>95250</xdr:rowOff>
    </xdr:to>
    <xdr:sp macro="" textlink="">
      <xdr:nvSpPr>
        <xdr:cNvPr id="765" name="Elipse 764"/>
        <xdr:cNvSpPr/>
      </xdr:nvSpPr>
      <xdr:spPr>
        <a:xfrm>
          <a:off x="13945721" y="33756600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9</xdr:col>
      <xdr:colOff>698990</xdr:colOff>
      <xdr:row>245</xdr:row>
      <xdr:rowOff>183484</xdr:rowOff>
    </xdr:from>
    <xdr:to>
      <xdr:col>10</xdr:col>
      <xdr:colOff>577360</xdr:colOff>
      <xdr:row>248</xdr:row>
      <xdr:rowOff>162740</xdr:rowOff>
    </xdr:to>
    <xdr:cxnSp macro="">
      <xdr:nvCxnSpPr>
        <xdr:cNvPr id="766" name="Conector recto 765"/>
        <xdr:cNvCxnSpPr>
          <a:stCxn id="764" idx="1"/>
          <a:endCxn id="762" idx="5"/>
        </xdr:cNvCxnSpPr>
      </xdr:nvCxnSpPr>
      <xdr:spPr>
        <a:xfrm flipH="1" flipV="1">
          <a:off x="14358961" y="32758984"/>
          <a:ext cx="640370" cy="550756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246</xdr:row>
      <xdr:rowOff>57150</xdr:rowOff>
    </xdr:from>
    <xdr:to>
      <xdr:col>9</xdr:col>
      <xdr:colOff>533400</xdr:colOff>
      <xdr:row>251</xdr:row>
      <xdr:rowOff>38100</xdr:rowOff>
    </xdr:to>
    <xdr:cxnSp macro="">
      <xdr:nvCxnSpPr>
        <xdr:cNvPr id="767" name="Conector recto 766"/>
        <xdr:cNvCxnSpPr>
          <a:stCxn id="765" idx="0"/>
          <a:endCxn id="762" idx="4"/>
        </xdr:cNvCxnSpPr>
      </xdr:nvCxnSpPr>
      <xdr:spPr>
        <a:xfrm flipH="1" flipV="1">
          <a:off x="14183846" y="32823150"/>
          <a:ext cx="9525" cy="93345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698990</xdr:colOff>
      <xdr:row>241</xdr:row>
      <xdr:rowOff>185548</xdr:rowOff>
    </xdr:from>
    <xdr:to>
      <xdr:col>10</xdr:col>
      <xdr:colOff>586885</xdr:colOff>
      <xdr:row>244</xdr:row>
      <xdr:rowOff>64166</xdr:rowOff>
    </xdr:to>
    <xdr:cxnSp macro="">
      <xdr:nvCxnSpPr>
        <xdr:cNvPr id="768" name="Conector recto 767"/>
        <xdr:cNvCxnSpPr>
          <a:stCxn id="762" idx="7"/>
          <a:endCxn id="761" idx="3"/>
        </xdr:cNvCxnSpPr>
      </xdr:nvCxnSpPr>
      <xdr:spPr>
        <a:xfrm flipV="1">
          <a:off x="14358961" y="31999048"/>
          <a:ext cx="649895" cy="450118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238</xdr:row>
      <xdr:rowOff>163239</xdr:rowOff>
    </xdr:from>
    <xdr:to>
      <xdr:col>10</xdr:col>
      <xdr:colOff>567835</xdr:colOff>
      <xdr:row>244</xdr:row>
      <xdr:rowOff>0</xdr:rowOff>
    </xdr:to>
    <xdr:cxnSp macro="">
      <xdr:nvCxnSpPr>
        <xdr:cNvPr id="769" name="Conector recto 768"/>
        <xdr:cNvCxnSpPr>
          <a:stCxn id="762" idx="0"/>
          <a:endCxn id="760" idx="3"/>
        </xdr:cNvCxnSpPr>
      </xdr:nvCxnSpPr>
      <xdr:spPr>
        <a:xfrm flipV="1">
          <a:off x="14183846" y="31405239"/>
          <a:ext cx="805960" cy="979761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746677</xdr:colOff>
      <xdr:row>240</xdr:row>
      <xdr:rowOff>18630</xdr:rowOff>
    </xdr:from>
    <xdr:to>
      <xdr:col>11</xdr:col>
      <xdr:colOff>1240786</xdr:colOff>
      <xdr:row>242</xdr:row>
      <xdr:rowOff>75780</xdr:rowOff>
    </xdr:to>
    <xdr:sp macro="" textlink="">
      <xdr:nvSpPr>
        <xdr:cNvPr id="770" name="Elipse 769"/>
        <xdr:cNvSpPr/>
      </xdr:nvSpPr>
      <xdr:spPr>
        <a:xfrm>
          <a:off x="16378883" y="31641630"/>
          <a:ext cx="494109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>
    <xdr:from>
      <xdr:col>11</xdr:col>
      <xdr:colOff>733425</xdr:colOff>
      <xdr:row>248</xdr:row>
      <xdr:rowOff>82008</xdr:rowOff>
    </xdr:from>
    <xdr:to>
      <xdr:col>11</xdr:col>
      <xdr:colOff>1227534</xdr:colOff>
      <xdr:row>250</xdr:row>
      <xdr:rowOff>139158</xdr:rowOff>
    </xdr:to>
    <xdr:sp macro="" textlink="">
      <xdr:nvSpPr>
        <xdr:cNvPr id="771" name="Elipse 770"/>
        <xdr:cNvSpPr/>
      </xdr:nvSpPr>
      <xdr:spPr>
        <a:xfrm>
          <a:off x="16365631" y="33229008"/>
          <a:ext cx="494109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8</a:t>
          </a:r>
        </a:p>
      </xdr:txBody>
    </xdr:sp>
    <xdr:clientData/>
  </xdr:twoCellAnchor>
  <xdr:twoCellAnchor>
    <xdr:from>
      <xdr:col>10</xdr:col>
      <xdr:colOff>1009650</xdr:colOff>
      <xdr:row>241</xdr:row>
      <xdr:rowOff>30639</xdr:rowOff>
    </xdr:from>
    <xdr:to>
      <xdr:col>11</xdr:col>
      <xdr:colOff>746677</xdr:colOff>
      <xdr:row>241</xdr:row>
      <xdr:rowOff>47205</xdr:rowOff>
    </xdr:to>
    <xdr:cxnSp macro="">
      <xdr:nvCxnSpPr>
        <xdr:cNvPr id="772" name="Conector recto 771"/>
        <xdr:cNvCxnSpPr>
          <a:stCxn id="761" idx="6"/>
          <a:endCxn id="770" idx="2"/>
        </xdr:cNvCxnSpPr>
      </xdr:nvCxnSpPr>
      <xdr:spPr>
        <a:xfrm>
          <a:off x="15431621" y="31844139"/>
          <a:ext cx="947262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1000125</xdr:colOff>
      <xdr:row>249</xdr:row>
      <xdr:rowOff>110583</xdr:rowOff>
    </xdr:from>
    <xdr:to>
      <xdr:col>11</xdr:col>
      <xdr:colOff>733425</xdr:colOff>
      <xdr:row>249</xdr:row>
      <xdr:rowOff>127149</xdr:rowOff>
    </xdr:to>
    <xdr:cxnSp macro="">
      <xdr:nvCxnSpPr>
        <xdr:cNvPr id="773" name="Conector recto 772"/>
        <xdr:cNvCxnSpPr>
          <a:stCxn id="764" idx="6"/>
          <a:endCxn id="771" idx="2"/>
        </xdr:cNvCxnSpPr>
      </xdr:nvCxnSpPr>
      <xdr:spPr>
        <a:xfrm flipV="1">
          <a:off x="15422096" y="33448083"/>
          <a:ext cx="943535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241</xdr:row>
      <xdr:rowOff>30639</xdr:rowOff>
    </xdr:from>
    <xdr:to>
      <xdr:col>11</xdr:col>
      <xdr:colOff>805786</xdr:colOff>
      <xdr:row>248</xdr:row>
      <xdr:rowOff>146174</xdr:rowOff>
    </xdr:to>
    <xdr:cxnSp macro="">
      <xdr:nvCxnSpPr>
        <xdr:cNvPr id="774" name="Conector recto 773"/>
        <xdr:cNvCxnSpPr>
          <a:stCxn id="761" idx="6"/>
          <a:endCxn id="771" idx="1"/>
        </xdr:cNvCxnSpPr>
      </xdr:nvCxnSpPr>
      <xdr:spPr>
        <a:xfrm>
          <a:off x="15431621" y="31844139"/>
          <a:ext cx="1006371" cy="144903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1000125</xdr:colOff>
      <xdr:row>241</xdr:row>
      <xdr:rowOff>47205</xdr:rowOff>
    </xdr:from>
    <xdr:to>
      <xdr:col>11</xdr:col>
      <xdr:colOff>746677</xdr:colOff>
      <xdr:row>249</xdr:row>
      <xdr:rowOff>127149</xdr:rowOff>
    </xdr:to>
    <xdr:cxnSp macro="">
      <xdr:nvCxnSpPr>
        <xdr:cNvPr id="775" name="Conector recto 774"/>
        <xdr:cNvCxnSpPr>
          <a:stCxn id="770" idx="2"/>
          <a:endCxn id="764" idx="6"/>
        </xdr:cNvCxnSpPr>
      </xdr:nvCxnSpPr>
      <xdr:spPr>
        <a:xfrm flipH="1">
          <a:off x="15422096" y="31860705"/>
          <a:ext cx="956787" cy="1603944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689465</xdr:colOff>
      <xdr:row>238</xdr:row>
      <xdr:rowOff>175201</xdr:rowOff>
    </xdr:from>
    <xdr:to>
      <xdr:col>11</xdr:col>
      <xdr:colOff>819038</xdr:colOff>
      <xdr:row>240</xdr:row>
      <xdr:rowOff>82796</xdr:rowOff>
    </xdr:to>
    <xdr:cxnSp macro="">
      <xdr:nvCxnSpPr>
        <xdr:cNvPr id="776" name="Conector recto 775"/>
        <xdr:cNvCxnSpPr>
          <a:stCxn id="759" idx="5"/>
          <a:endCxn id="770" idx="1"/>
        </xdr:cNvCxnSpPr>
      </xdr:nvCxnSpPr>
      <xdr:spPr>
        <a:xfrm>
          <a:off x="14349436" y="31417201"/>
          <a:ext cx="2101808" cy="28859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689465</xdr:colOff>
      <xdr:row>238</xdr:row>
      <xdr:rowOff>175201</xdr:rowOff>
    </xdr:from>
    <xdr:to>
      <xdr:col>11</xdr:col>
      <xdr:colOff>733425</xdr:colOff>
      <xdr:row>249</xdr:row>
      <xdr:rowOff>110583</xdr:rowOff>
    </xdr:to>
    <xdr:cxnSp macro="">
      <xdr:nvCxnSpPr>
        <xdr:cNvPr id="777" name="Conector recto 776"/>
        <xdr:cNvCxnSpPr>
          <a:stCxn id="759" idx="5"/>
          <a:endCxn id="771" idx="2"/>
        </xdr:cNvCxnSpPr>
      </xdr:nvCxnSpPr>
      <xdr:spPr>
        <a:xfrm>
          <a:off x="14349436" y="31417201"/>
          <a:ext cx="2016195" cy="2030882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708515</xdr:colOff>
      <xdr:row>241</xdr:row>
      <xdr:rowOff>47205</xdr:rowOff>
    </xdr:from>
    <xdr:to>
      <xdr:col>11</xdr:col>
      <xdr:colOff>746677</xdr:colOff>
      <xdr:row>251</xdr:row>
      <xdr:rowOff>102266</xdr:rowOff>
    </xdr:to>
    <xdr:cxnSp macro="">
      <xdr:nvCxnSpPr>
        <xdr:cNvPr id="778" name="Conector recto 777"/>
        <xdr:cNvCxnSpPr>
          <a:stCxn id="765" idx="7"/>
          <a:endCxn id="770" idx="2"/>
        </xdr:cNvCxnSpPr>
      </xdr:nvCxnSpPr>
      <xdr:spPr>
        <a:xfrm flipV="1">
          <a:off x="14368486" y="31860705"/>
          <a:ext cx="2010397" cy="196006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250</xdr:row>
      <xdr:rowOff>74992</xdr:rowOff>
    </xdr:from>
    <xdr:to>
      <xdr:col>11</xdr:col>
      <xdr:colOff>805786</xdr:colOff>
      <xdr:row>252</xdr:row>
      <xdr:rowOff>66675</xdr:rowOff>
    </xdr:to>
    <xdr:cxnSp macro="">
      <xdr:nvCxnSpPr>
        <xdr:cNvPr id="779" name="Conector recto 778"/>
        <xdr:cNvCxnSpPr>
          <a:stCxn id="765" idx="6"/>
          <a:endCxn id="771" idx="3"/>
        </xdr:cNvCxnSpPr>
      </xdr:nvCxnSpPr>
      <xdr:spPr>
        <a:xfrm flipV="1">
          <a:off x="14441021" y="33602992"/>
          <a:ext cx="1996971" cy="3726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1622563</xdr:colOff>
      <xdr:row>240</xdr:row>
      <xdr:rowOff>15679</xdr:rowOff>
    </xdr:from>
    <xdr:to>
      <xdr:col>12</xdr:col>
      <xdr:colOff>145412</xdr:colOff>
      <xdr:row>242</xdr:row>
      <xdr:rowOff>72829</xdr:rowOff>
    </xdr:to>
    <xdr:sp macro="" textlink="">
      <xdr:nvSpPr>
        <xdr:cNvPr id="780" name="Elipse 779"/>
        <xdr:cNvSpPr/>
      </xdr:nvSpPr>
      <xdr:spPr>
        <a:xfrm>
          <a:off x="17254769" y="31638679"/>
          <a:ext cx="495084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9</a:t>
          </a:r>
        </a:p>
      </xdr:txBody>
    </xdr:sp>
    <xdr:clientData/>
  </xdr:twoCellAnchor>
  <xdr:twoCellAnchor>
    <xdr:from>
      <xdr:col>9</xdr:col>
      <xdr:colOff>659648</xdr:colOff>
      <xdr:row>239</xdr:row>
      <xdr:rowOff>21145</xdr:rowOff>
    </xdr:from>
    <xdr:to>
      <xdr:col>11</xdr:col>
      <xdr:colOff>789221</xdr:colOff>
      <xdr:row>240</xdr:row>
      <xdr:rowOff>119240</xdr:rowOff>
    </xdr:to>
    <xdr:cxnSp macro="">
      <xdr:nvCxnSpPr>
        <xdr:cNvPr id="781" name="Conector recto 780"/>
        <xdr:cNvCxnSpPr/>
      </xdr:nvCxnSpPr>
      <xdr:spPr>
        <a:xfrm>
          <a:off x="14319619" y="31453645"/>
          <a:ext cx="2101808" cy="28859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5798</xdr:colOff>
      <xdr:row>250</xdr:row>
      <xdr:rowOff>28609</xdr:rowOff>
    </xdr:from>
    <xdr:to>
      <xdr:col>11</xdr:col>
      <xdr:colOff>792534</xdr:colOff>
      <xdr:row>252</xdr:row>
      <xdr:rowOff>20292</xdr:rowOff>
    </xdr:to>
    <xdr:cxnSp macro="">
      <xdr:nvCxnSpPr>
        <xdr:cNvPr id="782" name="Conector recto 781"/>
        <xdr:cNvCxnSpPr/>
      </xdr:nvCxnSpPr>
      <xdr:spPr>
        <a:xfrm flipV="1">
          <a:off x="14427769" y="33556609"/>
          <a:ext cx="1996971" cy="3726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701061</xdr:colOff>
      <xdr:row>238</xdr:row>
      <xdr:rowOff>128818</xdr:rowOff>
    </xdr:from>
    <xdr:to>
      <xdr:col>11</xdr:col>
      <xdr:colOff>745021</xdr:colOff>
      <xdr:row>249</xdr:row>
      <xdr:rowOff>64200</xdr:rowOff>
    </xdr:to>
    <xdr:cxnSp macro="">
      <xdr:nvCxnSpPr>
        <xdr:cNvPr id="783" name="Conector recto 782"/>
        <xdr:cNvCxnSpPr/>
      </xdr:nvCxnSpPr>
      <xdr:spPr>
        <a:xfrm>
          <a:off x="14361032" y="31370818"/>
          <a:ext cx="2016195" cy="2030882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1020003</xdr:colOff>
      <xdr:row>241</xdr:row>
      <xdr:rowOff>116779</xdr:rowOff>
    </xdr:from>
    <xdr:to>
      <xdr:col>11</xdr:col>
      <xdr:colOff>766555</xdr:colOff>
      <xdr:row>250</xdr:row>
      <xdr:rowOff>6223</xdr:rowOff>
    </xdr:to>
    <xdr:cxnSp macro="">
      <xdr:nvCxnSpPr>
        <xdr:cNvPr id="784" name="Conector recto 783"/>
        <xdr:cNvCxnSpPr/>
      </xdr:nvCxnSpPr>
      <xdr:spPr>
        <a:xfrm flipH="1">
          <a:off x="15441974" y="31930279"/>
          <a:ext cx="956787" cy="1603944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995156</xdr:colOff>
      <xdr:row>249</xdr:row>
      <xdr:rowOff>155309</xdr:rowOff>
    </xdr:from>
    <xdr:to>
      <xdr:col>11</xdr:col>
      <xdr:colOff>728456</xdr:colOff>
      <xdr:row>249</xdr:row>
      <xdr:rowOff>171875</xdr:rowOff>
    </xdr:to>
    <xdr:cxnSp macro="">
      <xdr:nvCxnSpPr>
        <xdr:cNvPr id="785" name="Conector recto 784"/>
        <xdr:cNvCxnSpPr/>
      </xdr:nvCxnSpPr>
      <xdr:spPr>
        <a:xfrm flipV="1">
          <a:off x="15417127" y="33492809"/>
          <a:ext cx="943535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678697</xdr:colOff>
      <xdr:row>241</xdr:row>
      <xdr:rowOff>17388</xdr:rowOff>
    </xdr:from>
    <xdr:to>
      <xdr:col>11</xdr:col>
      <xdr:colOff>716859</xdr:colOff>
      <xdr:row>251</xdr:row>
      <xdr:rowOff>72449</xdr:rowOff>
    </xdr:to>
    <xdr:cxnSp macro="">
      <xdr:nvCxnSpPr>
        <xdr:cNvPr id="786" name="Conector recto 785"/>
        <xdr:cNvCxnSpPr/>
      </xdr:nvCxnSpPr>
      <xdr:spPr>
        <a:xfrm flipV="1">
          <a:off x="14338668" y="31830888"/>
          <a:ext cx="2010397" cy="196006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1021246</xdr:colOff>
      <xdr:row>240</xdr:row>
      <xdr:rowOff>183039</xdr:rowOff>
    </xdr:from>
    <xdr:to>
      <xdr:col>11</xdr:col>
      <xdr:colOff>758273</xdr:colOff>
      <xdr:row>241</xdr:row>
      <xdr:rowOff>9105</xdr:rowOff>
    </xdr:to>
    <xdr:cxnSp macro="">
      <xdr:nvCxnSpPr>
        <xdr:cNvPr id="787" name="Conector recto 786"/>
        <xdr:cNvCxnSpPr/>
      </xdr:nvCxnSpPr>
      <xdr:spPr>
        <a:xfrm>
          <a:off x="15443217" y="31806039"/>
          <a:ext cx="947262" cy="1656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1062659</xdr:colOff>
      <xdr:row>241</xdr:row>
      <xdr:rowOff>17386</xdr:rowOff>
    </xdr:from>
    <xdr:to>
      <xdr:col>11</xdr:col>
      <xdr:colOff>858795</xdr:colOff>
      <xdr:row>248</xdr:row>
      <xdr:rowOff>132921</xdr:rowOff>
    </xdr:to>
    <xdr:cxnSp macro="">
      <xdr:nvCxnSpPr>
        <xdr:cNvPr id="788" name="Conector recto 787"/>
        <xdr:cNvCxnSpPr/>
      </xdr:nvCxnSpPr>
      <xdr:spPr>
        <a:xfrm>
          <a:off x="15484630" y="31830886"/>
          <a:ext cx="1006371" cy="1449035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514350</xdr:colOff>
      <xdr:row>243</xdr:row>
      <xdr:rowOff>180975</xdr:rowOff>
    </xdr:from>
    <xdr:to>
      <xdr:col>10</xdr:col>
      <xdr:colOff>1009650</xdr:colOff>
      <xdr:row>246</xdr:row>
      <xdr:rowOff>47625</xdr:rowOff>
    </xdr:to>
    <xdr:sp macro="" textlink="">
      <xdr:nvSpPr>
        <xdr:cNvPr id="789" name="Elipse 788"/>
        <xdr:cNvSpPr/>
      </xdr:nvSpPr>
      <xdr:spPr>
        <a:xfrm>
          <a:off x="14936321" y="32375475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</xdr:txBody>
    </xdr:sp>
    <xdr:clientData/>
  </xdr:twoCellAnchor>
  <xdr:twoCellAnchor>
    <xdr:from>
      <xdr:col>10</xdr:col>
      <xdr:colOff>9525</xdr:colOff>
      <xdr:row>245</xdr:row>
      <xdr:rowOff>19050</xdr:rowOff>
    </xdr:from>
    <xdr:to>
      <xdr:col>10</xdr:col>
      <xdr:colOff>514350</xdr:colOff>
      <xdr:row>245</xdr:row>
      <xdr:rowOff>28575</xdr:rowOff>
    </xdr:to>
    <xdr:cxnSp macro="">
      <xdr:nvCxnSpPr>
        <xdr:cNvPr id="790" name="Conector recto 789"/>
        <xdr:cNvCxnSpPr>
          <a:stCxn id="762" idx="6"/>
          <a:endCxn id="789" idx="2"/>
        </xdr:cNvCxnSpPr>
      </xdr:nvCxnSpPr>
      <xdr:spPr>
        <a:xfrm flipV="1">
          <a:off x="14431496" y="32594550"/>
          <a:ext cx="504825" cy="9525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689465</xdr:colOff>
      <xdr:row>238</xdr:row>
      <xdr:rowOff>175201</xdr:rowOff>
    </xdr:from>
    <xdr:to>
      <xdr:col>10</xdr:col>
      <xdr:colOff>762000</xdr:colOff>
      <xdr:row>243</xdr:row>
      <xdr:rowOff>180975</xdr:rowOff>
    </xdr:to>
    <xdr:cxnSp macro="">
      <xdr:nvCxnSpPr>
        <xdr:cNvPr id="791" name="Conector recto 790"/>
        <xdr:cNvCxnSpPr>
          <a:stCxn id="789" idx="0"/>
          <a:endCxn id="759" idx="5"/>
        </xdr:cNvCxnSpPr>
      </xdr:nvCxnSpPr>
      <xdr:spPr>
        <a:xfrm flipH="1" flipV="1">
          <a:off x="14349436" y="31417201"/>
          <a:ext cx="834535" cy="958274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762000</xdr:colOff>
      <xdr:row>242</xdr:row>
      <xdr:rowOff>59214</xdr:rowOff>
    </xdr:from>
    <xdr:to>
      <xdr:col>10</xdr:col>
      <xdr:colOff>762000</xdr:colOff>
      <xdr:row>243</xdr:row>
      <xdr:rowOff>180975</xdr:rowOff>
    </xdr:to>
    <xdr:cxnSp macro="">
      <xdr:nvCxnSpPr>
        <xdr:cNvPr id="792" name="Conector recto 791"/>
        <xdr:cNvCxnSpPr>
          <a:stCxn id="789" idx="0"/>
          <a:endCxn id="761" idx="4"/>
        </xdr:cNvCxnSpPr>
      </xdr:nvCxnSpPr>
      <xdr:spPr>
        <a:xfrm flipV="1">
          <a:off x="15183971" y="32063214"/>
          <a:ext cx="0" cy="312261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752475</xdr:colOff>
      <xdr:row>246</xdr:row>
      <xdr:rowOff>47625</xdr:rowOff>
    </xdr:from>
    <xdr:to>
      <xdr:col>10</xdr:col>
      <xdr:colOff>762000</xdr:colOff>
      <xdr:row>248</xdr:row>
      <xdr:rowOff>98574</xdr:rowOff>
    </xdr:to>
    <xdr:cxnSp macro="">
      <xdr:nvCxnSpPr>
        <xdr:cNvPr id="793" name="Conector recto 792"/>
        <xdr:cNvCxnSpPr>
          <a:stCxn id="764" idx="0"/>
          <a:endCxn id="789" idx="4"/>
        </xdr:cNvCxnSpPr>
      </xdr:nvCxnSpPr>
      <xdr:spPr>
        <a:xfrm flipV="1">
          <a:off x="15174446" y="32813625"/>
          <a:ext cx="9525" cy="431949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708515</xdr:colOff>
      <xdr:row>245</xdr:row>
      <xdr:rowOff>173959</xdr:rowOff>
    </xdr:from>
    <xdr:to>
      <xdr:col>10</xdr:col>
      <xdr:colOff>586885</xdr:colOff>
      <xdr:row>251</xdr:row>
      <xdr:rowOff>102266</xdr:rowOff>
    </xdr:to>
    <xdr:cxnSp macro="">
      <xdr:nvCxnSpPr>
        <xdr:cNvPr id="794" name="Conector recto 793"/>
        <xdr:cNvCxnSpPr>
          <a:stCxn id="765" idx="7"/>
          <a:endCxn id="789" idx="3"/>
        </xdr:cNvCxnSpPr>
      </xdr:nvCxnSpPr>
      <xdr:spPr>
        <a:xfrm flipV="1">
          <a:off x="14368486" y="32749459"/>
          <a:ext cx="640370" cy="107130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242</xdr:row>
      <xdr:rowOff>11614</xdr:rowOff>
    </xdr:from>
    <xdr:to>
      <xdr:col>11</xdr:col>
      <xdr:colOff>819038</xdr:colOff>
      <xdr:row>245</xdr:row>
      <xdr:rowOff>19050</xdr:rowOff>
    </xdr:to>
    <xdr:cxnSp macro="">
      <xdr:nvCxnSpPr>
        <xdr:cNvPr id="795" name="Conector recto 794"/>
        <xdr:cNvCxnSpPr>
          <a:stCxn id="770" idx="3"/>
          <a:endCxn id="789" idx="6"/>
        </xdr:cNvCxnSpPr>
      </xdr:nvCxnSpPr>
      <xdr:spPr>
        <a:xfrm flipH="1">
          <a:off x="15431621" y="32015614"/>
          <a:ext cx="1019623" cy="578936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245</xdr:row>
      <xdr:rowOff>19050</xdr:rowOff>
    </xdr:from>
    <xdr:to>
      <xdr:col>11</xdr:col>
      <xdr:colOff>733425</xdr:colOff>
      <xdr:row>249</xdr:row>
      <xdr:rowOff>110583</xdr:rowOff>
    </xdr:to>
    <xdr:cxnSp macro="">
      <xdr:nvCxnSpPr>
        <xdr:cNvPr id="796" name="Conector recto 795"/>
        <xdr:cNvCxnSpPr>
          <a:stCxn id="771" idx="2"/>
          <a:endCxn id="789" idx="6"/>
        </xdr:cNvCxnSpPr>
      </xdr:nvCxnSpPr>
      <xdr:spPr>
        <a:xfrm flipH="1" flipV="1">
          <a:off x="15431621" y="32594550"/>
          <a:ext cx="934010" cy="853533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242</xdr:row>
      <xdr:rowOff>8663</xdr:rowOff>
    </xdr:from>
    <xdr:to>
      <xdr:col>11</xdr:col>
      <xdr:colOff>1694984</xdr:colOff>
      <xdr:row>245</xdr:row>
      <xdr:rowOff>19050</xdr:rowOff>
    </xdr:to>
    <xdr:cxnSp macro="">
      <xdr:nvCxnSpPr>
        <xdr:cNvPr id="797" name="Conector recto 796"/>
        <xdr:cNvCxnSpPr>
          <a:stCxn id="780" idx="3"/>
          <a:endCxn id="789" idx="6"/>
        </xdr:cNvCxnSpPr>
      </xdr:nvCxnSpPr>
      <xdr:spPr>
        <a:xfrm flipH="1">
          <a:off x="15431621" y="32012663"/>
          <a:ext cx="1895569" cy="58188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990600</xdr:colOff>
      <xdr:row>238</xdr:row>
      <xdr:rowOff>8330</xdr:rowOff>
    </xdr:from>
    <xdr:to>
      <xdr:col>11</xdr:col>
      <xdr:colOff>1694984</xdr:colOff>
      <xdr:row>240</xdr:row>
      <xdr:rowOff>79845</xdr:rowOff>
    </xdr:to>
    <xdr:cxnSp macro="">
      <xdr:nvCxnSpPr>
        <xdr:cNvPr id="798" name="Conector recto 797"/>
        <xdr:cNvCxnSpPr>
          <a:stCxn id="780" idx="1"/>
          <a:endCxn id="760" idx="6"/>
        </xdr:cNvCxnSpPr>
      </xdr:nvCxnSpPr>
      <xdr:spPr>
        <a:xfrm flipH="1" flipV="1">
          <a:off x="15412571" y="31250330"/>
          <a:ext cx="1914619" cy="452515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</xdr:colOff>
      <xdr:row>245</xdr:row>
      <xdr:rowOff>28575</xdr:rowOff>
    </xdr:from>
    <xdr:to>
      <xdr:col>11</xdr:col>
      <xdr:colOff>733425</xdr:colOff>
      <xdr:row>249</xdr:row>
      <xdr:rowOff>110583</xdr:rowOff>
    </xdr:to>
    <xdr:cxnSp macro="">
      <xdr:nvCxnSpPr>
        <xdr:cNvPr id="799" name="Conector recto 798"/>
        <xdr:cNvCxnSpPr>
          <a:stCxn id="762" idx="6"/>
          <a:endCxn id="771" idx="2"/>
        </xdr:cNvCxnSpPr>
      </xdr:nvCxnSpPr>
      <xdr:spPr>
        <a:xfrm>
          <a:off x="14431496" y="32604075"/>
          <a:ext cx="1934135" cy="844008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980480</xdr:colOff>
      <xdr:row>242</xdr:row>
      <xdr:rowOff>75780</xdr:rowOff>
    </xdr:from>
    <xdr:to>
      <xdr:col>11</xdr:col>
      <xdr:colOff>993732</xdr:colOff>
      <xdr:row>248</xdr:row>
      <xdr:rowOff>82008</xdr:rowOff>
    </xdr:to>
    <xdr:cxnSp macro="">
      <xdr:nvCxnSpPr>
        <xdr:cNvPr id="800" name="Conector recto 799"/>
        <xdr:cNvCxnSpPr>
          <a:stCxn id="771" idx="0"/>
          <a:endCxn id="770" idx="4"/>
        </xdr:cNvCxnSpPr>
      </xdr:nvCxnSpPr>
      <xdr:spPr>
        <a:xfrm flipV="1">
          <a:off x="16612686" y="32079780"/>
          <a:ext cx="13252" cy="1149228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1240786</xdr:colOff>
      <xdr:row>241</xdr:row>
      <xdr:rowOff>44254</xdr:rowOff>
    </xdr:from>
    <xdr:to>
      <xdr:col>11</xdr:col>
      <xdr:colOff>1622563</xdr:colOff>
      <xdr:row>241</xdr:row>
      <xdr:rowOff>47205</xdr:rowOff>
    </xdr:to>
    <xdr:cxnSp macro="">
      <xdr:nvCxnSpPr>
        <xdr:cNvPr id="801" name="Conector recto 800"/>
        <xdr:cNvCxnSpPr>
          <a:stCxn id="770" idx="6"/>
          <a:endCxn id="780" idx="2"/>
        </xdr:cNvCxnSpPr>
      </xdr:nvCxnSpPr>
      <xdr:spPr>
        <a:xfrm flipV="1">
          <a:off x="16872992" y="31857754"/>
          <a:ext cx="381777" cy="295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1240786</xdr:colOff>
      <xdr:row>240</xdr:row>
      <xdr:rowOff>187129</xdr:rowOff>
    </xdr:from>
    <xdr:to>
      <xdr:col>11</xdr:col>
      <xdr:colOff>1622563</xdr:colOff>
      <xdr:row>240</xdr:row>
      <xdr:rowOff>190080</xdr:rowOff>
    </xdr:to>
    <xdr:cxnSp macro="">
      <xdr:nvCxnSpPr>
        <xdr:cNvPr id="802" name="Conector recto 801"/>
        <xdr:cNvCxnSpPr/>
      </xdr:nvCxnSpPr>
      <xdr:spPr>
        <a:xfrm flipV="1">
          <a:off x="16872992" y="31810129"/>
          <a:ext cx="381777" cy="295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495300</xdr:colOff>
      <xdr:row>233</xdr:row>
      <xdr:rowOff>94055</xdr:rowOff>
    </xdr:from>
    <xdr:to>
      <xdr:col>10</xdr:col>
      <xdr:colOff>990600</xdr:colOff>
      <xdr:row>235</xdr:row>
      <xdr:rowOff>151205</xdr:rowOff>
    </xdr:to>
    <xdr:sp macro="" textlink="">
      <xdr:nvSpPr>
        <xdr:cNvPr id="803" name="Elipse 802"/>
        <xdr:cNvSpPr/>
      </xdr:nvSpPr>
      <xdr:spPr>
        <a:xfrm>
          <a:off x="14917271" y="30383555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14</a:t>
          </a:r>
        </a:p>
      </xdr:txBody>
    </xdr:sp>
    <xdr:clientData/>
  </xdr:twoCellAnchor>
  <xdr:twoCellAnchor>
    <xdr:from>
      <xdr:col>10</xdr:col>
      <xdr:colOff>742950</xdr:colOff>
      <xdr:row>235</xdr:row>
      <xdr:rowOff>151205</xdr:rowOff>
    </xdr:from>
    <xdr:to>
      <xdr:col>10</xdr:col>
      <xdr:colOff>742950</xdr:colOff>
      <xdr:row>236</xdr:row>
      <xdr:rowOff>170255</xdr:rowOff>
    </xdr:to>
    <xdr:cxnSp macro="">
      <xdr:nvCxnSpPr>
        <xdr:cNvPr id="804" name="Conector recto 803"/>
        <xdr:cNvCxnSpPr>
          <a:stCxn id="803" idx="4"/>
          <a:endCxn id="760" idx="0"/>
        </xdr:cNvCxnSpPr>
      </xdr:nvCxnSpPr>
      <xdr:spPr>
        <a:xfrm>
          <a:off x="15164921" y="30821705"/>
          <a:ext cx="0" cy="20955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1155173</xdr:colOff>
      <xdr:row>242</xdr:row>
      <xdr:rowOff>72829</xdr:rowOff>
    </xdr:from>
    <xdr:to>
      <xdr:col>11</xdr:col>
      <xdr:colOff>1869825</xdr:colOff>
      <xdr:row>248</xdr:row>
      <xdr:rowOff>146174</xdr:rowOff>
    </xdr:to>
    <xdr:cxnSp macro="">
      <xdr:nvCxnSpPr>
        <xdr:cNvPr id="805" name="Conector recto 804"/>
        <xdr:cNvCxnSpPr>
          <a:stCxn id="780" idx="4"/>
          <a:endCxn id="771" idx="7"/>
        </xdr:cNvCxnSpPr>
      </xdr:nvCxnSpPr>
      <xdr:spPr>
        <a:xfrm flipH="1">
          <a:off x="16787379" y="32076829"/>
          <a:ext cx="714652" cy="1216345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431426</xdr:colOff>
      <xdr:row>253</xdr:row>
      <xdr:rowOff>161291</xdr:rowOff>
    </xdr:from>
    <xdr:to>
      <xdr:col>13</xdr:col>
      <xdr:colOff>164726</xdr:colOff>
      <xdr:row>256</xdr:row>
      <xdr:rowOff>27941</xdr:rowOff>
    </xdr:to>
    <xdr:sp macro="" textlink="">
      <xdr:nvSpPr>
        <xdr:cNvPr id="806" name="Elipse 805"/>
        <xdr:cNvSpPr/>
      </xdr:nvSpPr>
      <xdr:spPr>
        <a:xfrm>
          <a:off x="18035867" y="34260791"/>
          <a:ext cx="49530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11</a:t>
          </a:r>
        </a:p>
      </xdr:txBody>
    </xdr:sp>
    <xdr:clientData/>
  </xdr:twoCellAnchor>
  <xdr:twoCellAnchor>
    <xdr:from>
      <xdr:col>12</xdr:col>
      <xdr:colOff>428066</xdr:colOff>
      <xdr:row>244</xdr:row>
      <xdr:rowOff>4408</xdr:rowOff>
    </xdr:from>
    <xdr:to>
      <xdr:col>13</xdr:col>
      <xdr:colOff>161926</xdr:colOff>
      <xdr:row>246</xdr:row>
      <xdr:rowOff>61558</xdr:rowOff>
    </xdr:to>
    <xdr:sp macro="" textlink="">
      <xdr:nvSpPr>
        <xdr:cNvPr id="807" name="Elipse 806"/>
        <xdr:cNvSpPr/>
      </xdr:nvSpPr>
      <xdr:spPr>
        <a:xfrm>
          <a:off x="18032507" y="32389408"/>
          <a:ext cx="495860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12</a:t>
          </a:r>
        </a:p>
      </xdr:txBody>
    </xdr:sp>
    <xdr:clientData/>
  </xdr:twoCellAnchor>
  <xdr:twoCellAnchor>
    <xdr:from>
      <xdr:col>12</xdr:col>
      <xdr:colOff>675996</xdr:colOff>
      <xdr:row>246</xdr:row>
      <xdr:rowOff>61558</xdr:rowOff>
    </xdr:from>
    <xdr:to>
      <xdr:col>12</xdr:col>
      <xdr:colOff>679076</xdr:colOff>
      <xdr:row>253</xdr:row>
      <xdr:rowOff>161291</xdr:rowOff>
    </xdr:to>
    <xdr:cxnSp macro="">
      <xdr:nvCxnSpPr>
        <xdr:cNvPr id="808" name="Conector recto 807"/>
        <xdr:cNvCxnSpPr>
          <a:stCxn id="807" idx="4"/>
          <a:endCxn id="806" idx="0"/>
        </xdr:cNvCxnSpPr>
      </xdr:nvCxnSpPr>
      <xdr:spPr>
        <a:xfrm>
          <a:off x="18280437" y="32827558"/>
          <a:ext cx="3080" cy="1433233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918065</xdr:colOff>
      <xdr:row>238</xdr:row>
      <xdr:rowOff>163239</xdr:rowOff>
    </xdr:from>
    <xdr:to>
      <xdr:col>11</xdr:col>
      <xdr:colOff>805786</xdr:colOff>
      <xdr:row>248</xdr:row>
      <xdr:rowOff>146174</xdr:rowOff>
    </xdr:to>
    <xdr:cxnSp macro="">
      <xdr:nvCxnSpPr>
        <xdr:cNvPr id="809" name="Conector recto 808"/>
        <xdr:cNvCxnSpPr>
          <a:stCxn id="760" idx="5"/>
          <a:endCxn id="771" idx="1"/>
        </xdr:cNvCxnSpPr>
      </xdr:nvCxnSpPr>
      <xdr:spPr>
        <a:xfrm>
          <a:off x="15340036" y="31405239"/>
          <a:ext cx="1097956" cy="1887935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1614208</xdr:colOff>
      <xdr:row>248</xdr:row>
      <xdr:rowOff>66319</xdr:rowOff>
    </xdr:from>
    <xdr:to>
      <xdr:col>12</xdr:col>
      <xdr:colOff>136082</xdr:colOff>
      <xdr:row>250</xdr:row>
      <xdr:rowOff>123469</xdr:rowOff>
    </xdr:to>
    <xdr:sp macro="" textlink="">
      <xdr:nvSpPr>
        <xdr:cNvPr id="810" name="Elipse 809"/>
        <xdr:cNvSpPr/>
      </xdr:nvSpPr>
      <xdr:spPr>
        <a:xfrm>
          <a:off x="17246414" y="33213319"/>
          <a:ext cx="494109" cy="438150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13</a:t>
          </a:r>
        </a:p>
      </xdr:txBody>
    </xdr:sp>
    <xdr:clientData/>
  </xdr:twoCellAnchor>
  <xdr:twoCellAnchor>
    <xdr:from>
      <xdr:col>10</xdr:col>
      <xdr:colOff>918065</xdr:colOff>
      <xdr:row>238</xdr:row>
      <xdr:rowOff>163239</xdr:rowOff>
    </xdr:from>
    <xdr:to>
      <xdr:col>11</xdr:col>
      <xdr:colOff>1686569</xdr:colOff>
      <xdr:row>248</xdr:row>
      <xdr:rowOff>130485</xdr:rowOff>
    </xdr:to>
    <xdr:cxnSp macro="">
      <xdr:nvCxnSpPr>
        <xdr:cNvPr id="811" name="Conector recto 810"/>
        <xdr:cNvCxnSpPr>
          <a:stCxn id="760" idx="5"/>
          <a:endCxn id="810" idx="1"/>
        </xdr:cNvCxnSpPr>
      </xdr:nvCxnSpPr>
      <xdr:spPr>
        <a:xfrm>
          <a:off x="15340036" y="31405239"/>
          <a:ext cx="1978739" cy="1872246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698990</xdr:colOff>
      <xdr:row>245</xdr:row>
      <xdr:rowOff>183484</xdr:rowOff>
    </xdr:from>
    <xdr:to>
      <xdr:col>12</xdr:col>
      <xdr:colOff>431426</xdr:colOff>
      <xdr:row>254</xdr:row>
      <xdr:rowOff>189866</xdr:rowOff>
    </xdr:to>
    <xdr:cxnSp macro="">
      <xdr:nvCxnSpPr>
        <xdr:cNvPr id="812" name="Conector recto 811"/>
        <xdr:cNvCxnSpPr>
          <a:stCxn id="762" idx="5"/>
          <a:endCxn id="806" idx="2"/>
        </xdr:cNvCxnSpPr>
      </xdr:nvCxnSpPr>
      <xdr:spPr>
        <a:xfrm>
          <a:off x="14358961" y="32758984"/>
          <a:ext cx="3676906" cy="1720882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514350</xdr:colOff>
      <xdr:row>239</xdr:row>
      <xdr:rowOff>48867</xdr:rowOff>
    </xdr:from>
    <xdr:to>
      <xdr:col>10</xdr:col>
      <xdr:colOff>514350</xdr:colOff>
      <xdr:row>241</xdr:row>
      <xdr:rowOff>30639</xdr:rowOff>
    </xdr:to>
    <xdr:cxnSp macro="">
      <xdr:nvCxnSpPr>
        <xdr:cNvPr id="813" name="Conector recto 812"/>
        <xdr:cNvCxnSpPr>
          <a:stCxn id="759" idx="4"/>
          <a:endCxn id="761" idx="2"/>
        </xdr:cNvCxnSpPr>
      </xdr:nvCxnSpPr>
      <xdr:spPr>
        <a:xfrm>
          <a:off x="14174321" y="31481367"/>
          <a:ext cx="762000" cy="362772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514350</xdr:colOff>
      <xdr:row>239</xdr:row>
      <xdr:rowOff>48867</xdr:rowOff>
    </xdr:from>
    <xdr:to>
      <xdr:col>10</xdr:col>
      <xdr:colOff>504825</xdr:colOff>
      <xdr:row>249</xdr:row>
      <xdr:rowOff>127149</xdr:rowOff>
    </xdr:to>
    <xdr:cxnSp macro="">
      <xdr:nvCxnSpPr>
        <xdr:cNvPr id="814" name="Conector recto 813"/>
        <xdr:cNvCxnSpPr>
          <a:stCxn id="759" idx="4"/>
          <a:endCxn id="764" idx="2"/>
        </xdr:cNvCxnSpPr>
      </xdr:nvCxnSpPr>
      <xdr:spPr>
        <a:xfrm>
          <a:off x="14174321" y="31481367"/>
          <a:ext cx="752475" cy="1983282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708515</xdr:colOff>
      <xdr:row>241</xdr:row>
      <xdr:rowOff>185548</xdr:rowOff>
    </xdr:from>
    <xdr:to>
      <xdr:col>10</xdr:col>
      <xdr:colOff>586885</xdr:colOff>
      <xdr:row>251</xdr:row>
      <xdr:rowOff>102266</xdr:rowOff>
    </xdr:to>
    <xdr:cxnSp macro="">
      <xdr:nvCxnSpPr>
        <xdr:cNvPr id="815" name="Conector recto 814"/>
        <xdr:cNvCxnSpPr>
          <a:stCxn id="761" idx="3"/>
          <a:endCxn id="765" idx="7"/>
        </xdr:cNvCxnSpPr>
      </xdr:nvCxnSpPr>
      <xdr:spPr>
        <a:xfrm flipH="1">
          <a:off x="14368486" y="31999048"/>
          <a:ext cx="640370" cy="1821718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708515</xdr:colOff>
      <xdr:row>250</xdr:row>
      <xdr:rowOff>91558</xdr:rowOff>
    </xdr:from>
    <xdr:to>
      <xdr:col>10</xdr:col>
      <xdr:colOff>577360</xdr:colOff>
      <xdr:row>251</xdr:row>
      <xdr:rowOff>102266</xdr:rowOff>
    </xdr:to>
    <xdr:cxnSp macro="">
      <xdr:nvCxnSpPr>
        <xdr:cNvPr id="816" name="Conector recto 815"/>
        <xdr:cNvCxnSpPr>
          <a:stCxn id="764" idx="3"/>
          <a:endCxn id="765" idx="7"/>
        </xdr:cNvCxnSpPr>
      </xdr:nvCxnSpPr>
      <xdr:spPr>
        <a:xfrm flipH="1">
          <a:off x="14368486" y="33619558"/>
          <a:ext cx="630845" cy="201208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1240786</xdr:colOff>
      <xdr:row>241</xdr:row>
      <xdr:rowOff>47205</xdr:rowOff>
    </xdr:from>
    <xdr:to>
      <xdr:col>12</xdr:col>
      <xdr:colOff>679076</xdr:colOff>
      <xdr:row>253</xdr:row>
      <xdr:rowOff>161291</xdr:rowOff>
    </xdr:to>
    <xdr:cxnSp macro="">
      <xdr:nvCxnSpPr>
        <xdr:cNvPr id="817" name="Conector recto 816"/>
        <xdr:cNvCxnSpPr>
          <a:stCxn id="770" idx="6"/>
          <a:endCxn id="806" idx="0"/>
        </xdr:cNvCxnSpPr>
      </xdr:nvCxnSpPr>
      <xdr:spPr>
        <a:xfrm>
          <a:off x="16872992" y="31860705"/>
          <a:ext cx="1410525" cy="2400086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698990</xdr:colOff>
      <xdr:row>245</xdr:row>
      <xdr:rowOff>183484</xdr:rowOff>
    </xdr:from>
    <xdr:to>
      <xdr:col>11</xdr:col>
      <xdr:colOff>1686569</xdr:colOff>
      <xdr:row>248</xdr:row>
      <xdr:rowOff>130485</xdr:rowOff>
    </xdr:to>
    <xdr:cxnSp macro="">
      <xdr:nvCxnSpPr>
        <xdr:cNvPr id="818" name="Conector recto 817"/>
        <xdr:cNvCxnSpPr>
          <a:stCxn id="762" idx="5"/>
          <a:endCxn id="810" idx="1"/>
        </xdr:cNvCxnSpPr>
      </xdr:nvCxnSpPr>
      <xdr:spPr>
        <a:xfrm>
          <a:off x="14358961" y="32758984"/>
          <a:ext cx="2959814" cy="518501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1168425</xdr:colOff>
      <xdr:row>242</xdr:row>
      <xdr:rowOff>11614</xdr:rowOff>
    </xdr:from>
    <xdr:to>
      <xdr:col>11</xdr:col>
      <xdr:colOff>1686569</xdr:colOff>
      <xdr:row>248</xdr:row>
      <xdr:rowOff>130485</xdr:rowOff>
    </xdr:to>
    <xdr:cxnSp macro="">
      <xdr:nvCxnSpPr>
        <xdr:cNvPr id="819" name="Conector recto 818"/>
        <xdr:cNvCxnSpPr>
          <a:stCxn id="770" idx="5"/>
          <a:endCxn id="810" idx="1"/>
        </xdr:cNvCxnSpPr>
      </xdr:nvCxnSpPr>
      <xdr:spPr>
        <a:xfrm>
          <a:off x="16800631" y="32015614"/>
          <a:ext cx="518144" cy="1261871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1155173</xdr:colOff>
      <xdr:row>250</xdr:row>
      <xdr:rowOff>74992</xdr:rowOff>
    </xdr:from>
    <xdr:to>
      <xdr:col>12</xdr:col>
      <xdr:colOff>431426</xdr:colOff>
      <xdr:row>254</xdr:row>
      <xdr:rowOff>189866</xdr:rowOff>
    </xdr:to>
    <xdr:cxnSp macro="">
      <xdr:nvCxnSpPr>
        <xdr:cNvPr id="820" name="Conector recto 819"/>
        <xdr:cNvCxnSpPr>
          <a:stCxn id="771" idx="5"/>
          <a:endCxn id="806" idx="2"/>
        </xdr:cNvCxnSpPr>
      </xdr:nvCxnSpPr>
      <xdr:spPr>
        <a:xfrm>
          <a:off x="16787379" y="33602992"/>
          <a:ext cx="1248488" cy="876874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1227534</xdr:colOff>
      <xdr:row>249</xdr:row>
      <xdr:rowOff>94894</xdr:rowOff>
    </xdr:from>
    <xdr:to>
      <xdr:col>11</xdr:col>
      <xdr:colOff>1614208</xdr:colOff>
      <xdr:row>249</xdr:row>
      <xdr:rowOff>110583</xdr:rowOff>
    </xdr:to>
    <xdr:cxnSp macro="">
      <xdr:nvCxnSpPr>
        <xdr:cNvPr id="821" name="Conector recto 820"/>
        <xdr:cNvCxnSpPr>
          <a:stCxn id="771" idx="6"/>
          <a:endCxn id="810" idx="2"/>
        </xdr:cNvCxnSpPr>
      </xdr:nvCxnSpPr>
      <xdr:spPr>
        <a:xfrm flipV="1">
          <a:off x="16859740" y="33432394"/>
          <a:ext cx="386674" cy="15689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1861263</xdr:colOff>
      <xdr:row>242</xdr:row>
      <xdr:rowOff>72829</xdr:rowOff>
    </xdr:from>
    <xdr:to>
      <xdr:col>11</xdr:col>
      <xdr:colOff>1881311</xdr:colOff>
      <xdr:row>248</xdr:row>
      <xdr:rowOff>66319</xdr:rowOff>
    </xdr:to>
    <xdr:cxnSp macro="">
      <xdr:nvCxnSpPr>
        <xdr:cNvPr id="822" name="Conector recto 821"/>
        <xdr:cNvCxnSpPr>
          <a:endCxn id="810" idx="0"/>
        </xdr:cNvCxnSpPr>
      </xdr:nvCxnSpPr>
      <xdr:spPr>
        <a:xfrm flipH="1">
          <a:off x="17493469" y="32076829"/>
          <a:ext cx="20048" cy="1136490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72909</xdr:colOff>
      <xdr:row>242</xdr:row>
      <xdr:rowOff>8663</xdr:rowOff>
    </xdr:from>
    <xdr:to>
      <xdr:col>12</xdr:col>
      <xdr:colOff>679076</xdr:colOff>
      <xdr:row>253</xdr:row>
      <xdr:rowOff>161291</xdr:rowOff>
    </xdr:to>
    <xdr:cxnSp macro="">
      <xdr:nvCxnSpPr>
        <xdr:cNvPr id="823" name="Conector recto 822"/>
        <xdr:cNvCxnSpPr>
          <a:stCxn id="780" idx="5"/>
          <a:endCxn id="806" idx="0"/>
        </xdr:cNvCxnSpPr>
      </xdr:nvCxnSpPr>
      <xdr:spPr>
        <a:xfrm>
          <a:off x="17677350" y="32012663"/>
          <a:ext cx="606167" cy="2248128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1009650</xdr:colOff>
      <xdr:row>245</xdr:row>
      <xdr:rowOff>19050</xdr:rowOff>
    </xdr:from>
    <xdr:to>
      <xdr:col>11</xdr:col>
      <xdr:colOff>1686569</xdr:colOff>
      <xdr:row>248</xdr:row>
      <xdr:rowOff>130485</xdr:rowOff>
    </xdr:to>
    <xdr:cxnSp macro="">
      <xdr:nvCxnSpPr>
        <xdr:cNvPr id="824" name="Conector recto 823"/>
        <xdr:cNvCxnSpPr>
          <a:stCxn id="789" idx="6"/>
          <a:endCxn id="810" idx="1"/>
        </xdr:cNvCxnSpPr>
      </xdr:nvCxnSpPr>
      <xdr:spPr>
        <a:xfrm>
          <a:off x="15431621" y="32594550"/>
          <a:ext cx="1887154" cy="682935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63721</xdr:colOff>
      <xdr:row>250</xdr:row>
      <xdr:rowOff>59303</xdr:rowOff>
    </xdr:from>
    <xdr:to>
      <xdr:col>12</xdr:col>
      <xdr:colOff>503961</xdr:colOff>
      <xdr:row>254</xdr:row>
      <xdr:rowOff>34957</xdr:rowOff>
    </xdr:to>
    <xdr:cxnSp macro="">
      <xdr:nvCxnSpPr>
        <xdr:cNvPr id="825" name="Conector recto 824"/>
        <xdr:cNvCxnSpPr>
          <a:stCxn id="810" idx="5"/>
          <a:endCxn id="806" idx="1"/>
        </xdr:cNvCxnSpPr>
      </xdr:nvCxnSpPr>
      <xdr:spPr>
        <a:xfrm>
          <a:off x="17668162" y="33587303"/>
          <a:ext cx="440240" cy="737654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63721</xdr:colOff>
      <xdr:row>245</xdr:row>
      <xdr:rowOff>187892</xdr:rowOff>
    </xdr:from>
    <xdr:to>
      <xdr:col>12</xdr:col>
      <xdr:colOff>500683</xdr:colOff>
      <xdr:row>248</xdr:row>
      <xdr:rowOff>130485</xdr:rowOff>
    </xdr:to>
    <xdr:cxnSp macro="">
      <xdr:nvCxnSpPr>
        <xdr:cNvPr id="826" name="Conector recto 825"/>
        <xdr:cNvCxnSpPr>
          <a:stCxn id="810" idx="7"/>
          <a:endCxn id="807" idx="3"/>
        </xdr:cNvCxnSpPr>
      </xdr:nvCxnSpPr>
      <xdr:spPr>
        <a:xfrm flipV="1">
          <a:off x="17668162" y="32763392"/>
          <a:ext cx="436962" cy="514093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918065</xdr:colOff>
      <xdr:row>235</xdr:row>
      <xdr:rowOff>87039</xdr:rowOff>
    </xdr:from>
    <xdr:to>
      <xdr:col>11</xdr:col>
      <xdr:colOff>1686569</xdr:colOff>
      <xdr:row>248</xdr:row>
      <xdr:rowOff>130485</xdr:rowOff>
    </xdr:to>
    <xdr:cxnSp macro="">
      <xdr:nvCxnSpPr>
        <xdr:cNvPr id="827" name="Conector recto 826"/>
        <xdr:cNvCxnSpPr>
          <a:stCxn id="810" idx="1"/>
          <a:endCxn id="803" idx="5"/>
        </xdr:cNvCxnSpPr>
      </xdr:nvCxnSpPr>
      <xdr:spPr>
        <a:xfrm flipH="1" flipV="1">
          <a:off x="15340036" y="30757539"/>
          <a:ext cx="1978739" cy="2519946"/>
        </a:xfrm>
        <a:prstGeom prst="line">
          <a:avLst/>
        </a:prstGeom>
        <a:ln w="19050">
          <a:solidFill>
            <a:srgbClr val="FFC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941294</xdr:colOff>
      <xdr:row>238</xdr:row>
      <xdr:rowOff>112059</xdr:rowOff>
    </xdr:from>
    <xdr:to>
      <xdr:col>12</xdr:col>
      <xdr:colOff>437030</xdr:colOff>
      <xdr:row>246</xdr:row>
      <xdr:rowOff>130398</xdr:rowOff>
    </xdr:to>
    <xdr:sp macro="" textlink="">
      <xdr:nvSpPr>
        <xdr:cNvPr id="829" name="Forma libre 828"/>
        <xdr:cNvSpPr/>
      </xdr:nvSpPr>
      <xdr:spPr>
        <a:xfrm>
          <a:off x="15363265" y="36116559"/>
          <a:ext cx="2678206" cy="1542339"/>
        </a:xfrm>
        <a:custGeom>
          <a:avLst/>
          <a:gdLst>
            <a:gd name="connsiteX0" fmla="*/ 0 w 2678206"/>
            <a:gd name="connsiteY0" fmla="*/ 0 h 1542339"/>
            <a:gd name="connsiteX1" fmla="*/ 1042147 w 2678206"/>
            <a:gd name="connsiteY1" fmla="*/ 1479176 h 1542339"/>
            <a:gd name="connsiteX2" fmla="*/ 2678206 w 2678206"/>
            <a:gd name="connsiteY2" fmla="*/ 1288676 h 15423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678206" h="1542339">
              <a:moveTo>
                <a:pt x="0" y="0"/>
              </a:moveTo>
              <a:cubicBezTo>
                <a:pt x="297889" y="632198"/>
                <a:pt x="595779" y="1264397"/>
                <a:pt x="1042147" y="1479176"/>
              </a:cubicBezTo>
              <a:cubicBezTo>
                <a:pt x="1488515" y="1693955"/>
                <a:pt x="2478368" y="1292411"/>
                <a:pt x="2678206" y="1288676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1008529</xdr:colOff>
      <xdr:row>243</xdr:row>
      <xdr:rowOff>110750</xdr:rowOff>
    </xdr:from>
    <xdr:to>
      <xdr:col>12</xdr:col>
      <xdr:colOff>437030</xdr:colOff>
      <xdr:row>245</xdr:row>
      <xdr:rowOff>103469</xdr:rowOff>
    </xdr:to>
    <xdr:sp macro="" textlink="">
      <xdr:nvSpPr>
        <xdr:cNvPr id="830" name="Forma libre 829"/>
        <xdr:cNvSpPr/>
      </xdr:nvSpPr>
      <xdr:spPr>
        <a:xfrm>
          <a:off x="15430500" y="37067750"/>
          <a:ext cx="2610971" cy="373719"/>
        </a:xfrm>
        <a:custGeom>
          <a:avLst/>
          <a:gdLst>
            <a:gd name="connsiteX0" fmla="*/ 0 w 2610971"/>
            <a:gd name="connsiteY0" fmla="*/ 348691 h 373719"/>
            <a:gd name="connsiteX1" fmla="*/ 515471 w 2610971"/>
            <a:gd name="connsiteY1" fmla="*/ 337485 h 373719"/>
            <a:gd name="connsiteX2" fmla="*/ 1434353 w 2610971"/>
            <a:gd name="connsiteY2" fmla="*/ 1309 h 373719"/>
            <a:gd name="connsiteX3" fmla="*/ 2610971 w 2610971"/>
            <a:gd name="connsiteY3" fmla="*/ 214221 h 3737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10971" h="373719">
              <a:moveTo>
                <a:pt x="0" y="348691"/>
              </a:moveTo>
              <a:cubicBezTo>
                <a:pt x="138206" y="372036"/>
                <a:pt x="276412" y="395382"/>
                <a:pt x="515471" y="337485"/>
              </a:cubicBezTo>
              <a:cubicBezTo>
                <a:pt x="754530" y="279588"/>
                <a:pt x="1085103" y="21853"/>
                <a:pt x="1434353" y="1309"/>
              </a:cubicBezTo>
              <a:cubicBezTo>
                <a:pt x="1783603" y="-19235"/>
                <a:pt x="2370045" y="208618"/>
                <a:pt x="2610971" y="214221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88896</xdr:colOff>
      <xdr:row>93</xdr:row>
      <xdr:rowOff>117154</xdr:rowOff>
    </xdr:from>
    <xdr:to>
      <xdr:col>67</xdr:col>
      <xdr:colOff>35979</xdr:colOff>
      <xdr:row>96</xdr:row>
      <xdr:rowOff>137583</xdr:rowOff>
    </xdr:to>
    <xdr:pic>
      <xdr:nvPicPr>
        <xdr:cNvPr id="144" name="Imagen 1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32229" y="17833654"/>
          <a:ext cx="687917" cy="591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53</xdr:col>
      <xdr:colOff>0</xdr:colOff>
      <xdr:row>98</xdr:row>
      <xdr:rowOff>44825</xdr:rowOff>
    </xdr:from>
    <xdr:to>
      <xdr:col>55</xdr:col>
      <xdr:colOff>11207</xdr:colOff>
      <xdr:row>100</xdr:row>
      <xdr:rowOff>134472</xdr:rowOff>
    </xdr:to>
    <xdr:sp macro="" textlink="">
      <xdr:nvSpPr>
        <xdr:cNvPr id="41" name="40 CuadroTexto"/>
        <xdr:cNvSpPr txBox="1"/>
      </xdr:nvSpPr>
      <xdr:spPr>
        <a:xfrm rot="16200000">
          <a:off x="44537780" y="18786663"/>
          <a:ext cx="470647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5 m</a:t>
          </a:r>
        </a:p>
      </xdr:txBody>
    </xdr:sp>
    <xdr:clientData/>
  </xdr:twoCellAnchor>
  <xdr:twoCellAnchor>
    <xdr:from>
      <xdr:col>56</xdr:col>
      <xdr:colOff>1</xdr:colOff>
      <xdr:row>95</xdr:row>
      <xdr:rowOff>179294</xdr:rowOff>
    </xdr:from>
    <xdr:to>
      <xdr:col>59</xdr:col>
      <xdr:colOff>134470</xdr:colOff>
      <xdr:row>101</xdr:row>
      <xdr:rowOff>11202</xdr:rowOff>
    </xdr:to>
    <xdr:sp macro="" textlink="">
      <xdr:nvSpPr>
        <xdr:cNvPr id="35" name="34 CuadroTexto"/>
        <xdr:cNvSpPr txBox="1"/>
      </xdr:nvSpPr>
      <xdr:spPr>
        <a:xfrm rot="16200000">
          <a:off x="44896370" y="18461690"/>
          <a:ext cx="974908" cy="6051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Zona de etiquetado y empaquetado</a:t>
          </a:r>
        </a:p>
      </xdr:txBody>
    </xdr:sp>
    <xdr:clientData/>
  </xdr:twoCellAnchor>
  <xdr:twoCellAnchor>
    <xdr:from>
      <xdr:col>52</xdr:col>
      <xdr:colOff>56032</xdr:colOff>
      <xdr:row>95</xdr:row>
      <xdr:rowOff>100851</xdr:rowOff>
    </xdr:from>
    <xdr:to>
      <xdr:col>54</xdr:col>
      <xdr:colOff>100854</xdr:colOff>
      <xdr:row>98</xdr:row>
      <xdr:rowOff>78441</xdr:rowOff>
    </xdr:to>
    <xdr:sp macro="" textlink="">
      <xdr:nvSpPr>
        <xdr:cNvPr id="44" name="43 CuadroTexto"/>
        <xdr:cNvSpPr txBox="1"/>
      </xdr:nvSpPr>
      <xdr:spPr>
        <a:xfrm rot="16200000">
          <a:off x="44414516" y="18293602"/>
          <a:ext cx="549090" cy="3585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4 m</a:t>
          </a:r>
        </a:p>
      </xdr:txBody>
    </xdr:sp>
    <xdr:clientData/>
  </xdr:twoCellAnchor>
  <xdr:twoCellAnchor>
    <xdr:from>
      <xdr:col>56</xdr:col>
      <xdr:colOff>100853</xdr:colOff>
      <xdr:row>93</xdr:row>
      <xdr:rowOff>190499</xdr:rowOff>
    </xdr:from>
    <xdr:to>
      <xdr:col>59</xdr:col>
      <xdr:colOff>100853</xdr:colOff>
      <xdr:row>95</xdr:row>
      <xdr:rowOff>134470</xdr:rowOff>
    </xdr:to>
    <xdr:sp macro="" textlink="">
      <xdr:nvSpPr>
        <xdr:cNvPr id="38" name="37 CuadroTexto"/>
        <xdr:cNvSpPr txBox="1"/>
      </xdr:nvSpPr>
      <xdr:spPr>
        <a:xfrm rot="10800000">
          <a:off x="45182118" y="17906999"/>
          <a:ext cx="470647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6 m</a:t>
          </a:r>
        </a:p>
      </xdr:txBody>
    </xdr:sp>
    <xdr:clientData/>
  </xdr:twoCellAnchor>
  <xdr:twoCellAnchor>
    <xdr:from>
      <xdr:col>55</xdr:col>
      <xdr:colOff>129988</xdr:colOff>
      <xdr:row>101</xdr:row>
      <xdr:rowOff>73953</xdr:rowOff>
    </xdr:from>
    <xdr:to>
      <xdr:col>57</xdr:col>
      <xdr:colOff>141194</xdr:colOff>
      <xdr:row>103</xdr:row>
      <xdr:rowOff>163600</xdr:rowOff>
    </xdr:to>
    <xdr:sp macro="" textlink="">
      <xdr:nvSpPr>
        <xdr:cNvPr id="34" name="33 CuadroTexto"/>
        <xdr:cNvSpPr txBox="1"/>
      </xdr:nvSpPr>
      <xdr:spPr>
        <a:xfrm rot="16200000">
          <a:off x="44981532" y="19387291"/>
          <a:ext cx="470647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4 m</a:t>
          </a:r>
        </a:p>
      </xdr:txBody>
    </xdr:sp>
    <xdr:clientData/>
  </xdr:twoCellAnchor>
  <xdr:twoCellAnchor>
    <xdr:from>
      <xdr:col>43</xdr:col>
      <xdr:colOff>41258</xdr:colOff>
      <xdr:row>106</xdr:row>
      <xdr:rowOff>56029</xdr:rowOff>
    </xdr:from>
    <xdr:to>
      <xdr:col>46</xdr:col>
      <xdr:colOff>155863</xdr:colOff>
      <xdr:row>108</xdr:row>
      <xdr:rowOff>0</xdr:rowOff>
    </xdr:to>
    <xdr:sp macro="" textlink="">
      <xdr:nvSpPr>
        <xdr:cNvPr id="31" name="30 CuadroTexto"/>
        <xdr:cNvSpPr txBox="1"/>
      </xdr:nvSpPr>
      <xdr:spPr>
        <a:xfrm rot="10800000">
          <a:off x="43094258" y="20249029"/>
          <a:ext cx="582196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3 m</a:t>
          </a:r>
        </a:p>
      </xdr:txBody>
    </xdr:sp>
    <xdr:clientData/>
  </xdr:twoCellAnchor>
  <xdr:twoCellAnchor>
    <xdr:from>
      <xdr:col>52</xdr:col>
      <xdr:colOff>100853</xdr:colOff>
      <xdr:row>100</xdr:row>
      <xdr:rowOff>145671</xdr:rowOff>
    </xdr:from>
    <xdr:to>
      <xdr:col>54</xdr:col>
      <xdr:colOff>112059</xdr:colOff>
      <xdr:row>103</xdr:row>
      <xdr:rowOff>44818</xdr:rowOff>
    </xdr:to>
    <xdr:sp macro="" textlink="">
      <xdr:nvSpPr>
        <xdr:cNvPr id="28" name="27 CuadroTexto"/>
        <xdr:cNvSpPr txBox="1"/>
      </xdr:nvSpPr>
      <xdr:spPr>
        <a:xfrm rot="16200000">
          <a:off x="44481750" y="19268509"/>
          <a:ext cx="470647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5 m</a:t>
          </a:r>
        </a:p>
      </xdr:txBody>
    </xdr:sp>
    <xdr:clientData/>
  </xdr:twoCellAnchor>
  <xdr:twoCellAnchor>
    <xdr:from>
      <xdr:col>57</xdr:col>
      <xdr:colOff>131110</xdr:colOff>
      <xdr:row>105</xdr:row>
      <xdr:rowOff>52668</xdr:rowOff>
    </xdr:from>
    <xdr:to>
      <xdr:col>60</xdr:col>
      <xdr:colOff>131110</xdr:colOff>
      <xdr:row>106</xdr:row>
      <xdr:rowOff>187139</xdr:rowOff>
    </xdr:to>
    <xdr:sp macro="" textlink="">
      <xdr:nvSpPr>
        <xdr:cNvPr id="21" name="20 CuadroTexto"/>
        <xdr:cNvSpPr txBox="1"/>
      </xdr:nvSpPr>
      <xdr:spPr>
        <a:xfrm rot="10800000">
          <a:off x="45369257" y="20055168"/>
          <a:ext cx="470647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3 m</a:t>
          </a:r>
        </a:p>
      </xdr:txBody>
    </xdr:sp>
    <xdr:clientData/>
  </xdr:twoCellAnchor>
  <xdr:twoCellAnchor>
    <xdr:from>
      <xdr:col>65</xdr:col>
      <xdr:colOff>101974</xdr:colOff>
      <xdr:row>107</xdr:row>
      <xdr:rowOff>68356</xdr:rowOff>
    </xdr:from>
    <xdr:to>
      <xdr:col>68</xdr:col>
      <xdr:colOff>101974</xdr:colOff>
      <xdr:row>109</xdr:row>
      <xdr:rowOff>12327</xdr:rowOff>
    </xdr:to>
    <xdr:sp macro="" textlink="">
      <xdr:nvSpPr>
        <xdr:cNvPr id="14" name="13 CuadroTexto"/>
        <xdr:cNvSpPr txBox="1"/>
      </xdr:nvSpPr>
      <xdr:spPr>
        <a:xfrm rot="10800000">
          <a:off x="46595180" y="20451856"/>
          <a:ext cx="470647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13 m</a:t>
          </a:r>
        </a:p>
      </xdr:txBody>
    </xdr:sp>
    <xdr:clientData/>
  </xdr:twoCellAnchor>
  <xdr:twoCellAnchor>
    <xdr:from>
      <xdr:col>48</xdr:col>
      <xdr:colOff>28016</xdr:colOff>
      <xdr:row>105</xdr:row>
      <xdr:rowOff>39220</xdr:rowOff>
    </xdr:from>
    <xdr:to>
      <xdr:col>51</xdr:col>
      <xdr:colOff>28016</xdr:colOff>
      <xdr:row>106</xdr:row>
      <xdr:rowOff>173691</xdr:rowOff>
    </xdr:to>
    <xdr:sp macro="" textlink="">
      <xdr:nvSpPr>
        <xdr:cNvPr id="8" name="7 CuadroTexto"/>
        <xdr:cNvSpPr txBox="1"/>
      </xdr:nvSpPr>
      <xdr:spPr>
        <a:xfrm rot="10800000">
          <a:off x="43854222" y="20041720"/>
          <a:ext cx="470647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5 m</a:t>
          </a:r>
        </a:p>
      </xdr:txBody>
    </xdr:sp>
    <xdr:clientData/>
  </xdr:twoCellAnchor>
  <xdr:twoCellAnchor>
    <xdr:from>
      <xdr:col>43</xdr:col>
      <xdr:colOff>47370</xdr:colOff>
      <xdr:row>93</xdr:row>
      <xdr:rowOff>0</xdr:rowOff>
    </xdr:from>
    <xdr:to>
      <xdr:col>43</xdr:col>
      <xdr:colOff>47370</xdr:colOff>
      <xdr:row>107</xdr:row>
      <xdr:rowOff>11206</xdr:rowOff>
    </xdr:to>
    <xdr:cxnSp macro="">
      <xdr:nvCxnSpPr>
        <xdr:cNvPr id="3" name="2 Conector recto de flecha"/>
        <xdr:cNvCxnSpPr/>
      </xdr:nvCxnSpPr>
      <xdr:spPr>
        <a:xfrm>
          <a:off x="43100370" y="17716500"/>
          <a:ext cx="0" cy="2678206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541957</xdr:colOff>
      <xdr:row>97</xdr:row>
      <xdr:rowOff>185916</xdr:rowOff>
    </xdr:from>
    <xdr:to>
      <xdr:col>43</xdr:col>
      <xdr:colOff>104928</xdr:colOff>
      <xdr:row>100</xdr:row>
      <xdr:rowOff>85063</xdr:rowOff>
    </xdr:to>
    <xdr:sp macro="" textlink="">
      <xdr:nvSpPr>
        <xdr:cNvPr id="5" name="4 CuadroTexto"/>
        <xdr:cNvSpPr txBox="1"/>
      </xdr:nvSpPr>
      <xdr:spPr>
        <a:xfrm rot="16200000">
          <a:off x="42760119" y="18737254"/>
          <a:ext cx="470647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13 m</a:t>
          </a:r>
        </a:p>
      </xdr:txBody>
    </xdr:sp>
    <xdr:clientData/>
  </xdr:twoCellAnchor>
  <xdr:twoCellAnchor>
    <xdr:from>
      <xdr:col>47</xdr:col>
      <xdr:colOff>22411</xdr:colOff>
      <xdr:row>105</xdr:row>
      <xdr:rowOff>100853</xdr:rowOff>
    </xdr:from>
    <xdr:to>
      <xdr:col>52</xdr:col>
      <xdr:colOff>44824</xdr:colOff>
      <xdr:row>105</xdr:row>
      <xdr:rowOff>100853</xdr:rowOff>
    </xdr:to>
    <xdr:cxnSp macro="">
      <xdr:nvCxnSpPr>
        <xdr:cNvPr id="7" name="6 Conector recto de flecha"/>
        <xdr:cNvCxnSpPr/>
      </xdr:nvCxnSpPr>
      <xdr:spPr>
        <a:xfrm>
          <a:off x="43691735" y="20103353"/>
          <a:ext cx="806824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145676</xdr:colOff>
      <xdr:row>92</xdr:row>
      <xdr:rowOff>33618</xdr:rowOff>
    </xdr:from>
    <xdr:to>
      <xdr:col>73</xdr:col>
      <xdr:colOff>145676</xdr:colOff>
      <xdr:row>106</xdr:row>
      <xdr:rowOff>168088</xdr:rowOff>
    </xdr:to>
    <xdr:cxnSp macro="">
      <xdr:nvCxnSpPr>
        <xdr:cNvPr id="9" name="8 Conector recto de flecha"/>
        <xdr:cNvCxnSpPr/>
      </xdr:nvCxnSpPr>
      <xdr:spPr>
        <a:xfrm>
          <a:off x="47893941" y="17559618"/>
          <a:ext cx="0" cy="280147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202826</xdr:colOff>
      <xdr:row>97</xdr:row>
      <xdr:rowOff>124386</xdr:rowOff>
    </xdr:from>
    <xdr:to>
      <xdr:col>73</xdr:col>
      <xdr:colOff>527797</xdr:colOff>
      <xdr:row>100</xdr:row>
      <xdr:rowOff>23533</xdr:rowOff>
    </xdr:to>
    <xdr:sp macro="" textlink="">
      <xdr:nvSpPr>
        <xdr:cNvPr id="11" name="10 CuadroTexto"/>
        <xdr:cNvSpPr txBox="1"/>
      </xdr:nvSpPr>
      <xdr:spPr>
        <a:xfrm rot="16200000">
          <a:off x="47878253" y="18675724"/>
          <a:ext cx="470647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15 m</a:t>
          </a:r>
        </a:p>
      </xdr:txBody>
    </xdr:sp>
    <xdr:clientData/>
  </xdr:twoCellAnchor>
  <xdr:twoCellAnchor>
    <xdr:from>
      <xdr:col>61</xdr:col>
      <xdr:colOff>22412</xdr:colOff>
      <xdr:row>107</xdr:row>
      <xdr:rowOff>89647</xdr:rowOff>
    </xdr:from>
    <xdr:to>
      <xdr:col>72</xdr:col>
      <xdr:colOff>145677</xdr:colOff>
      <xdr:row>107</xdr:row>
      <xdr:rowOff>89647</xdr:rowOff>
    </xdr:to>
    <xdr:cxnSp macro="">
      <xdr:nvCxnSpPr>
        <xdr:cNvPr id="16" name="15 Conector recto de flecha"/>
        <xdr:cNvCxnSpPr/>
      </xdr:nvCxnSpPr>
      <xdr:spPr>
        <a:xfrm>
          <a:off x="45888088" y="20473147"/>
          <a:ext cx="1848971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33618</xdr:colOff>
      <xdr:row>105</xdr:row>
      <xdr:rowOff>123265</xdr:rowOff>
    </xdr:from>
    <xdr:to>
      <xdr:col>60</xdr:col>
      <xdr:colOff>145677</xdr:colOff>
      <xdr:row>105</xdr:row>
      <xdr:rowOff>123265</xdr:rowOff>
    </xdr:to>
    <xdr:cxnSp macro="">
      <xdr:nvCxnSpPr>
        <xdr:cNvPr id="20" name="19 Conector recto de flecha"/>
        <xdr:cNvCxnSpPr/>
      </xdr:nvCxnSpPr>
      <xdr:spPr>
        <a:xfrm>
          <a:off x="45428647" y="20125765"/>
          <a:ext cx="425824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91515</xdr:colOff>
      <xdr:row>94</xdr:row>
      <xdr:rowOff>162485</xdr:rowOff>
    </xdr:from>
    <xdr:to>
      <xdr:col>68</xdr:col>
      <xdr:colOff>44201</xdr:colOff>
      <xdr:row>103</xdr:row>
      <xdr:rowOff>39220</xdr:rowOff>
    </xdr:to>
    <xdr:sp macro="" textlink="">
      <xdr:nvSpPr>
        <xdr:cNvPr id="22" name="21 CuadroTexto"/>
        <xdr:cNvSpPr txBox="1"/>
      </xdr:nvSpPr>
      <xdr:spPr>
        <a:xfrm rot="16200000">
          <a:off x="46156407" y="18740593"/>
          <a:ext cx="1591235" cy="249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Oficinas Administrativas</a:t>
          </a:r>
        </a:p>
      </xdr:txBody>
    </xdr:sp>
    <xdr:clientData/>
  </xdr:twoCellAnchor>
  <xdr:twoCellAnchor>
    <xdr:from>
      <xdr:col>43</xdr:col>
      <xdr:colOff>43296</xdr:colOff>
      <xdr:row>92</xdr:row>
      <xdr:rowOff>60613</xdr:rowOff>
    </xdr:from>
    <xdr:to>
      <xdr:col>47</xdr:col>
      <xdr:colOff>63162</xdr:colOff>
      <xdr:row>106</xdr:row>
      <xdr:rowOff>153264</xdr:rowOff>
    </xdr:to>
    <xdr:sp macro="" textlink="">
      <xdr:nvSpPr>
        <xdr:cNvPr id="23" name="22 CuadroTexto"/>
        <xdr:cNvSpPr txBox="1"/>
      </xdr:nvSpPr>
      <xdr:spPr>
        <a:xfrm rot="16200000">
          <a:off x="42038131" y="18644778"/>
          <a:ext cx="2759651" cy="643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Zona de Pesado,</a:t>
          </a:r>
          <a:r>
            <a:rPr lang="es-P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Seleccionado, Lavado , Escaldado, Acondicionado de Aloe Vera</a:t>
          </a:r>
          <a:endParaRPr lang="fr-FR" sz="1000">
            <a:effectLst/>
          </a:endParaRPr>
        </a:p>
      </xdr:txBody>
    </xdr:sp>
    <xdr:clientData/>
  </xdr:twoCellAnchor>
  <xdr:twoCellAnchor>
    <xdr:from>
      <xdr:col>47</xdr:col>
      <xdr:colOff>18053</xdr:colOff>
      <xdr:row>100</xdr:row>
      <xdr:rowOff>89646</xdr:rowOff>
    </xdr:from>
    <xdr:to>
      <xdr:col>48</xdr:col>
      <xdr:colOff>110190</xdr:colOff>
      <xdr:row>104</xdr:row>
      <xdr:rowOff>100852</xdr:rowOff>
    </xdr:to>
    <xdr:sp macro="" textlink="">
      <xdr:nvSpPr>
        <xdr:cNvPr id="24" name="23 CuadroTexto"/>
        <xdr:cNvSpPr txBox="1"/>
      </xdr:nvSpPr>
      <xdr:spPr>
        <a:xfrm rot="16200000">
          <a:off x="43672435" y="19406097"/>
          <a:ext cx="773206" cy="240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Comedor</a:t>
          </a:r>
        </a:p>
      </xdr:txBody>
    </xdr:sp>
    <xdr:clientData/>
  </xdr:twoCellAnchor>
  <xdr:twoCellAnchor>
    <xdr:from>
      <xdr:col>58</xdr:col>
      <xdr:colOff>11207</xdr:colOff>
      <xdr:row>101</xdr:row>
      <xdr:rowOff>22411</xdr:rowOff>
    </xdr:from>
    <xdr:to>
      <xdr:col>61</xdr:col>
      <xdr:colOff>22412</xdr:colOff>
      <xdr:row>104</xdr:row>
      <xdr:rowOff>134469</xdr:rowOff>
    </xdr:to>
    <xdr:sp macro="" textlink="">
      <xdr:nvSpPr>
        <xdr:cNvPr id="25" name="24 CuadroTexto"/>
        <xdr:cNvSpPr txBox="1"/>
      </xdr:nvSpPr>
      <xdr:spPr>
        <a:xfrm rot="16200000">
          <a:off x="45305383" y="19363764"/>
          <a:ext cx="683558" cy="4818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Almacén de PT</a:t>
          </a:r>
        </a:p>
      </xdr:txBody>
    </xdr:sp>
    <xdr:clientData/>
  </xdr:twoCellAnchor>
  <xdr:twoCellAnchor>
    <xdr:from>
      <xdr:col>52</xdr:col>
      <xdr:colOff>112059</xdr:colOff>
      <xdr:row>100</xdr:row>
      <xdr:rowOff>22409</xdr:rowOff>
    </xdr:from>
    <xdr:to>
      <xdr:col>52</xdr:col>
      <xdr:colOff>112059</xdr:colOff>
      <xdr:row>105</xdr:row>
      <xdr:rowOff>22409</xdr:rowOff>
    </xdr:to>
    <xdr:cxnSp macro="">
      <xdr:nvCxnSpPr>
        <xdr:cNvPr id="27" name="26 Conector recto de flecha"/>
        <xdr:cNvCxnSpPr/>
      </xdr:nvCxnSpPr>
      <xdr:spPr>
        <a:xfrm>
          <a:off x="44565794" y="19072409"/>
          <a:ext cx="0" cy="95250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120209</xdr:colOff>
      <xdr:row>106</xdr:row>
      <xdr:rowOff>120718</xdr:rowOff>
    </xdr:from>
    <xdr:to>
      <xdr:col>47</xdr:col>
      <xdr:colOff>42786</xdr:colOff>
      <xdr:row>106</xdr:row>
      <xdr:rowOff>120718</xdr:rowOff>
    </xdr:to>
    <xdr:cxnSp macro="">
      <xdr:nvCxnSpPr>
        <xdr:cNvPr id="30" name="29 Conector recto de flecha"/>
        <xdr:cNvCxnSpPr/>
      </xdr:nvCxnSpPr>
      <xdr:spPr>
        <a:xfrm>
          <a:off x="43173209" y="20313718"/>
          <a:ext cx="546032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33618</xdr:colOff>
      <xdr:row>101</xdr:row>
      <xdr:rowOff>22408</xdr:rowOff>
    </xdr:from>
    <xdr:to>
      <xdr:col>57</xdr:col>
      <xdr:colOff>33618</xdr:colOff>
      <xdr:row>104</xdr:row>
      <xdr:rowOff>190496</xdr:rowOff>
    </xdr:to>
    <xdr:cxnSp macro="">
      <xdr:nvCxnSpPr>
        <xdr:cNvPr id="33" name="32 Conector recto de flecha"/>
        <xdr:cNvCxnSpPr/>
      </xdr:nvCxnSpPr>
      <xdr:spPr>
        <a:xfrm>
          <a:off x="45271765" y="19262908"/>
          <a:ext cx="0" cy="739588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22412</xdr:colOff>
      <xdr:row>95</xdr:row>
      <xdr:rowOff>100853</xdr:rowOff>
    </xdr:from>
    <xdr:to>
      <xdr:col>60</xdr:col>
      <xdr:colOff>134471</xdr:colOff>
      <xdr:row>95</xdr:row>
      <xdr:rowOff>100853</xdr:rowOff>
    </xdr:to>
    <xdr:cxnSp macro="">
      <xdr:nvCxnSpPr>
        <xdr:cNvPr id="37" name="36 Conector recto de flecha"/>
        <xdr:cNvCxnSpPr/>
      </xdr:nvCxnSpPr>
      <xdr:spPr>
        <a:xfrm>
          <a:off x="44946794" y="18198353"/>
          <a:ext cx="896471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56030</xdr:colOff>
      <xdr:row>96</xdr:row>
      <xdr:rowOff>33618</xdr:rowOff>
    </xdr:from>
    <xdr:to>
      <xdr:col>54</xdr:col>
      <xdr:colOff>56030</xdr:colOff>
      <xdr:row>101</xdr:row>
      <xdr:rowOff>22412</xdr:rowOff>
    </xdr:to>
    <xdr:cxnSp macro="">
      <xdr:nvCxnSpPr>
        <xdr:cNvPr id="40" name="39 Conector recto de flecha"/>
        <xdr:cNvCxnSpPr/>
      </xdr:nvCxnSpPr>
      <xdr:spPr>
        <a:xfrm>
          <a:off x="44823530" y="18321618"/>
          <a:ext cx="0" cy="941294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100853</xdr:colOff>
      <xdr:row>96</xdr:row>
      <xdr:rowOff>33618</xdr:rowOff>
    </xdr:from>
    <xdr:to>
      <xdr:col>52</xdr:col>
      <xdr:colOff>100853</xdr:colOff>
      <xdr:row>100</xdr:row>
      <xdr:rowOff>56029</xdr:rowOff>
    </xdr:to>
    <xdr:cxnSp macro="">
      <xdr:nvCxnSpPr>
        <xdr:cNvPr id="43" name="42 Conector recto de flecha"/>
        <xdr:cNvCxnSpPr/>
      </xdr:nvCxnSpPr>
      <xdr:spPr>
        <a:xfrm>
          <a:off x="44554588" y="18321618"/>
          <a:ext cx="0" cy="784411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33618</xdr:colOff>
      <xdr:row>95</xdr:row>
      <xdr:rowOff>145677</xdr:rowOff>
    </xdr:from>
    <xdr:to>
      <xdr:col>51</xdr:col>
      <xdr:colOff>134471</xdr:colOff>
      <xdr:row>100</xdr:row>
      <xdr:rowOff>44824</xdr:rowOff>
    </xdr:to>
    <xdr:sp macro="" textlink="">
      <xdr:nvSpPr>
        <xdr:cNvPr id="45" name="44 CuadroTexto"/>
        <xdr:cNvSpPr txBox="1"/>
      </xdr:nvSpPr>
      <xdr:spPr>
        <a:xfrm rot="16200000">
          <a:off x="43641309" y="18304810"/>
          <a:ext cx="851647" cy="7283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Vestuarios y baños del personal de planta</a:t>
          </a:r>
        </a:p>
      </xdr:txBody>
    </xdr:sp>
    <xdr:clientData/>
  </xdr:twoCellAnchor>
  <xdr:twoCellAnchor>
    <xdr:from>
      <xdr:col>48</xdr:col>
      <xdr:colOff>64123</xdr:colOff>
      <xdr:row>82</xdr:row>
      <xdr:rowOff>122019</xdr:rowOff>
    </xdr:from>
    <xdr:to>
      <xdr:col>50</xdr:col>
      <xdr:colOff>39222</xdr:colOff>
      <xdr:row>89</xdr:row>
      <xdr:rowOff>43577</xdr:rowOff>
    </xdr:to>
    <xdr:sp macro="" textlink="">
      <xdr:nvSpPr>
        <xdr:cNvPr id="49" name="48 CuadroTexto"/>
        <xdr:cNvSpPr txBox="1"/>
      </xdr:nvSpPr>
      <xdr:spPr>
        <a:xfrm rot="16200000">
          <a:off x="43641310" y="16234832"/>
          <a:ext cx="1255058" cy="271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Almacén de MP</a:t>
          </a:r>
        </a:p>
      </xdr:txBody>
    </xdr:sp>
    <xdr:clientData/>
  </xdr:twoCellAnchor>
  <xdr:twoCellAnchor>
    <xdr:from>
      <xdr:col>62</xdr:col>
      <xdr:colOff>61629</xdr:colOff>
      <xdr:row>89</xdr:row>
      <xdr:rowOff>156882</xdr:rowOff>
    </xdr:from>
    <xdr:to>
      <xdr:col>73</xdr:col>
      <xdr:colOff>145674</xdr:colOff>
      <xdr:row>92</xdr:row>
      <xdr:rowOff>72835</xdr:rowOff>
    </xdr:to>
    <xdr:sp macro="" textlink="">
      <xdr:nvSpPr>
        <xdr:cNvPr id="50" name="49 CuadroTexto"/>
        <xdr:cNvSpPr txBox="1"/>
      </xdr:nvSpPr>
      <xdr:spPr>
        <a:xfrm rot="10800000">
          <a:off x="46084188" y="17111382"/>
          <a:ext cx="1809751" cy="4874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Vesruarios y baños del personal administrativo</a:t>
          </a:r>
        </a:p>
      </xdr:txBody>
    </xdr:sp>
    <xdr:clientData/>
  </xdr:twoCellAnchor>
  <xdr:twoCellAnchor>
    <xdr:from>
      <xdr:col>73</xdr:col>
      <xdr:colOff>134470</xdr:colOff>
      <xdr:row>90</xdr:row>
      <xdr:rowOff>11206</xdr:rowOff>
    </xdr:from>
    <xdr:to>
      <xdr:col>73</xdr:col>
      <xdr:colOff>134470</xdr:colOff>
      <xdr:row>91</xdr:row>
      <xdr:rowOff>168088</xdr:rowOff>
    </xdr:to>
    <xdr:cxnSp macro="">
      <xdr:nvCxnSpPr>
        <xdr:cNvPr id="52" name="51 Conector recto de flecha"/>
        <xdr:cNvCxnSpPr/>
      </xdr:nvCxnSpPr>
      <xdr:spPr>
        <a:xfrm>
          <a:off x="47882735" y="17156206"/>
          <a:ext cx="0" cy="347382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179294</xdr:colOff>
      <xdr:row>89</xdr:row>
      <xdr:rowOff>123265</xdr:rowOff>
    </xdr:from>
    <xdr:to>
      <xdr:col>73</xdr:col>
      <xdr:colOff>504265</xdr:colOff>
      <xdr:row>92</xdr:row>
      <xdr:rowOff>22412</xdr:rowOff>
    </xdr:to>
    <xdr:sp macro="" textlink="">
      <xdr:nvSpPr>
        <xdr:cNvPr id="53" name="52 CuadroTexto"/>
        <xdr:cNvSpPr txBox="1"/>
      </xdr:nvSpPr>
      <xdr:spPr>
        <a:xfrm rot="16200000">
          <a:off x="47854721" y="17150603"/>
          <a:ext cx="470647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2 m</a:t>
          </a:r>
        </a:p>
      </xdr:txBody>
    </xdr:sp>
    <xdr:clientData/>
  </xdr:twoCellAnchor>
  <xdr:twoCellAnchor>
    <xdr:from>
      <xdr:col>47</xdr:col>
      <xdr:colOff>81799</xdr:colOff>
      <xdr:row>91</xdr:row>
      <xdr:rowOff>190499</xdr:rowOff>
    </xdr:from>
    <xdr:to>
      <xdr:col>60</xdr:col>
      <xdr:colOff>36976</xdr:colOff>
      <xdr:row>95</xdr:row>
      <xdr:rowOff>138386</xdr:rowOff>
    </xdr:to>
    <xdr:sp macro="" textlink="">
      <xdr:nvSpPr>
        <xdr:cNvPr id="54" name="53 CuadroTexto"/>
        <xdr:cNvSpPr txBox="1"/>
      </xdr:nvSpPr>
      <xdr:spPr>
        <a:xfrm rot="10800000">
          <a:off x="43706299" y="17525999"/>
          <a:ext cx="1936377" cy="709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Zona de Pesado,</a:t>
          </a:r>
          <a:r>
            <a:rPr lang="es-PE" sz="1000" baseline="0">
              <a:latin typeface="Arial" panose="020B0604020202020204" pitchFamily="34" charset="0"/>
              <a:cs typeface="Arial" panose="020B0604020202020204" pitchFamily="34" charset="0"/>
            </a:rPr>
            <a:t> Seleccionado, Lavado / Desinfectado, Escaldado, Acondicionado de Frutas</a:t>
          </a:r>
          <a:endParaRPr lang="es-PE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47</xdr:col>
      <xdr:colOff>112057</xdr:colOff>
      <xdr:row>76</xdr:row>
      <xdr:rowOff>9525</xdr:rowOff>
    </xdr:from>
    <xdr:to>
      <xdr:col>60</xdr:col>
      <xdr:colOff>67234</xdr:colOff>
      <xdr:row>79</xdr:row>
      <xdr:rowOff>72835</xdr:rowOff>
    </xdr:to>
    <xdr:sp macro="" textlink="">
      <xdr:nvSpPr>
        <xdr:cNvPr id="55" name="54 CuadroTexto"/>
        <xdr:cNvSpPr txBox="1"/>
      </xdr:nvSpPr>
      <xdr:spPr>
        <a:xfrm rot="10800000">
          <a:off x="43736557" y="14487525"/>
          <a:ext cx="1936377" cy="6348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Zona de Escaldado, Licuado, Despulpado, Estandarizado,</a:t>
          </a:r>
          <a:r>
            <a:rPr lang="es-PE" sz="1000" baseline="0">
              <a:latin typeface="Arial" panose="020B0604020202020204" pitchFamily="34" charset="0"/>
              <a:cs typeface="Arial" panose="020B0604020202020204" pitchFamily="34" charset="0"/>
            </a:rPr>
            <a:t> Pasteurizado</a:t>
          </a:r>
          <a:endParaRPr lang="es-PE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47</xdr:col>
      <xdr:colOff>44823</xdr:colOff>
      <xdr:row>75</xdr:row>
      <xdr:rowOff>67235</xdr:rowOff>
    </xdr:from>
    <xdr:to>
      <xdr:col>61</xdr:col>
      <xdr:colOff>11206</xdr:colOff>
      <xdr:row>75</xdr:row>
      <xdr:rowOff>67235</xdr:rowOff>
    </xdr:to>
    <xdr:cxnSp macro="">
      <xdr:nvCxnSpPr>
        <xdr:cNvPr id="57" name="56 Conector recto de flecha"/>
        <xdr:cNvCxnSpPr/>
      </xdr:nvCxnSpPr>
      <xdr:spPr>
        <a:xfrm>
          <a:off x="43714147" y="14354735"/>
          <a:ext cx="2162735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11206</xdr:colOff>
      <xdr:row>73</xdr:row>
      <xdr:rowOff>78442</xdr:rowOff>
    </xdr:from>
    <xdr:to>
      <xdr:col>55</xdr:col>
      <xdr:colOff>11206</xdr:colOff>
      <xdr:row>75</xdr:row>
      <xdr:rowOff>22413</xdr:rowOff>
    </xdr:to>
    <xdr:sp macro="" textlink="">
      <xdr:nvSpPr>
        <xdr:cNvPr id="58" name="57 CuadroTexto"/>
        <xdr:cNvSpPr txBox="1"/>
      </xdr:nvSpPr>
      <xdr:spPr>
        <a:xfrm rot="10800000">
          <a:off x="44464941" y="13984942"/>
          <a:ext cx="470647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14 m</a:t>
          </a:r>
        </a:p>
      </xdr:txBody>
    </xdr:sp>
    <xdr:clientData/>
  </xdr:twoCellAnchor>
  <xdr:twoCellAnchor>
    <xdr:from>
      <xdr:col>63</xdr:col>
      <xdr:colOff>102892</xdr:colOff>
      <xdr:row>83</xdr:row>
      <xdr:rowOff>66216</xdr:rowOff>
    </xdr:from>
    <xdr:to>
      <xdr:col>69</xdr:col>
      <xdr:colOff>36676</xdr:colOff>
      <xdr:row>89</xdr:row>
      <xdr:rowOff>10187</xdr:rowOff>
    </xdr:to>
    <xdr:sp macro="" textlink="">
      <xdr:nvSpPr>
        <xdr:cNvPr id="59" name="58 CuadroTexto"/>
        <xdr:cNvSpPr txBox="1"/>
      </xdr:nvSpPr>
      <xdr:spPr>
        <a:xfrm rot="16200000">
          <a:off x="46164162" y="15986719"/>
          <a:ext cx="1086971" cy="868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Zona de Envasado, Enfriado</a:t>
          </a:r>
        </a:p>
      </xdr:txBody>
    </xdr:sp>
    <xdr:clientData/>
  </xdr:twoCellAnchor>
  <xdr:twoCellAnchor>
    <xdr:from>
      <xdr:col>70</xdr:col>
      <xdr:colOff>115114</xdr:colOff>
      <xdr:row>83</xdr:row>
      <xdr:rowOff>41258</xdr:rowOff>
    </xdr:from>
    <xdr:to>
      <xdr:col>70</xdr:col>
      <xdr:colOff>115114</xdr:colOff>
      <xdr:row>89</xdr:row>
      <xdr:rowOff>142111</xdr:rowOff>
    </xdr:to>
    <xdr:cxnSp macro="">
      <xdr:nvCxnSpPr>
        <xdr:cNvPr id="61" name="60 Conector recto de flecha"/>
        <xdr:cNvCxnSpPr/>
      </xdr:nvCxnSpPr>
      <xdr:spPr>
        <a:xfrm>
          <a:off x="47376432" y="15852758"/>
          <a:ext cx="0" cy="1243853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112570</xdr:colOff>
      <xdr:row>84</xdr:row>
      <xdr:rowOff>150261</xdr:rowOff>
    </xdr:from>
    <xdr:to>
      <xdr:col>72</xdr:col>
      <xdr:colOff>124795</xdr:colOff>
      <xdr:row>87</xdr:row>
      <xdr:rowOff>49408</xdr:rowOff>
    </xdr:to>
    <xdr:sp macro="" textlink="">
      <xdr:nvSpPr>
        <xdr:cNvPr id="62" name="61 CuadroTexto"/>
        <xdr:cNvSpPr txBox="1"/>
      </xdr:nvSpPr>
      <xdr:spPr>
        <a:xfrm rot="16200000">
          <a:off x="47300540" y="16225609"/>
          <a:ext cx="470647" cy="323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7 m</a:t>
          </a:r>
        </a:p>
      </xdr:txBody>
    </xdr:sp>
    <xdr:clientData/>
  </xdr:twoCellAnchor>
  <xdr:twoCellAnchor>
    <xdr:from>
      <xdr:col>63</xdr:col>
      <xdr:colOff>22412</xdr:colOff>
      <xdr:row>78</xdr:row>
      <xdr:rowOff>123265</xdr:rowOff>
    </xdr:from>
    <xdr:to>
      <xdr:col>66</xdr:col>
      <xdr:colOff>112059</xdr:colOff>
      <xdr:row>83</xdr:row>
      <xdr:rowOff>123264</xdr:rowOff>
    </xdr:to>
    <xdr:sp macro="" textlink="">
      <xdr:nvSpPr>
        <xdr:cNvPr id="63" name="62 CuadroTexto"/>
        <xdr:cNvSpPr txBox="1"/>
      </xdr:nvSpPr>
      <xdr:spPr>
        <a:xfrm rot="16200000">
          <a:off x="46005750" y="15178368"/>
          <a:ext cx="952499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Zona de control de calidad</a:t>
          </a:r>
        </a:p>
      </xdr:txBody>
    </xdr:sp>
    <xdr:clientData/>
  </xdr:twoCellAnchor>
  <xdr:twoCellAnchor>
    <xdr:from>
      <xdr:col>67</xdr:col>
      <xdr:colOff>123264</xdr:colOff>
      <xdr:row>79</xdr:row>
      <xdr:rowOff>44824</xdr:rowOff>
    </xdr:from>
    <xdr:to>
      <xdr:col>67</xdr:col>
      <xdr:colOff>123264</xdr:colOff>
      <xdr:row>82</xdr:row>
      <xdr:rowOff>156882</xdr:rowOff>
    </xdr:to>
    <xdr:cxnSp macro="">
      <xdr:nvCxnSpPr>
        <xdr:cNvPr id="65" name="64 Conector recto de flecha"/>
        <xdr:cNvCxnSpPr/>
      </xdr:nvCxnSpPr>
      <xdr:spPr>
        <a:xfrm>
          <a:off x="46930235" y="15094324"/>
          <a:ext cx="0" cy="68355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112058</xdr:colOff>
      <xdr:row>79</xdr:row>
      <xdr:rowOff>134470</xdr:rowOff>
    </xdr:from>
    <xdr:to>
      <xdr:col>69</xdr:col>
      <xdr:colOff>123265</xdr:colOff>
      <xdr:row>82</xdr:row>
      <xdr:rowOff>33617</xdr:rowOff>
    </xdr:to>
    <xdr:sp macro="" textlink="">
      <xdr:nvSpPr>
        <xdr:cNvPr id="66" name="65 CuadroTexto"/>
        <xdr:cNvSpPr txBox="1"/>
      </xdr:nvSpPr>
      <xdr:spPr>
        <a:xfrm rot="16200000">
          <a:off x="46846191" y="15256808"/>
          <a:ext cx="470647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4 m</a:t>
          </a:r>
        </a:p>
      </xdr:txBody>
    </xdr:sp>
    <xdr:clientData/>
  </xdr:twoCellAnchor>
  <xdr:twoCellAnchor>
    <xdr:from>
      <xdr:col>63</xdr:col>
      <xdr:colOff>44824</xdr:colOff>
      <xdr:row>78</xdr:row>
      <xdr:rowOff>78441</xdr:rowOff>
    </xdr:from>
    <xdr:to>
      <xdr:col>66</xdr:col>
      <xdr:colOff>134471</xdr:colOff>
      <xdr:row>78</xdr:row>
      <xdr:rowOff>78441</xdr:rowOff>
    </xdr:to>
    <xdr:cxnSp macro="">
      <xdr:nvCxnSpPr>
        <xdr:cNvPr id="68" name="67 Conector recto de flecha"/>
        <xdr:cNvCxnSpPr/>
      </xdr:nvCxnSpPr>
      <xdr:spPr>
        <a:xfrm flipH="1">
          <a:off x="46224265" y="14937441"/>
          <a:ext cx="560294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63</xdr:col>
      <xdr:colOff>107576</xdr:colOff>
      <xdr:row>76</xdr:row>
      <xdr:rowOff>141195</xdr:rowOff>
    </xdr:from>
    <xdr:to>
      <xdr:col>66</xdr:col>
      <xdr:colOff>107576</xdr:colOff>
      <xdr:row>78</xdr:row>
      <xdr:rowOff>85166</xdr:rowOff>
    </xdr:to>
    <xdr:sp macro="" textlink="">
      <xdr:nvSpPr>
        <xdr:cNvPr id="69" name="68 CuadroTexto"/>
        <xdr:cNvSpPr txBox="1"/>
      </xdr:nvSpPr>
      <xdr:spPr>
        <a:xfrm rot="10800000">
          <a:off x="46287017" y="14619195"/>
          <a:ext cx="470647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4 m</a:t>
          </a:r>
        </a:p>
      </xdr:txBody>
    </xdr:sp>
    <xdr:clientData/>
  </xdr:twoCellAnchor>
  <xdr:twoCellAnchor>
    <xdr:from>
      <xdr:col>63</xdr:col>
      <xdr:colOff>11206</xdr:colOff>
      <xdr:row>92</xdr:row>
      <xdr:rowOff>89647</xdr:rowOff>
    </xdr:from>
    <xdr:to>
      <xdr:col>72</xdr:col>
      <xdr:colOff>134471</xdr:colOff>
      <xdr:row>92</xdr:row>
      <xdr:rowOff>89647</xdr:rowOff>
    </xdr:to>
    <xdr:cxnSp macro="">
      <xdr:nvCxnSpPr>
        <xdr:cNvPr id="71" name="70 Conector recto de flecha"/>
        <xdr:cNvCxnSpPr/>
      </xdr:nvCxnSpPr>
      <xdr:spPr>
        <a:xfrm>
          <a:off x="46190647" y="17615647"/>
          <a:ext cx="1535206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44824</xdr:colOff>
      <xdr:row>92</xdr:row>
      <xdr:rowOff>11206</xdr:rowOff>
    </xdr:from>
    <xdr:to>
      <xdr:col>69</xdr:col>
      <xdr:colOff>44824</xdr:colOff>
      <xdr:row>93</xdr:row>
      <xdr:rowOff>145677</xdr:rowOff>
    </xdr:to>
    <xdr:sp macro="" textlink="">
      <xdr:nvSpPr>
        <xdr:cNvPr id="72" name="71 CuadroTexto"/>
        <xdr:cNvSpPr txBox="1"/>
      </xdr:nvSpPr>
      <xdr:spPr>
        <a:xfrm rot="10800000">
          <a:off x="46694912" y="17537206"/>
          <a:ext cx="470647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10 m</a:t>
          </a:r>
        </a:p>
      </xdr:txBody>
    </xdr:sp>
    <xdr:clientData/>
  </xdr:twoCellAnchor>
  <xdr:twoCellAnchor>
    <xdr:from>
      <xdr:col>47</xdr:col>
      <xdr:colOff>33617</xdr:colOff>
      <xdr:row>91</xdr:row>
      <xdr:rowOff>89647</xdr:rowOff>
    </xdr:from>
    <xdr:to>
      <xdr:col>61</xdr:col>
      <xdr:colOff>11206</xdr:colOff>
      <xdr:row>91</xdr:row>
      <xdr:rowOff>89647</xdr:rowOff>
    </xdr:to>
    <xdr:cxnSp macro="">
      <xdr:nvCxnSpPr>
        <xdr:cNvPr id="74" name="73 Conector recto de flecha"/>
        <xdr:cNvCxnSpPr/>
      </xdr:nvCxnSpPr>
      <xdr:spPr>
        <a:xfrm>
          <a:off x="43702941" y="17425147"/>
          <a:ext cx="2173941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89648</xdr:colOff>
      <xdr:row>89</xdr:row>
      <xdr:rowOff>179293</xdr:rowOff>
    </xdr:from>
    <xdr:to>
      <xdr:col>55</xdr:col>
      <xdr:colOff>89648</xdr:colOff>
      <xdr:row>91</xdr:row>
      <xdr:rowOff>123264</xdr:rowOff>
    </xdr:to>
    <xdr:sp macro="" textlink="">
      <xdr:nvSpPr>
        <xdr:cNvPr id="75" name="74 CuadroTexto"/>
        <xdr:cNvSpPr txBox="1"/>
      </xdr:nvSpPr>
      <xdr:spPr>
        <a:xfrm rot="10800000">
          <a:off x="44543383" y="17133793"/>
          <a:ext cx="470647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16 m</a:t>
          </a:r>
        </a:p>
      </xdr:txBody>
    </xdr:sp>
    <xdr:clientData/>
  </xdr:twoCellAnchor>
  <xdr:twoCellAnchor>
    <xdr:from>
      <xdr:col>61</xdr:col>
      <xdr:colOff>78441</xdr:colOff>
      <xdr:row>92</xdr:row>
      <xdr:rowOff>44824</xdr:rowOff>
    </xdr:from>
    <xdr:to>
      <xdr:col>61</xdr:col>
      <xdr:colOff>78441</xdr:colOff>
      <xdr:row>95</xdr:row>
      <xdr:rowOff>156882</xdr:rowOff>
    </xdr:to>
    <xdr:cxnSp macro="">
      <xdr:nvCxnSpPr>
        <xdr:cNvPr id="77" name="76 Conector recto de flecha"/>
        <xdr:cNvCxnSpPr/>
      </xdr:nvCxnSpPr>
      <xdr:spPr>
        <a:xfrm>
          <a:off x="45944117" y="17570824"/>
          <a:ext cx="0" cy="68355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84605</xdr:colOff>
      <xdr:row>92</xdr:row>
      <xdr:rowOff>26332</xdr:rowOff>
    </xdr:from>
    <xdr:to>
      <xdr:col>63</xdr:col>
      <xdr:colOff>95253</xdr:colOff>
      <xdr:row>95</xdr:row>
      <xdr:rowOff>104774</xdr:rowOff>
    </xdr:to>
    <xdr:sp macro="" textlink="">
      <xdr:nvSpPr>
        <xdr:cNvPr id="78" name="77 CuadroTexto"/>
        <xdr:cNvSpPr txBox="1"/>
      </xdr:nvSpPr>
      <xdr:spPr>
        <a:xfrm rot="16200000">
          <a:off x="45675458" y="17719579"/>
          <a:ext cx="649942" cy="3154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2.4 m</a:t>
          </a:r>
        </a:p>
      </xdr:txBody>
    </xdr:sp>
    <xdr:clientData/>
  </xdr:twoCellAnchor>
  <xdr:twoCellAnchor>
    <xdr:from>
      <xdr:col>61</xdr:col>
      <xdr:colOff>112059</xdr:colOff>
      <xdr:row>76</xdr:row>
      <xdr:rowOff>22412</xdr:rowOff>
    </xdr:from>
    <xdr:to>
      <xdr:col>61</xdr:col>
      <xdr:colOff>112059</xdr:colOff>
      <xdr:row>79</xdr:row>
      <xdr:rowOff>168088</xdr:rowOff>
    </xdr:to>
    <xdr:cxnSp macro="">
      <xdr:nvCxnSpPr>
        <xdr:cNvPr id="80" name="79 Conector recto de flecha"/>
        <xdr:cNvCxnSpPr/>
      </xdr:nvCxnSpPr>
      <xdr:spPr>
        <a:xfrm>
          <a:off x="45977735" y="14500412"/>
          <a:ext cx="0" cy="717176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78442</xdr:colOff>
      <xdr:row>75</xdr:row>
      <xdr:rowOff>180975</xdr:rowOff>
    </xdr:from>
    <xdr:to>
      <xdr:col>63</xdr:col>
      <xdr:colOff>89648</xdr:colOff>
      <xdr:row>78</xdr:row>
      <xdr:rowOff>179295</xdr:rowOff>
    </xdr:to>
    <xdr:sp macro="" textlink="">
      <xdr:nvSpPr>
        <xdr:cNvPr id="81" name="80 CuadroTexto"/>
        <xdr:cNvSpPr txBox="1"/>
      </xdr:nvSpPr>
      <xdr:spPr>
        <a:xfrm rot="16200000">
          <a:off x="45709635" y="14595382"/>
          <a:ext cx="569820" cy="3160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2.5 m</a:t>
          </a:r>
        </a:p>
      </xdr:txBody>
    </xdr:sp>
    <xdr:clientData/>
  </xdr:twoCellAnchor>
  <xdr:twoCellAnchor>
    <xdr:from>
      <xdr:col>43</xdr:col>
      <xdr:colOff>67237</xdr:colOff>
      <xdr:row>84</xdr:row>
      <xdr:rowOff>179294</xdr:rowOff>
    </xdr:from>
    <xdr:to>
      <xdr:col>46</xdr:col>
      <xdr:colOff>123265</xdr:colOff>
      <xdr:row>91</xdr:row>
      <xdr:rowOff>134470</xdr:rowOff>
    </xdr:to>
    <xdr:sp macro="" textlink="">
      <xdr:nvSpPr>
        <xdr:cNvPr id="82" name="81 CuadroTexto"/>
        <xdr:cNvSpPr txBox="1"/>
      </xdr:nvSpPr>
      <xdr:spPr>
        <a:xfrm rot="16200000">
          <a:off x="42728031" y="16562294"/>
          <a:ext cx="1288676" cy="526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Zona de recepción y despacho</a:t>
          </a:r>
        </a:p>
      </xdr:txBody>
    </xdr:sp>
    <xdr:clientData/>
  </xdr:twoCellAnchor>
  <xdr:twoCellAnchor>
    <xdr:from>
      <xdr:col>43</xdr:col>
      <xdr:colOff>22412</xdr:colOff>
      <xdr:row>83</xdr:row>
      <xdr:rowOff>78441</xdr:rowOff>
    </xdr:from>
    <xdr:to>
      <xdr:col>47</xdr:col>
      <xdr:colOff>22411</xdr:colOff>
      <xdr:row>83</xdr:row>
      <xdr:rowOff>78441</xdr:rowOff>
    </xdr:to>
    <xdr:cxnSp macro="">
      <xdr:nvCxnSpPr>
        <xdr:cNvPr id="84" name="83 Conector recto de flecha"/>
        <xdr:cNvCxnSpPr/>
      </xdr:nvCxnSpPr>
      <xdr:spPr>
        <a:xfrm>
          <a:off x="43064206" y="15889941"/>
          <a:ext cx="627529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100853</xdr:colOff>
      <xdr:row>81</xdr:row>
      <xdr:rowOff>145676</xdr:rowOff>
    </xdr:from>
    <xdr:to>
      <xdr:col>46</xdr:col>
      <xdr:colOff>100853</xdr:colOff>
      <xdr:row>83</xdr:row>
      <xdr:rowOff>89647</xdr:rowOff>
    </xdr:to>
    <xdr:sp macro="" textlink="">
      <xdr:nvSpPr>
        <xdr:cNvPr id="85" name="84 CuadroTexto"/>
        <xdr:cNvSpPr txBox="1"/>
      </xdr:nvSpPr>
      <xdr:spPr>
        <a:xfrm rot="10800000">
          <a:off x="43142647" y="15576176"/>
          <a:ext cx="470647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4 m</a:t>
          </a:r>
        </a:p>
      </xdr:txBody>
    </xdr:sp>
    <xdr:clientData/>
  </xdr:twoCellAnchor>
  <xdr:twoCellAnchor>
    <xdr:from>
      <xdr:col>42</xdr:col>
      <xdr:colOff>638735</xdr:colOff>
      <xdr:row>83</xdr:row>
      <xdr:rowOff>168088</xdr:rowOff>
    </xdr:from>
    <xdr:to>
      <xdr:col>42</xdr:col>
      <xdr:colOff>638735</xdr:colOff>
      <xdr:row>93</xdr:row>
      <xdr:rowOff>22412</xdr:rowOff>
    </xdr:to>
    <xdr:cxnSp macro="">
      <xdr:nvCxnSpPr>
        <xdr:cNvPr id="87" name="86 Conector recto de flecha"/>
        <xdr:cNvCxnSpPr/>
      </xdr:nvCxnSpPr>
      <xdr:spPr>
        <a:xfrm flipV="1">
          <a:off x="42918529" y="15979588"/>
          <a:ext cx="0" cy="1759324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336177</xdr:colOff>
      <xdr:row>86</xdr:row>
      <xdr:rowOff>89647</xdr:rowOff>
    </xdr:from>
    <xdr:to>
      <xdr:col>42</xdr:col>
      <xdr:colOff>661148</xdr:colOff>
      <xdr:row>88</xdr:row>
      <xdr:rowOff>179294</xdr:rowOff>
    </xdr:to>
    <xdr:sp macro="" textlink="">
      <xdr:nvSpPr>
        <xdr:cNvPr id="89" name="88 CuadroTexto"/>
        <xdr:cNvSpPr txBox="1"/>
      </xdr:nvSpPr>
      <xdr:spPr>
        <a:xfrm rot="16200000">
          <a:off x="42543133" y="16545485"/>
          <a:ext cx="470647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9 m</a:t>
          </a:r>
        </a:p>
      </xdr:txBody>
    </xdr:sp>
    <xdr:clientData/>
  </xdr:twoCellAnchor>
  <xdr:twoCellAnchor>
    <xdr:from>
      <xdr:col>53</xdr:col>
      <xdr:colOff>0</xdr:colOff>
      <xdr:row>136</xdr:row>
      <xdr:rowOff>44825</xdr:rowOff>
    </xdr:from>
    <xdr:to>
      <xdr:col>55</xdr:col>
      <xdr:colOff>11207</xdr:colOff>
      <xdr:row>138</xdr:row>
      <xdr:rowOff>134472</xdr:rowOff>
    </xdr:to>
    <xdr:sp macro="" textlink="">
      <xdr:nvSpPr>
        <xdr:cNvPr id="60" name="40 CuadroTexto"/>
        <xdr:cNvSpPr txBox="1"/>
      </xdr:nvSpPr>
      <xdr:spPr>
        <a:xfrm rot="16200000">
          <a:off x="44728280" y="18795378"/>
          <a:ext cx="470647" cy="3075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5 m</a:t>
          </a:r>
        </a:p>
      </xdr:txBody>
    </xdr:sp>
    <xdr:clientData/>
  </xdr:twoCellAnchor>
  <xdr:twoCellAnchor>
    <xdr:from>
      <xdr:col>52</xdr:col>
      <xdr:colOff>56032</xdr:colOff>
      <xdr:row>133</xdr:row>
      <xdr:rowOff>100851</xdr:rowOff>
    </xdr:from>
    <xdr:to>
      <xdr:col>54</xdr:col>
      <xdr:colOff>100854</xdr:colOff>
      <xdr:row>136</xdr:row>
      <xdr:rowOff>78441</xdr:rowOff>
    </xdr:to>
    <xdr:sp macro="" textlink="">
      <xdr:nvSpPr>
        <xdr:cNvPr id="67" name="43 CuadroTexto"/>
        <xdr:cNvSpPr txBox="1"/>
      </xdr:nvSpPr>
      <xdr:spPr>
        <a:xfrm rot="16200000">
          <a:off x="44613732" y="18302318"/>
          <a:ext cx="549090" cy="3411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4 m</a:t>
          </a:r>
        </a:p>
      </xdr:txBody>
    </xdr:sp>
    <xdr:clientData/>
  </xdr:twoCellAnchor>
  <xdr:twoCellAnchor>
    <xdr:from>
      <xdr:col>56</xdr:col>
      <xdr:colOff>100853</xdr:colOff>
      <xdr:row>131</xdr:row>
      <xdr:rowOff>190499</xdr:rowOff>
    </xdr:from>
    <xdr:to>
      <xdr:col>59</xdr:col>
      <xdr:colOff>100853</xdr:colOff>
      <xdr:row>133</xdr:row>
      <xdr:rowOff>134470</xdr:rowOff>
    </xdr:to>
    <xdr:sp macro="" textlink="">
      <xdr:nvSpPr>
        <xdr:cNvPr id="70" name="37 CuadroTexto"/>
        <xdr:cNvSpPr txBox="1"/>
      </xdr:nvSpPr>
      <xdr:spPr>
        <a:xfrm rot="10800000">
          <a:off x="45355186" y="17906999"/>
          <a:ext cx="444500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6 m</a:t>
          </a:r>
        </a:p>
      </xdr:txBody>
    </xdr:sp>
    <xdr:clientData/>
  </xdr:twoCellAnchor>
  <xdr:twoCellAnchor>
    <xdr:from>
      <xdr:col>55</xdr:col>
      <xdr:colOff>129988</xdr:colOff>
      <xdr:row>139</xdr:row>
      <xdr:rowOff>73953</xdr:rowOff>
    </xdr:from>
    <xdr:to>
      <xdr:col>57</xdr:col>
      <xdr:colOff>141194</xdr:colOff>
      <xdr:row>141</xdr:row>
      <xdr:rowOff>163600</xdr:rowOff>
    </xdr:to>
    <xdr:sp macro="" textlink="">
      <xdr:nvSpPr>
        <xdr:cNvPr id="73" name="33 CuadroTexto"/>
        <xdr:cNvSpPr txBox="1"/>
      </xdr:nvSpPr>
      <xdr:spPr>
        <a:xfrm rot="16200000">
          <a:off x="45154601" y="19396007"/>
          <a:ext cx="470647" cy="3075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4 m</a:t>
          </a:r>
        </a:p>
      </xdr:txBody>
    </xdr:sp>
    <xdr:clientData/>
  </xdr:twoCellAnchor>
  <xdr:twoCellAnchor>
    <xdr:from>
      <xdr:col>43</xdr:col>
      <xdr:colOff>41258</xdr:colOff>
      <xdr:row>144</xdr:row>
      <xdr:rowOff>56029</xdr:rowOff>
    </xdr:from>
    <xdr:to>
      <xdr:col>46</xdr:col>
      <xdr:colOff>155863</xdr:colOff>
      <xdr:row>146</xdr:row>
      <xdr:rowOff>0</xdr:rowOff>
    </xdr:to>
    <xdr:sp macro="" textlink="">
      <xdr:nvSpPr>
        <xdr:cNvPr id="76" name="30 CuadroTexto"/>
        <xdr:cNvSpPr txBox="1"/>
      </xdr:nvSpPr>
      <xdr:spPr>
        <a:xfrm rot="10800000">
          <a:off x="43369425" y="20249029"/>
          <a:ext cx="559105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3 m</a:t>
          </a:r>
        </a:p>
      </xdr:txBody>
    </xdr:sp>
    <xdr:clientData/>
  </xdr:twoCellAnchor>
  <xdr:twoCellAnchor>
    <xdr:from>
      <xdr:col>52</xdr:col>
      <xdr:colOff>100853</xdr:colOff>
      <xdr:row>138</xdr:row>
      <xdr:rowOff>145671</xdr:rowOff>
    </xdr:from>
    <xdr:to>
      <xdr:col>54</xdr:col>
      <xdr:colOff>112059</xdr:colOff>
      <xdr:row>141</xdr:row>
      <xdr:rowOff>44818</xdr:rowOff>
    </xdr:to>
    <xdr:sp macro="" textlink="">
      <xdr:nvSpPr>
        <xdr:cNvPr id="79" name="27 CuadroTexto"/>
        <xdr:cNvSpPr txBox="1"/>
      </xdr:nvSpPr>
      <xdr:spPr>
        <a:xfrm rot="16200000">
          <a:off x="44680966" y="19277225"/>
          <a:ext cx="470647" cy="3075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5 m</a:t>
          </a:r>
        </a:p>
      </xdr:txBody>
    </xdr:sp>
    <xdr:clientData/>
  </xdr:twoCellAnchor>
  <xdr:twoCellAnchor>
    <xdr:from>
      <xdr:col>57</xdr:col>
      <xdr:colOff>131110</xdr:colOff>
      <xdr:row>143</xdr:row>
      <xdr:rowOff>52668</xdr:rowOff>
    </xdr:from>
    <xdr:to>
      <xdr:col>60</xdr:col>
      <xdr:colOff>131110</xdr:colOff>
      <xdr:row>144</xdr:row>
      <xdr:rowOff>187139</xdr:rowOff>
    </xdr:to>
    <xdr:sp macro="" textlink="">
      <xdr:nvSpPr>
        <xdr:cNvPr id="83" name="20 CuadroTexto"/>
        <xdr:cNvSpPr txBox="1"/>
      </xdr:nvSpPr>
      <xdr:spPr>
        <a:xfrm rot="10800000">
          <a:off x="45533610" y="20055168"/>
          <a:ext cx="444500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3 m</a:t>
          </a:r>
        </a:p>
      </xdr:txBody>
    </xdr:sp>
    <xdr:clientData/>
  </xdr:twoCellAnchor>
  <xdr:twoCellAnchor>
    <xdr:from>
      <xdr:col>65</xdr:col>
      <xdr:colOff>101974</xdr:colOff>
      <xdr:row>145</xdr:row>
      <xdr:rowOff>68356</xdr:rowOff>
    </xdr:from>
    <xdr:to>
      <xdr:col>68</xdr:col>
      <xdr:colOff>101974</xdr:colOff>
      <xdr:row>147</xdr:row>
      <xdr:rowOff>12327</xdr:rowOff>
    </xdr:to>
    <xdr:sp macro="" textlink="">
      <xdr:nvSpPr>
        <xdr:cNvPr id="86" name="13 CuadroTexto"/>
        <xdr:cNvSpPr txBox="1"/>
      </xdr:nvSpPr>
      <xdr:spPr>
        <a:xfrm rot="10800000">
          <a:off x="46689807" y="20451856"/>
          <a:ext cx="444500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13 m</a:t>
          </a:r>
        </a:p>
      </xdr:txBody>
    </xdr:sp>
    <xdr:clientData/>
  </xdr:twoCellAnchor>
  <xdr:twoCellAnchor>
    <xdr:from>
      <xdr:col>48</xdr:col>
      <xdr:colOff>28016</xdr:colOff>
      <xdr:row>143</xdr:row>
      <xdr:rowOff>39220</xdr:rowOff>
    </xdr:from>
    <xdr:to>
      <xdr:col>51</xdr:col>
      <xdr:colOff>28016</xdr:colOff>
      <xdr:row>144</xdr:row>
      <xdr:rowOff>173691</xdr:rowOff>
    </xdr:to>
    <xdr:sp macro="" textlink="">
      <xdr:nvSpPr>
        <xdr:cNvPr id="88" name="7 CuadroTexto"/>
        <xdr:cNvSpPr txBox="1"/>
      </xdr:nvSpPr>
      <xdr:spPr>
        <a:xfrm rot="10800000">
          <a:off x="44097016" y="20041720"/>
          <a:ext cx="444500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5 m</a:t>
          </a:r>
        </a:p>
      </xdr:txBody>
    </xdr:sp>
    <xdr:clientData/>
  </xdr:twoCellAnchor>
  <xdr:twoCellAnchor>
    <xdr:from>
      <xdr:col>43</xdr:col>
      <xdr:colOff>47370</xdr:colOff>
      <xdr:row>131</xdr:row>
      <xdr:rowOff>0</xdr:rowOff>
    </xdr:from>
    <xdr:to>
      <xdr:col>43</xdr:col>
      <xdr:colOff>47370</xdr:colOff>
      <xdr:row>145</xdr:row>
      <xdr:rowOff>11206</xdr:rowOff>
    </xdr:to>
    <xdr:cxnSp macro="">
      <xdr:nvCxnSpPr>
        <xdr:cNvPr id="90" name="2 Conector recto de flecha"/>
        <xdr:cNvCxnSpPr/>
      </xdr:nvCxnSpPr>
      <xdr:spPr>
        <a:xfrm>
          <a:off x="43375537" y="17716500"/>
          <a:ext cx="0" cy="2678206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541957</xdr:colOff>
      <xdr:row>135</xdr:row>
      <xdr:rowOff>185916</xdr:rowOff>
    </xdr:from>
    <xdr:to>
      <xdr:col>43</xdr:col>
      <xdr:colOff>104928</xdr:colOff>
      <xdr:row>138</xdr:row>
      <xdr:rowOff>85063</xdr:rowOff>
    </xdr:to>
    <xdr:sp macro="" textlink="">
      <xdr:nvSpPr>
        <xdr:cNvPr id="91" name="4 CuadroTexto"/>
        <xdr:cNvSpPr txBox="1"/>
      </xdr:nvSpPr>
      <xdr:spPr>
        <a:xfrm rot="16200000">
          <a:off x="43035286" y="18737254"/>
          <a:ext cx="470647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13 m</a:t>
          </a:r>
        </a:p>
      </xdr:txBody>
    </xdr:sp>
    <xdr:clientData/>
  </xdr:twoCellAnchor>
  <xdr:twoCellAnchor>
    <xdr:from>
      <xdr:col>47</xdr:col>
      <xdr:colOff>22411</xdr:colOff>
      <xdr:row>143</xdr:row>
      <xdr:rowOff>100853</xdr:rowOff>
    </xdr:from>
    <xdr:to>
      <xdr:col>52</xdr:col>
      <xdr:colOff>44824</xdr:colOff>
      <xdr:row>143</xdr:row>
      <xdr:rowOff>100853</xdr:rowOff>
    </xdr:to>
    <xdr:cxnSp macro="">
      <xdr:nvCxnSpPr>
        <xdr:cNvPr id="92" name="6 Conector recto de flecha"/>
        <xdr:cNvCxnSpPr/>
      </xdr:nvCxnSpPr>
      <xdr:spPr>
        <a:xfrm>
          <a:off x="43943244" y="20103353"/>
          <a:ext cx="763247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145676</xdr:colOff>
      <xdr:row>130</xdr:row>
      <xdr:rowOff>33618</xdr:rowOff>
    </xdr:from>
    <xdr:to>
      <xdr:col>73</xdr:col>
      <xdr:colOff>145676</xdr:colOff>
      <xdr:row>144</xdr:row>
      <xdr:rowOff>168088</xdr:rowOff>
    </xdr:to>
    <xdr:cxnSp macro="">
      <xdr:nvCxnSpPr>
        <xdr:cNvPr id="93" name="8 Conector recto de flecha"/>
        <xdr:cNvCxnSpPr/>
      </xdr:nvCxnSpPr>
      <xdr:spPr>
        <a:xfrm>
          <a:off x="47918843" y="17559618"/>
          <a:ext cx="0" cy="280147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202826</xdr:colOff>
      <xdr:row>135</xdr:row>
      <xdr:rowOff>124386</xdr:rowOff>
    </xdr:from>
    <xdr:to>
      <xdr:col>73</xdr:col>
      <xdr:colOff>527797</xdr:colOff>
      <xdr:row>138</xdr:row>
      <xdr:rowOff>23533</xdr:rowOff>
    </xdr:to>
    <xdr:sp macro="" textlink="">
      <xdr:nvSpPr>
        <xdr:cNvPr id="94" name="10 CuadroTexto"/>
        <xdr:cNvSpPr txBox="1"/>
      </xdr:nvSpPr>
      <xdr:spPr>
        <a:xfrm rot="16200000">
          <a:off x="47903155" y="18675724"/>
          <a:ext cx="470647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15 m</a:t>
          </a:r>
        </a:p>
      </xdr:txBody>
    </xdr:sp>
    <xdr:clientData/>
  </xdr:twoCellAnchor>
  <xdr:twoCellAnchor>
    <xdr:from>
      <xdr:col>61</xdr:col>
      <xdr:colOff>22412</xdr:colOff>
      <xdr:row>145</xdr:row>
      <xdr:rowOff>89647</xdr:rowOff>
    </xdr:from>
    <xdr:to>
      <xdr:col>72</xdr:col>
      <xdr:colOff>145677</xdr:colOff>
      <xdr:row>145</xdr:row>
      <xdr:rowOff>89647</xdr:rowOff>
    </xdr:to>
    <xdr:cxnSp macro="">
      <xdr:nvCxnSpPr>
        <xdr:cNvPr id="95" name="15 Conector recto de flecha"/>
        <xdr:cNvCxnSpPr/>
      </xdr:nvCxnSpPr>
      <xdr:spPr>
        <a:xfrm>
          <a:off x="46017579" y="20473147"/>
          <a:ext cx="1753098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33618</xdr:colOff>
      <xdr:row>143</xdr:row>
      <xdr:rowOff>123265</xdr:rowOff>
    </xdr:from>
    <xdr:to>
      <xdr:col>60</xdr:col>
      <xdr:colOff>145677</xdr:colOff>
      <xdr:row>143</xdr:row>
      <xdr:rowOff>123265</xdr:rowOff>
    </xdr:to>
    <xdr:cxnSp macro="">
      <xdr:nvCxnSpPr>
        <xdr:cNvPr id="96" name="19 Conector recto de flecha"/>
        <xdr:cNvCxnSpPr/>
      </xdr:nvCxnSpPr>
      <xdr:spPr>
        <a:xfrm>
          <a:off x="45584285" y="20125765"/>
          <a:ext cx="408392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112059</xdr:colOff>
      <xdr:row>138</xdr:row>
      <xdr:rowOff>22409</xdr:rowOff>
    </xdr:from>
    <xdr:to>
      <xdr:col>52</xdr:col>
      <xdr:colOff>112059</xdr:colOff>
      <xdr:row>143</xdr:row>
      <xdr:rowOff>22409</xdr:rowOff>
    </xdr:to>
    <xdr:cxnSp macro="">
      <xdr:nvCxnSpPr>
        <xdr:cNvPr id="101" name="26 Conector recto de flecha"/>
        <xdr:cNvCxnSpPr/>
      </xdr:nvCxnSpPr>
      <xdr:spPr>
        <a:xfrm>
          <a:off x="44773726" y="19072409"/>
          <a:ext cx="0" cy="95250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120209</xdr:colOff>
      <xdr:row>144</xdr:row>
      <xdr:rowOff>120718</xdr:rowOff>
    </xdr:from>
    <xdr:to>
      <xdr:col>47</xdr:col>
      <xdr:colOff>42786</xdr:colOff>
      <xdr:row>144</xdr:row>
      <xdr:rowOff>120718</xdr:rowOff>
    </xdr:to>
    <xdr:cxnSp macro="">
      <xdr:nvCxnSpPr>
        <xdr:cNvPr id="102" name="29 Conector recto de flecha"/>
        <xdr:cNvCxnSpPr/>
      </xdr:nvCxnSpPr>
      <xdr:spPr>
        <a:xfrm>
          <a:off x="43448376" y="20313718"/>
          <a:ext cx="515243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33618</xdr:colOff>
      <xdr:row>139</xdr:row>
      <xdr:rowOff>22408</xdr:rowOff>
    </xdr:from>
    <xdr:to>
      <xdr:col>57</xdr:col>
      <xdr:colOff>33618</xdr:colOff>
      <xdr:row>142</xdr:row>
      <xdr:rowOff>190496</xdr:rowOff>
    </xdr:to>
    <xdr:cxnSp macro="">
      <xdr:nvCxnSpPr>
        <xdr:cNvPr id="103" name="32 Conector recto de flecha"/>
        <xdr:cNvCxnSpPr/>
      </xdr:nvCxnSpPr>
      <xdr:spPr>
        <a:xfrm>
          <a:off x="45436118" y="19262908"/>
          <a:ext cx="0" cy="739588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22412</xdr:colOff>
      <xdr:row>133</xdr:row>
      <xdr:rowOff>100853</xdr:rowOff>
    </xdr:from>
    <xdr:to>
      <xdr:col>60</xdr:col>
      <xdr:colOff>134471</xdr:colOff>
      <xdr:row>133</xdr:row>
      <xdr:rowOff>100853</xdr:rowOff>
    </xdr:to>
    <xdr:cxnSp macro="">
      <xdr:nvCxnSpPr>
        <xdr:cNvPr id="104" name="36 Conector recto de flecha"/>
        <xdr:cNvCxnSpPr/>
      </xdr:nvCxnSpPr>
      <xdr:spPr>
        <a:xfrm>
          <a:off x="45128579" y="18198353"/>
          <a:ext cx="852892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56030</xdr:colOff>
      <xdr:row>134</xdr:row>
      <xdr:rowOff>33618</xdr:rowOff>
    </xdr:from>
    <xdr:to>
      <xdr:col>54</xdr:col>
      <xdr:colOff>56030</xdr:colOff>
      <xdr:row>139</xdr:row>
      <xdr:rowOff>22412</xdr:rowOff>
    </xdr:to>
    <xdr:cxnSp macro="">
      <xdr:nvCxnSpPr>
        <xdr:cNvPr id="105" name="39 Conector recto de flecha"/>
        <xdr:cNvCxnSpPr/>
      </xdr:nvCxnSpPr>
      <xdr:spPr>
        <a:xfrm>
          <a:off x="45014030" y="18321618"/>
          <a:ext cx="0" cy="941294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100853</xdr:colOff>
      <xdr:row>134</xdr:row>
      <xdr:rowOff>33618</xdr:rowOff>
    </xdr:from>
    <xdr:to>
      <xdr:col>52</xdr:col>
      <xdr:colOff>100853</xdr:colOff>
      <xdr:row>138</xdr:row>
      <xdr:rowOff>56029</xdr:rowOff>
    </xdr:to>
    <xdr:cxnSp macro="">
      <xdr:nvCxnSpPr>
        <xdr:cNvPr id="106" name="42 Conector recto de flecha"/>
        <xdr:cNvCxnSpPr/>
      </xdr:nvCxnSpPr>
      <xdr:spPr>
        <a:xfrm>
          <a:off x="44762520" y="18321618"/>
          <a:ext cx="0" cy="784411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134470</xdr:colOff>
      <xdr:row>128</xdr:row>
      <xdr:rowOff>11206</xdr:rowOff>
    </xdr:from>
    <xdr:to>
      <xdr:col>73</xdr:col>
      <xdr:colOff>134470</xdr:colOff>
      <xdr:row>129</xdr:row>
      <xdr:rowOff>168088</xdr:rowOff>
    </xdr:to>
    <xdr:cxnSp macro="">
      <xdr:nvCxnSpPr>
        <xdr:cNvPr id="110" name="51 Conector recto de flecha"/>
        <xdr:cNvCxnSpPr/>
      </xdr:nvCxnSpPr>
      <xdr:spPr>
        <a:xfrm>
          <a:off x="47907637" y="17156206"/>
          <a:ext cx="0" cy="347382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179294</xdr:colOff>
      <xdr:row>127</xdr:row>
      <xdr:rowOff>123265</xdr:rowOff>
    </xdr:from>
    <xdr:to>
      <xdr:col>73</xdr:col>
      <xdr:colOff>504265</xdr:colOff>
      <xdr:row>130</xdr:row>
      <xdr:rowOff>22412</xdr:rowOff>
    </xdr:to>
    <xdr:sp macro="" textlink="">
      <xdr:nvSpPr>
        <xdr:cNvPr id="111" name="52 CuadroTexto"/>
        <xdr:cNvSpPr txBox="1"/>
      </xdr:nvSpPr>
      <xdr:spPr>
        <a:xfrm rot="16200000">
          <a:off x="47879623" y="17150603"/>
          <a:ext cx="470647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2 m</a:t>
          </a:r>
        </a:p>
      </xdr:txBody>
    </xdr:sp>
    <xdr:clientData/>
  </xdr:twoCellAnchor>
  <xdr:twoCellAnchor>
    <xdr:from>
      <xdr:col>47</xdr:col>
      <xdr:colOff>44823</xdr:colOff>
      <xdr:row>113</xdr:row>
      <xdr:rowOff>67235</xdr:rowOff>
    </xdr:from>
    <xdr:to>
      <xdr:col>61</xdr:col>
      <xdr:colOff>11206</xdr:colOff>
      <xdr:row>113</xdr:row>
      <xdr:rowOff>67235</xdr:rowOff>
    </xdr:to>
    <xdr:cxnSp macro="">
      <xdr:nvCxnSpPr>
        <xdr:cNvPr id="114" name="56 Conector recto de flecha"/>
        <xdr:cNvCxnSpPr/>
      </xdr:nvCxnSpPr>
      <xdr:spPr>
        <a:xfrm>
          <a:off x="43965656" y="14354735"/>
          <a:ext cx="2040717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11206</xdr:colOff>
      <xdr:row>111</xdr:row>
      <xdr:rowOff>78442</xdr:rowOff>
    </xdr:from>
    <xdr:to>
      <xdr:col>55</xdr:col>
      <xdr:colOff>11206</xdr:colOff>
      <xdr:row>113</xdr:row>
      <xdr:rowOff>22413</xdr:rowOff>
    </xdr:to>
    <xdr:sp macro="" textlink="">
      <xdr:nvSpPr>
        <xdr:cNvPr id="115" name="57 CuadroTexto"/>
        <xdr:cNvSpPr txBox="1"/>
      </xdr:nvSpPr>
      <xdr:spPr>
        <a:xfrm rot="10800000">
          <a:off x="44672873" y="13984942"/>
          <a:ext cx="444500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14 m</a:t>
          </a:r>
        </a:p>
      </xdr:txBody>
    </xdr:sp>
    <xdr:clientData/>
  </xdr:twoCellAnchor>
  <xdr:twoCellAnchor>
    <xdr:from>
      <xdr:col>70</xdr:col>
      <xdr:colOff>115114</xdr:colOff>
      <xdr:row>121</xdr:row>
      <xdr:rowOff>41258</xdr:rowOff>
    </xdr:from>
    <xdr:to>
      <xdr:col>70</xdr:col>
      <xdr:colOff>115114</xdr:colOff>
      <xdr:row>127</xdr:row>
      <xdr:rowOff>142111</xdr:rowOff>
    </xdr:to>
    <xdr:cxnSp macro="">
      <xdr:nvCxnSpPr>
        <xdr:cNvPr id="117" name="60 Conector recto de flecha"/>
        <xdr:cNvCxnSpPr/>
      </xdr:nvCxnSpPr>
      <xdr:spPr>
        <a:xfrm>
          <a:off x="47443781" y="15852758"/>
          <a:ext cx="0" cy="1243853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112570</xdr:colOff>
      <xdr:row>122</xdr:row>
      <xdr:rowOff>150261</xdr:rowOff>
    </xdr:from>
    <xdr:to>
      <xdr:col>72</xdr:col>
      <xdr:colOff>124795</xdr:colOff>
      <xdr:row>125</xdr:row>
      <xdr:rowOff>49408</xdr:rowOff>
    </xdr:to>
    <xdr:sp macro="" textlink="">
      <xdr:nvSpPr>
        <xdr:cNvPr id="118" name="61 CuadroTexto"/>
        <xdr:cNvSpPr txBox="1"/>
      </xdr:nvSpPr>
      <xdr:spPr>
        <a:xfrm rot="16200000">
          <a:off x="47360192" y="16233306"/>
          <a:ext cx="470647" cy="3085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7 m</a:t>
          </a:r>
        </a:p>
      </xdr:txBody>
    </xdr:sp>
    <xdr:clientData/>
  </xdr:twoCellAnchor>
  <xdr:twoCellAnchor>
    <xdr:from>
      <xdr:col>67</xdr:col>
      <xdr:colOff>123264</xdr:colOff>
      <xdr:row>117</xdr:row>
      <xdr:rowOff>44824</xdr:rowOff>
    </xdr:from>
    <xdr:to>
      <xdr:col>67</xdr:col>
      <xdr:colOff>123264</xdr:colOff>
      <xdr:row>120</xdr:row>
      <xdr:rowOff>156882</xdr:rowOff>
    </xdr:to>
    <xdr:cxnSp macro="">
      <xdr:nvCxnSpPr>
        <xdr:cNvPr id="120" name="64 Conector recto de flecha"/>
        <xdr:cNvCxnSpPr/>
      </xdr:nvCxnSpPr>
      <xdr:spPr>
        <a:xfrm>
          <a:off x="47007431" y="15094324"/>
          <a:ext cx="0" cy="68355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112058</xdr:colOff>
      <xdr:row>117</xdr:row>
      <xdr:rowOff>134470</xdr:rowOff>
    </xdr:from>
    <xdr:to>
      <xdr:col>69</xdr:col>
      <xdr:colOff>123265</xdr:colOff>
      <xdr:row>120</xdr:row>
      <xdr:rowOff>33617</xdr:rowOff>
    </xdr:to>
    <xdr:sp macro="" textlink="">
      <xdr:nvSpPr>
        <xdr:cNvPr id="121" name="65 CuadroTexto"/>
        <xdr:cNvSpPr txBox="1"/>
      </xdr:nvSpPr>
      <xdr:spPr>
        <a:xfrm rot="16200000">
          <a:off x="46914671" y="15265524"/>
          <a:ext cx="470647" cy="307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4 m</a:t>
          </a:r>
        </a:p>
      </xdr:txBody>
    </xdr:sp>
    <xdr:clientData/>
  </xdr:twoCellAnchor>
  <xdr:twoCellAnchor>
    <xdr:from>
      <xdr:col>63</xdr:col>
      <xdr:colOff>44824</xdr:colOff>
      <xdr:row>116</xdr:row>
      <xdr:rowOff>78441</xdr:rowOff>
    </xdr:from>
    <xdr:to>
      <xdr:col>66</xdr:col>
      <xdr:colOff>134471</xdr:colOff>
      <xdr:row>116</xdr:row>
      <xdr:rowOff>78441</xdr:rowOff>
    </xdr:to>
    <xdr:cxnSp macro="">
      <xdr:nvCxnSpPr>
        <xdr:cNvPr id="122" name="67 Conector recto de flecha"/>
        <xdr:cNvCxnSpPr/>
      </xdr:nvCxnSpPr>
      <xdr:spPr>
        <a:xfrm flipH="1">
          <a:off x="46336324" y="14937441"/>
          <a:ext cx="534147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63</xdr:col>
      <xdr:colOff>107576</xdr:colOff>
      <xdr:row>114</xdr:row>
      <xdr:rowOff>141195</xdr:rowOff>
    </xdr:from>
    <xdr:to>
      <xdr:col>66</xdr:col>
      <xdr:colOff>107576</xdr:colOff>
      <xdr:row>116</xdr:row>
      <xdr:rowOff>85166</xdr:rowOff>
    </xdr:to>
    <xdr:sp macro="" textlink="">
      <xdr:nvSpPr>
        <xdr:cNvPr id="123" name="68 CuadroTexto"/>
        <xdr:cNvSpPr txBox="1"/>
      </xdr:nvSpPr>
      <xdr:spPr>
        <a:xfrm rot="10800000">
          <a:off x="46399076" y="14619195"/>
          <a:ext cx="444500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4 m</a:t>
          </a:r>
        </a:p>
      </xdr:txBody>
    </xdr:sp>
    <xdr:clientData/>
  </xdr:twoCellAnchor>
  <xdr:twoCellAnchor>
    <xdr:from>
      <xdr:col>63</xdr:col>
      <xdr:colOff>11206</xdr:colOff>
      <xdr:row>130</xdr:row>
      <xdr:rowOff>89647</xdr:rowOff>
    </xdr:from>
    <xdr:to>
      <xdr:col>72</xdr:col>
      <xdr:colOff>134471</xdr:colOff>
      <xdr:row>130</xdr:row>
      <xdr:rowOff>89647</xdr:rowOff>
    </xdr:to>
    <xdr:cxnSp macro="">
      <xdr:nvCxnSpPr>
        <xdr:cNvPr id="124" name="70 Conector recto de flecha"/>
        <xdr:cNvCxnSpPr/>
      </xdr:nvCxnSpPr>
      <xdr:spPr>
        <a:xfrm>
          <a:off x="46302706" y="17615647"/>
          <a:ext cx="1456765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44824</xdr:colOff>
      <xdr:row>130</xdr:row>
      <xdr:rowOff>11206</xdr:rowOff>
    </xdr:from>
    <xdr:to>
      <xdr:col>69</xdr:col>
      <xdr:colOff>44824</xdr:colOff>
      <xdr:row>131</xdr:row>
      <xdr:rowOff>145677</xdr:rowOff>
    </xdr:to>
    <xdr:sp macro="" textlink="">
      <xdr:nvSpPr>
        <xdr:cNvPr id="125" name="71 CuadroTexto"/>
        <xdr:cNvSpPr txBox="1"/>
      </xdr:nvSpPr>
      <xdr:spPr>
        <a:xfrm rot="10800000">
          <a:off x="46780824" y="17537206"/>
          <a:ext cx="444500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10 m</a:t>
          </a:r>
        </a:p>
      </xdr:txBody>
    </xdr:sp>
    <xdr:clientData/>
  </xdr:twoCellAnchor>
  <xdr:twoCellAnchor>
    <xdr:from>
      <xdr:col>47</xdr:col>
      <xdr:colOff>33617</xdr:colOff>
      <xdr:row>129</xdr:row>
      <xdr:rowOff>89647</xdr:rowOff>
    </xdr:from>
    <xdr:to>
      <xdr:col>61</xdr:col>
      <xdr:colOff>11206</xdr:colOff>
      <xdr:row>129</xdr:row>
      <xdr:rowOff>89647</xdr:rowOff>
    </xdr:to>
    <xdr:cxnSp macro="">
      <xdr:nvCxnSpPr>
        <xdr:cNvPr id="126" name="73 Conector recto de flecha"/>
        <xdr:cNvCxnSpPr/>
      </xdr:nvCxnSpPr>
      <xdr:spPr>
        <a:xfrm>
          <a:off x="43954450" y="17425147"/>
          <a:ext cx="2051923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89648</xdr:colOff>
      <xdr:row>127</xdr:row>
      <xdr:rowOff>179293</xdr:rowOff>
    </xdr:from>
    <xdr:to>
      <xdr:col>55</xdr:col>
      <xdr:colOff>89648</xdr:colOff>
      <xdr:row>129</xdr:row>
      <xdr:rowOff>123264</xdr:rowOff>
    </xdr:to>
    <xdr:sp macro="" textlink="">
      <xdr:nvSpPr>
        <xdr:cNvPr id="127" name="74 CuadroTexto"/>
        <xdr:cNvSpPr txBox="1"/>
      </xdr:nvSpPr>
      <xdr:spPr>
        <a:xfrm rot="10800000">
          <a:off x="44751315" y="17133793"/>
          <a:ext cx="444500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16 m</a:t>
          </a:r>
        </a:p>
      </xdr:txBody>
    </xdr:sp>
    <xdr:clientData/>
  </xdr:twoCellAnchor>
  <xdr:twoCellAnchor>
    <xdr:from>
      <xdr:col>61</xdr:col>
      <xdr:colOff>78441</xdr:colOff>
      <xdr:row>130</xdr:row>
      <xdr:rowOff>44824</xdr:rowOff>
    </xdr:from>
    <xdr:to>
      <xdr:col>61</xdr:col>
      <xdr:colOff>78441</xdr:colOff>
      <xdr:row>133</xdr:row>
      <xdr:rowOff>156882</xdr:rowOff>
    </xdr:to>
    <xdr:cxnSp macro="">
      <xdr:nvCxnSpPr>
        <xdr:cNvPr id="128" name="76 Conector recto de flecha"/>
        <xdr:cNvCxnSpPr/>
      </xdr:nvCxnSpPr>
      <xdr:spPr>
        <a:xfrm>
          <a:off x="46073608" y="17570824"/>
          <a:ext cx="0" cy="68355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84605</xdr:colOff>
      <xdr:row>130</xdr:row>
      <xdr:rowOff>26332</xdr:rowOff>
    </xdr:from>
    <xdr:to>
      <xdr:col>63</xdr:col>
      <xdr:colOff>95253</xdr:colOff>
      <xdr:row>133</xdr:row>
      <xdr:rowOff>104774</xdr:rowOff>
    </xdr:to>
    <xdr:sp macro="" textlink="">
      <xdr:nvSpPr>
        <xdr:cNvPr id="129" name="77 CuadroTexto"/>
        <xdr:cNvSpPr txBox="1"/>
      </xdr:nvSpPr>
      <xdr:spPr>
        <a:xfrm rot="16200000">
          <a:off x="45908292" y="17723812"/>
          <a:ext cx="649942" cy="306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2.4 m</a:t>
          </a:r>
        </a:p>
      </xdr:txBody>
    </xdr:sp>
    <xdr:clientData/>
  </xdr:twoCellAnchor>
  <xdr:twoCellAnchor>
    <xdr:from>
      <xdr:col>61</xdr:col>
      <xdr:colOff>112059</xdr:colOff>
      <xdr:row>114</xdr:row>
      <xdr:rowOff>22412</xdr:rowOff>
    </xdr:from>
    <xdr:to>
      <xdr:col>61</xdr:col>
      <xdr:colOff>112059</xdr:colOff>
      <xdr:row>117</xdr:row>
      <xdr:rowOff>168088</xdr:rowOff>
    </xdr:to>
    <xdr:cxnSp macro="">
      <xdr:nvCxnSpPr>
        <xdr:cNvPr id="130" name="79 Conector recto de flecha"/>
        <xdr:cNvCxnSpPr/>
      </xdr:nvCxnSpPr>
      <xdr:spPr>
        <a:xfrm>
          <a:off x="46107226" y="14500412"/>
          <a:ext cx="0" cy="717176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78442</xdr:colOff>
      <xdr:row>113</xdr:row>
      <xdr:rowOff>180975</xdr:rowOff>
    </xdr:from>
    <xdr:to>
      <xdr:col>63</xdr:col>
      <xdr:colOff>89648</xdr:colOff>
      <xdr:row>116</xdr:row>
      <xdr:rowOff>179295</xdr:rowOff>
    </xdr:to>
    <xdr:sp macro="" textlink="">
      <xdr:nvSpPr>
        <xdr:cNvPr id="131" name="80 CuadroTexto"/>
        <xdr:cNvSpPr txBox="1"/>
      </xdr:nvSpPr>
      <xdr:spPr>
        <a:xfrm rot="16200000">
          <a:off x="45942469" y="14599615"/>
          <a:ext cx="569820" cy="3075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2.5 m</a:t>
          </a:r>
        </a:p>
      </xdr:txBody>
    </xdr:sp>
    <xdr:clientData/>
  </xdr:twoCellAnchor>
  <xdr:twoCellAnchor>
    <xdr:from>
      <xdr:col>43</xdr:col>
      <xdr:colOff>22412</xdr:colOff>
      <xdr:row>121</xdr:row>
      <xdr:rowOff>78441</xdr:rowOff>
    </xdr:from>
    <xdr:to>
      <xdr:col>47</xdr:col>
      <xdr:colOff>22411</xdr:colOff>
      <xdr:row>121</xdr:row>
      <xdr:rowOff>78441</xdr:rowOff>
    </xdr:to>
    <xdr:cxnSp macro="">
      <xdr:nvCxnSpPr>
        <xdr:cNvPr id="133" name="83 Conector recto de flecha"/>
        <xdr:cNvCxnSpPr/>
      </xdr:nvCxnSpPr>
      <xdr:spPr>
        <a:xfrm>
          <a:off x="43350579" y="15889941"/>
          <a:ext cx="592665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100853</xdr:colOff>
      <xdr:row>119</xdr:row>
      <xdr:rowOff>145676</xdr:rowOff>
    </xdr:from>
    <xdr:to>
      <xdr:col>46</xdr:col>
      <xdr:colOff>100853</xdr:colOff>
      <xdr:row>121</xdr:row>
      <xdr:rowOff>89647</xdr:rowOff>
    </xdr:to>
    <xdr:sp macro="" textlink="">
      <xdr:nvSpPr>
        <xdr:cNvPr id="134" name="84 CuadroTexto"/>
        <xdr:cNvSpPr txBox="1"/>
      </xdr:nvSpPr>
      <xdr:spPr>
        <a:xfrm rot="10800000">
          <a:off x="43429020" y="15576176"/>
          <a:ext cx="444500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4 m</a:t>
          </a:r>
        </a:p>
      </xdr:txBody>
    </xdr:sp>
    <xdr:clientData/>
  </xdr:twoCellAnchor>
  <xdr:twoCellAnchor>
    <xdr:from>
      <xdr:col>42</xdr:col>
      <xdr:colOff>638735</xdr:colOff>
      <xdr:row>121</xdr:row>
      <xdr:rowOff>168088</xdr:rowOff>
    </xdr:from>
    <xdr:to>
      <xdr:col>42</xdr:col>
      <xdr:colOff>638735</xdr:colOff>
      <xdr:row>131</xdr:row>
      <xdr:rowOff>22412</xdr:rowOff>
    </xdr:to>
    <xdr:cxnSp macro="">
      <xdr:nvCxnSpPr>
        <xdr:cNvPr id="135" name="86 Conector recto de flecha"/>
        <xdr:cNvCxnSpPr/>
      </xdr:nvCxnSpPr>
      <xdr:spPr>
        <a:xfrm flipV="1">
          <a:off x="43204902" y="15979588"/>
          <a:ext cx="0" cy="1759324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336177</xdr:colOff>
      <xdr:row>124</xdr:row>
      <xdr:rowOff>89647</xdr:rowOff>
    </xdr:from>
    <xdr:to>
      <xdr:col>42</xdr:col>
      <xdr:colOff>661148</xdr:colOff>
      <xdr:row>126</xdr:row>
      <xdr:rowOff>179294</xdr:rowOff>
    </xdr:to>
    <xdr:sp macro="" textlink="">
      <xdr:nvSpPr>
        <xdr:cNvPr id="136" name="88 CuadroTexto"/>
        <xdr:cNvSpPr txBox="1"/>
      </xdr:nvSpPr>
      <xdr:spPr>
        <a:xfrm rot="16200000">
          <a:off x="42829506" y="16545485"/>
          <a:ext cx="470647" cy="324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>
              <a:latin typeface="Arial" panose="020B0604020202020204" pitchFamily="34" charset="0"/>
              <a:cs typeface="Arial" panose="020B0604020202020204" pitchFamily="34" charset="0"/>
            </a:rPr>
            <a:t>9 m</a:t>
          </a:r>
        </a:p>
      </xdr:txBody>
    </xdr:sp>
    <xdr:clientData/>
  </xdr:twoCellAnchor>
  <xdr:twoCellAnchor>
    <xdr:from>
      <xdr:col>48</xdr:col>
      <xdr:colOff>74083</xdr:colOff>
      <xdr:row>139</xdr:row>
      <xdr:rowOff>31750</xdr:rowOff>
    </xdr:from>
    <xdr:to>
      <xdr:col>50</xdr:col>
      <xdr:colOff>52917</xdr:colOff>
      <xdr:row>141</xdr:row>
      <xdr:rowOff>84668</xdr:rowOff>
    </xdr:to>
    <xdr:sp macro="" textlink="">
      <xdr:nvSpPr>
        <xdr:cNvPr id="4" name="Rectángulo 3"/>
        <xdr:cNvSpPr/>
      </xdr:nvSpPr>
      <xdr:spPr>
        <a:xfrm>
          <a:off x="44143083" y="26511250"/>
          <a:ext cx="275167" cy="43391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62</xdr:col>
      <xdr:colOff>63500</xdr:colOff>
      <xdr:row>102</xdr:row>
      <xdr:rowOff>60004</xdr:rowOff>
    </xdr:from>
    <xdr:to>
      <xdr:col>67</xdr:col>
      <xdr:colOff>10583</xdr:colOff>
      <xdr:row>105</xdr:row>
      <xdr:rowOff>80433</xdr:rowOff>
    </xdr:to>
    <xdr:pic>
      <xdr:nvPicPr>
        <xdr:cNvPr id="138" name="Imagen 1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06833" y="19491004"/>
          <a:ext cx="687917" cy="591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74084</xdr:colOff>
      <xdr:row>97</xdr:row>
      <xdr:rowOff>68425</xdr:rowOff>
    </xdr:from>
    <xdr:to>
      <xdr:col>66</xdr:col>
      <xdr:colOff>116418</xdr:colOff>
      <xdr:row>101</xdr:row>
      <xdr:rowOff>152399</xdr:rowOff>
    </xdr:to>
    <xdr:pic>
      <xdr:nvPicPr>
        <xdr:cNvPr id="140" name="Imagen 13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65584" y="18546925"/>
          <a:ext cx="486834" cy="84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67</xdr:col>
      <xdr:colOff>127001</xdr:colOff>
      <xdr:row>102</xdr:row>
      <xdr:rowOff>52916</xdr:rowOff>
    </xdr:from>
    <xdr:to>
      <xdr:col>72</xdr:col>
      <xdr:colOff>74085</xdr:colOff>
      <xdr:row>105</xdr:row>
      <xdr:rowOff>73345</xdr:rowOff>
    </xdr:to>
    <xdr:pic>
      <xdr:nvPicPr>
        <xdr:cNvPr id="141" name="Imagen 1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7011168" y="19483916"/>
          <a:ext cx="687917" cy="591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35980</xdr:colOff>
      <xdr:row>97</xdr:row>
      <xdr:rowOff>30325</xdr:rowOff>
    </xdr:from>
    <xdr:to>
      <xdr:col>72</xdr:col>
      <xdr:colOff>78314</xdr:colOff>
      <xdr:row>101</xdr:row>
      <xdr:rowOff>114299</xdr:rowOff>
    </xdr:to>
    <xdr:pic>
      <xdr:nvPicPr>
        <xdr:cNvPr id="142" name="Imagen 14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480" y="18508825"/>
          <a:ext cx="486834" cy="84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46566</xdr:colOff>
      <xdr:row>93</xdr:row>
      <xdr:rowOff>120649</xdr:rowOff>
    </xdr:from>
    <xdr:to>
      <xdr:col>72</xdr:col>
      <xdr:colOff>141816</xdr:colOff>
      <xdr:row>96</xdr:row>
      <xdr:rowOff>141078</xdr:rowOff>
    </xdr:to>
    <xdr:pic>
      <xdr:nvPicPr>
        <xdr:cNvPr id="143" name="Imagen 1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7078899" y="17837149"/>
          <a:ext cx="687917" cy="591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78317</xdr:colOff>
      <xdr:row>100</xdr:row>
      <xdr:rowOff>84666</xdr:rowOff>
    </xdr:from>
    <xdr:to>
      <xdr:col>51</xdr:col>
      <xdr:colOff>95469</xdr:colOff>
      <xdr:row>104</xdr:row>
      <xdr:rowOff>124881</xdr:rowOff>
    </xdr:to>
    <xdr:pic>
      <xdr:nvPicPr>
        <xdr:cNvPr id="145" name="Imagen 14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47317" y="19134666"/>
          <a:ext cx="461652" cy="802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51</xdr:col>
      <xdr:colOff>10583</xdr:colOff>
      <xdr:row>81</xdr:row>
      <xdr:rowOff>31750</xdr:rowOff>
    </xdr:from>
    <xdr:to>
      <xdr:col>53</xdr:col>
      <xdr:colOff>63500</xdr:colOff>
      <xdr:row>82</xdr:row>
      <xdr:rowOff>116417</xdr:rowOff>
    </xdr:to>
    <xdr:sp macro="" textlink="">
      <xdr:nvSpPr>
        <xdr:cNvPr id="6" name="Rectángulo 5"/>
        <xdr:cNvSpPr/>
      </xdr:nvSpPr>
      <xdr:spPr>
        <a:xfrm>
          <a:off x="44524083" y="15462250"/>
          <a:ext cx="349250" cy="27516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51</xdr:col>
      <xdr:colOff>14816</xdr:colOff>
      <xdr:row>83</xdr:row>
      <xdr:rowOff>173567</xdr:rowOff>
    </xdr:from>
    <xdr:to>
      <xdr:col>53</xdr:col>
      <xdr:colOff>67733</xdr:colOff>
      <xdr:row>85</xdr:row>
      <xdr:rowOff>67734</xdr:rowOff>
    </xdr:to>
    <xdr:sp macro="" textlink="">
      <xdr:nvSpPr>
        <xdr:cNvPr id="146" name="Rectángulo 145"/>
        <xdr:cNvSpPr/>
      </xdr:nvSpPr>
      <xdr:spPr>
        <a:xfrm>
          <a:off x="44528316" y="15985067"/>
          <a:ext cx="349250" cy="27516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50</xdr:col>
      <xdr:colOff>146050</xdr:colOff>
      <xdr:row>86</xdr:row>
      <xdr:rowOff>156633</xdr:rowOff>
    </xdr:from>
    <xdr:to>
      <xdr:col>53</xdr:col>
      <xdr:colOff>50800</xdr:colOff>
      <xdr:row>88</xdr:row>
      <xdr:rowOff>50800</xdr:rowOff>
    </xdr:to>
    <xdr:sp macro="" textlink="">
      <xdr:nvSpPr>
        <xdr:cNvPr id="147" name="Rectángulo 146"/>
        <xdr:cNvSpPr/>
      </xdr:nvSpPr>
      <xdr:spPr>
        <a:xfrm>
          <a:off x="44511383" y="16539633"/>
          <a:ext cx="349250" cy="27516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54</xdr:col>
      <xdr:colOff>110067</xdr:colOff>
      <xdr:row>81</xdr:row>
      <xdr:rowOff>35983</xdr:rowOff>
    </xdr:from>
    <xdr:to>
      <xdr:col>57</xdr:col>
      <xdr:colOff>14817</xdr:colOff>
      <xdr:row>82</xdr:row>
      <xdr:rowOff>120650</xdr:rowOff>
    </xdr:to>
    <xdr:sp macro="" textlink="">
      <xdr:nvSpPr>
        <xdr:cNvPr id="148" name="Rectángulo 147"/>
        <xdr:cNvSpPr/>
      </xdr:nvSpPr>
      <xdr:spPr>
        <a:xfrm>
          <a:off x="45068067" y="15466483"/>
          <a:ext cx="349250" cy="27516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54</xdr:col>
      <xdr:colOff>93133</xdr:colOff>
      <xdr:row>83</xdr:row>
      <xdr:rowOff>177800</xdr:rowOff>
    </xdr:from>
    <xdr:to>
      <xdr:col>56</xdr:col>
      <xdr:colOff>146050</xdr:colOff>
      <xdr:row>85</xdr:row>
      <xdr:rowOff>71967</xdr:rowOff>
    </xdr:to>
    <xdr:sp macro="" textlink="">
      <xdr:nvSpPr>
        <xdr:cNvPr id="149" name="Rectángulo 148"/>
        <xdr:cNvSpPr/>
      </xdr:nvSpPr>
      <xdr:spPr>
        <a:xfrm>
          <a:off x="45051133" y="15989300"/>
          <a:ext cx="349250" cy="27516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54</xdr:col>
      <xdr:colOff>97367</xdr:colOff>
      <xdr:row>86</xdr:row>
      <xdr:rowOff>160866</xdr:rowOff>
    </xdr:from>
    <xdr:to>
      <xdr:col>57</xdr:col>
      <xdr:colOff>2117</xdr:colOff>
      <xdr:row>88</xdr:row>
      <xdr:rowOff>55033</xdr:rowOff>
    </xdr:to>
    <xdr:sp macro="" textlink="">
      <xdr:nvSpPr>
        <xdr:cNvPr id="150" name="Rectángulo 149"/>
        <xdr:cNvSpPr/>
      </xdr:nvSpPr>
      <xdr:spPr>
        <a:xfrm>
          <a:off x="45055367" y="16543866"/>
          <a:ext cx="349250" cy="27516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58</xdr:col>
      <xdr:colOff>50800</xdr:colOff>
      <xdr:row>81</xdr:row>
      <xdr:rowOff>19050</xdr:rowOff>
    </xdr:from>
    <xdr:to>
      <xdr:col>60</xdr:col>
      <xdr:colOff>103717</xdr:colOff>
      <xdr:row>82</xdr:row>
      <xdr:rowOff>103717</xdr:rowOff>
    </xdr:to>
    <xdr:sp macro="" textlink="">
      <xdr:nvSpPr>
        <xdr:cNvPr id="151" name="Rectángulo 150"/>
        <xdr:cNvSpPr/>
      </xdr:nvSpPr>
      <xdr:spPr>
        <a:xfrm>
          <a:off x="45601467" y="15449550"/>
          <a:ext cx="349250" cy="27516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58</xdr:col>
      <xdr:colOff>33866</xdr:colOff>
      <xdr:row>83</xdr:row>
      <xdr:rowOff>160867</xdr:rowOff>
    </xdr:from>
    <xdr:to>
      <xdr:col>60</xdr:col>
      <xdr:colOff>86783</xdr:colOff>
      <xdr:row>85</xdr:row>
      <xdr:rowOff>55034</xdr:rowOff>
    </xdr:to>
    <xdr:sp macro="" textlink="">
      <xdr:nvSpPr>
        <xdr:cNvPr id="152" name="Rectángulo 151"/>
        <xdr:cNvSpPr/>
      </xdr:nvSpPr>
      <xdr:spPr>
        <a:xfrm>
          <a:off x="45584533" y="15972367"/>
          <a:ext cx="349250" cy="27516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58</xdr:col>
      <xdr:colOff>38100</xdr:colOff>
      <xdr:row>86</xdr:row>
      <xdr:rowOff>143933</xdr:rowOff>
    </xdr:from>
    <xdr:to>
      <xdr:col>60</xdr:col>
      <xdr:colOff>91017</xdr:colOff>
      <xdr:row>88</xdr:row>
      <xdr:rowOff>38100</xdr:rowOff>
    </xdr:to>
    <xdr:sp macro="" textlink="">
      <xdr:nvSpPr>
        <xdr:cNvPr id="153" name="Rectángulo 152"/>
        <xdr:cNvSpPr/>
      </xdr:nvSpPr>
      <xdr:spPr>
        <a:xfrm>
          <a:off x="45588767" y="16526933"/>
          <a:ext cx="349250" cy="27516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51</xdr:col>
      <xdr:colOff>21167</xdr:colOff>
      <xdr:row>81</xdr:row>
      <xdr:rowOff>63501</xdr:rowOff>
    </xdr:from>
    <xdr:to>
      <xdr:col>51</xdr:col>
      <xdr:colOff>137583</xdr:colOff>
      <xdr:row>81</xdr:row>
      <xdr:rowOff>179917</xdr:rowOff>
    </xdr:to>
    <xdr:sp macro="" textlink="">
      <xdr:nvSpPr>
        <xdr:cNvPr id="10" name="Elipse 9"/>
        <xdr:cNvSpPr/>
      </xdr:nvSpPr>
      <xdr:spPr>
        <a:xfrm>
          <a:off x="44534667" y="15494001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52</xdr:col>
      <xdr:colOff>46567</xdr:colOff>
      <xdr:row>81</xdr:row>
      <xdr:rowOff>173568</xdr:rowOff>
    </xdr:from>
    <xdr:to>
      <xdr:col>53</xdr:col>
      <xdr:colOff>14817</xdr:colOff>
      <xdr:row>82</xdr:row>
      <xdr:rowOff>99484</xdr:rowOff>
    </xdr:to>
    <xdr:sp macro="" textlink="">
      <xdr:nvSpPr>
        <xdr:cNvPr id="154" name="Elipse 153"/>
        <xdr:cNvSpPr/>
      </xdr:nvSpPr>
      <xdr:spPr>
        <a:xfrm>
          <a:off x="44708234" y="15604068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51</xdr:col>
      <xdr:colOff>8468</xdr:colOff>
      <xdr:row>83</xdr:row>
      <xdr:rowOff>177801</xdr:rowOff>
    </xdr:from>
    <xdr:to>
      <xdr:col>51</xdr:col>
      <xdr:colOff>124884</xdr:colOff>
      <xdr:row>84</xdr:row>
      <xdr:rowOff>103717</xdr:rowOff>
    </xdr:to>
    <xdr:sp macro="" textlink="">
      <xdr:nvSpPr>
        <xdr:cNvPr id="155" name="Elipse 154"/>
        <xdr:cNvSpPr/>
      </xdr:nvSpPr>
      <xdr:spPr>
        <a:xfrm>
          <a:off x="44521968" y="15989301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52</xdr:col>
      <xdr:colOff>55034</xdr:colOff>
      <xdr:row>84</xdr:row>
      <xdr:rowOff>129118</xdr:rowOff>
    </xdr:from>
    <xdr:to>
      <xdr:col>53</xdr:col>
      <xdr:colOff>23284</xdr:colOff>
      <xdr:row>85</xdr:row>
      <xdr:rowOff>55034</xdr:rowOff>
    </xdr:to>
    <xdr:sp macro="" textlink="">
      <xdr:nvSpPr>
        <xdr:cNvPr id="156" name="Elipse 155"/>
        <xdr:cNvSpPr/>
      </xdr:nvSpPr>
      <xdr:spPr>
        <a:xfrm>
          <a:off x="44716701" y="16131118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54</xdr:col>
      <xdr:colOff>122768</xdr:colOff>
      <xdr:row>83</xdr:row>
      <xdr:rowOff>186268</xdr:rowOff>
    </xdr:from>
    <xdr:to>
      <xdr:col>55</xdr:col>
      <xdr:colOff>91017</xdr:colOff>
      <xdr:row>84</xdr:row>
      <xdr:rowOff>112184</xdr:rowOff>
    </xdr:to>
    <xdr:sp macro="" textlink="">
      <xdr:nvSpPr>
        <xdr:cNvPr id="157" name="Elipse 156"/>
        <xdr:cNvSpPr/>
      </xdr:nvSpPr>
      <xdr:spPr>
        <a:xfrm>
          <a:off x="45080768" y="15997768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55</xdr:col>
      <xdr:colOff>127001</xdr:colOff>
      <xdr:row>84</xdr:row>
      <xdr:rowOff>148168</xdr:rowOff>
    </xdr:from>
    <xdr:to>
      <xdr:col>56</xdr:col>
      <xdr:colOff>95251</xdr:colOff>
      <xdr:row>85</xdr:row>
      <xdr:rowOff>74084</xdr:rowOff>
    </xdr:to>
    <xdr:sp macro="" textlink="">
      <xdr:nvSpPr>
        <xdr:cNvPr id="158" name="Elipse 157"/>
        <xdr:cNvSpPr/>
      </xdr:nvSpPr>
      <xdr:spPr>
        <a:xfrm>
          <a:off x="45233168" y="16150168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58</xdr:col>
      <xdr:colOff>78318</xdr:colOff>
      <xdr:row>83</xdr:row>
      <xdr:rowOff>152402</xdr:rowOff>
    </xdr:from>
    <xdr:to>
      <xdr:col>59</xdr:col>
      <xdr:colOff>46568</xdr:colOff>
      <xdr:row>84</xdr:row>
      <xdr:rowOff>78318</xdr:rowOff>
    </xdr:to>
    <xdr:sp macro="" textlink="">
      <xdr:nvSpPr>
        <xdr:cNvPr id="159" name="Elipse 158"/>
        <xdr:cNvSpPr/>
      </xdr:nvSpPr>
      <xdr:spPr>
        <a:xfrm>
          <a:off x="45628985" y="15963902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59</xdr:col>
      <xdr:colOff>82552</xdr:colOff>
      <xdr:row>84</xdr:row>
      <xdr:rowOff>114302</xdr:rowOff>
    </xdr:from>
    <xdr:to>
      <xdr:col>60</xdr:col>
      <xdr:colOff>50801</xdr:colOff>
      <xdr:row>85</xdr:row>
      <xdr:rowOff>40218</xdr:rowOff>
    </xdr:to>
    <xdr:sp macro="" textlink="">
      <xdr:nvSpPr>
        <xdr:cNvPr id="160" name="Elipse 159"/>
        <xdr:cNvSpPr/>
      </xdr:nvSpPr>
      <xdr:spPr>
        <a:xfrm>
          <a:off x="45781385" y="16116302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58</xdr:col>
      <xdr:colOff>86785</xdr:colOff>
      <xdr:row>86</xdr:row>
      <xdr:rowOff>150285</xdr:rowOff>
    </xdr:from>
    <xdr:to>
      <xdr:col>59</xdr:col>
      <xdr:colOff>55035</xdr:colOff>
      <xdr:row>87</xdr:row>
      <xdr:rowOff>76201</xdr:rowOff>
    </xdr:to>
    <xdr:sp macro="" textlink="">
      <xdr:nvSpPr>
        <xdr:cNvPr id="161" name="Elipse 160"/>
        <xdr:cNvSpPr/>
      </xdr:nvSpPr>
      <xdr:spPr>
        <a:xfrm>
          <a:off x="45637452" y="16533285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59</xdr:col>
      <xdr:colOff>91019</xdr:colOff>
      <xdr:row>87</xdr:row>
      <xdr:rowOff>112185</xdr:rowOff>
    </xdr:from>
    <xdr:to>
      <xdr:col>60</xdr:col>
      <xdr:colOff>59268</xdr:colOff>
      <xdr:row>88</xdr:row>
      <xdr:rowOff>38101</xdr:rowOff>
    </xdr:to>
    <xdr:sp macro="" textlink="">
      <xdr:nvSpPr>
        <xdr:cNvPr id="162" name="Elipse 161"/>
        <xdr:cNvSpPr/>
      </xdr:nvSpPr>
      <xdr:spPr>
        <a:xfrm>
          <a:off x="45789852" y="16685685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54</xdr:col>
      <xdr:colOff>127002</xdr:colOff>
      <xdr:row>86</xdr:row>
      <xdr:rowOff>158751</xdr:rowOff>
    </xdr:from>
    <xdr:to>
      <xdr:col>55</xdr:col>
      <xdr:colOff>95251</xdr:colOff>
      <xdr:row>87</xdr:row>
      <xdr:rowOff>84667</xdr:rowOff>
    </xdr:to>
    <xdr:sp macro="" textlink="">
      <xdr:nvSpPr>
        <xdr:cNvPr id="163" name="Elipse 162"/>
        <xdr:cNvSpPr/>
      </xdr:nvSpPr>
      <xdr:spPr>
        <a:xfrm>
          <a:off x="45085002" y="16541751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55</xdr:col>
      <xdr:colOff>131235</xdr:colOff>
      <xdr:row>87</xdr:row>
      <xdr:rowOff>120651</xdr:rowOff>
    </xdr:from>
    <xdr:to>
      <xdr:col>56</xdr:col>
      <xdr:colOff>99485</xdr:colOff>
      <xdr:row>88</xdr:row>
      <xdr:rowOff>46567</xdr:rowOff>
    </xdr:to>
    <xdr:sp macro="" textlink="">
      <xdr:nvSpPr>
        <xdr:cNvPr id="164" name="Elipse 163"/>
        <xdr:cNvSpPr/>
      </xdr:nvSpPr>
      <xdr:spPr>
        <a:xfrm>
          <a:off x="45237402" y="16694151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51</xdr:col>
      <xdr:colOff>50802</xdr:colOff>
      <xdr:row>86</xdr:row>
      <xdr:rowOff>156634</xdr:rowOff>
    </xdr:from>
    <xdr:to>
      <xdr:col>52</xdr:col>
      <xdr:colOff>19051</xdr:colOff>
      <xdr:row>87</xdr:row>
      <xdr:rowOff>82550</xdr:rowOff>
    </xdr:to>
    <xdr:sp macro="" textlink="">
      <xdr:nvSpPr>
        <xdr:cNvPr id="165" name="Elipse 164"/>
        <xdr:cNvSpPr/>
      </xdr:nvSpPr>
      <xdr:spPr>
        <a:xfrm>
          <a:off x="44564302" y="16539634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52</xdr:col>
      <xdr:colOff>55035</xdr:colOff>
      <xdr:row>87</xdr:row>
      <xdr:rowOff>118534</xdr:rowOff>
    </xdr:from>
    <xdr:to>
      <xdr:col>53</xdr:col>
      <xdr:colOff>23285</xdr:colOff>
      <xdr:row>88</xdr:row>
      <xdr:rowOff>44450</xdr:rowOff>
    </xdr:to>
    <xdr:sp macro="" textlink="">
      <xdr:nvSpPr>
        <xdr:cNvPr id="166" name="Elipse 165"/>
        <xdr:cNvSpPr/>
      </xdr:nvSpPr>
      <xdr:spPr>
        <a:xfrm>
          <a:off x="44716702" y="16692034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54</xdr:col>
      <xdr:colOff>143935</xdr:colOff>
      <xdr:row>81</xdr:row>
      <xdr:rowOff>48684</xdr:rowOff>
    </xdr:from>
    <xdr:to>
      <xdr:col>55</xdr:col>
      <xdr:colOff>112184</xdr:colOff>
      <xdr:row>81</xdr:row>
      <xdr:rowOff>165100</xdr:rowOff>
    </xdr:to>
    <xdr:sp macro="" textlink="">
      <xdr:nvSpPr>
        <xdr:cNvPr id="167" name="Elipse 166"/>
        <xdr:cNvSpPr/>
      </xdr:nvSpPr>
      <xdr:spPr>
        <a:xfrm>
          <a:off x="45101935" y="15479184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56</xdr:col>
      <xdr:colOff>2</xdr:colOff>
      <xdr:row>82</xdr:row>
      <xdr:rowOff>10584</xdr:rowOff>
    </xdr:from>
    <xdr:to>
      <xdr:col>56</xdr:col>
      <xdr:colOff>116418</xdr:colOff>
      <xdr:row>82</xdr:row>
      <xdr:rowOff>127000</xdr:rowOff>
    </xdr:to>
    <xdr:sp macro="" textlink="">
      <xdr:nvSpPr>
        <xdr:cNvPr id="168" name="Elipse 167"/>
        <xdr:cNvSpPr/>
      </xdr:nvSpPr>
      <xdr:spPr>
        <a:xfrm>
          <a:off x="45254335" y="15631584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58</xdr:col>
      <xdr:colOff>99485</xdr:colOff>
      <xdr:row>81</xdr:row>
      <xdr:rowOff>25400</xdr:rowOff>
    </xdr:from>
    <xdr:to>
      <xdr:col>59</xdr:col>
      <xdr:colOff>67735</xdr:colOff>
      <xdr:row>81</xdr:row>
      <xdr:rowOff>141816</xdr:rowOff>
    </xdr:to>
    <xdr:sp macro="" textlink="">
      <xdr:nvSpPr>
        <xdr:cNvPr id="169" name="Elipse 168"/>
        <xdr:cNvSpPr/>
      </xdr:nvSpPr>
      <xdr:spPr>
        <a:xfrm>
          <a:off x="45650152" y="15455900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59</xdr:col>
      <xdr:colOff>103719</xdr:colOff>
      <xdr:row>81</xdr:row>
      <xdr:rowOff>177800</xdr:rowOff>
    </xdr:from>
    <xdr:to>
      <xdr:col>60</xdr:col>
      <xdr:colOff>71968</xdr:colOff>
      <xdr:row>82</xdr:row>
      <xdr:rowOff>103716</xdr:rowOff>
    </xdr:to>
    <xdr:sp macro="" textlink="">
      <xdr:nvSpPr>
        <xdr:cNvPr id="170" name="Elipse 169"/>
        <xdr:cNvSpPr/>
      </xdr:nvSpPr>
      <xdr:spPr>
        <a:xfrm>
          <a:off x="45802552" y="15608300"/>
          <a:ext cx="116416" cy="116416"/>
        </a:xfrm>
        <a:prstGeom prst="ellipse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58</xdr:col>
      <xdr:colOff>84666</xdr:colOff>
      <xdr:row>88</xdr:row>
      <xdr:rowOff>84668</xdr:rowOff>
    </xdr:from>
    <xdr:to>
      <xdr:col>60</xdr:col>
      <xdr:colOff>45508</xdr:colOff>
      <xdr:row>89</xdr:row>
      <xdr:rowOff>56093</xdr:rowOff>
    </xdr:to>
    <xdr:pic>
      <xdr:nvPicPr>
        <xdr:cNvPr id="171" name="Imagen 17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35333" y="16848668"/>
          <a:ext cx="2571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257175</xdr:colOff>
      <xdr:row>0</xdr:row>
      <xdr:rowOff>161925</xdr:rowOff>
    </xdr:to>
    <xdr:pic>
      <xdr:nvPicPr>
        <xdr:cNvPr id="172" name="Imagen 17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71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35983</xdr:colOff>
      <xdr:row>88</xdr:row>
      <xdr:rowOff>110068</xdr:rowOff>
    </xdr:from>
    <xdr:to>
      <xdr:col>56</xdr:col>
      <xdr:colOff>144992</xdr:colOff>
      <xdr:row>89</xdr:row>
      <xdr:rowOff>81493</xdr:rowOff>
    </xdr:to>
    <xdr:pic>
      <xdr:nvPicPr>
        <xdr:cNvPr id="173" name="Imagen 17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2150" y="16874068"/>
          <a:ext cx="2571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50800</xdr:colOff>
      <xdr:row>88</xdr:row>
      <xdr:rowOff>135468</xdr:rowOff>
    </xdr:from>
    <xdr:to>
      <xdr:col>53</xdr:col>
      <xdr:colOff>11642</xdr:colOff>
      <xdr:row>89</xdr:row>
      <xdr:rowOff>106893</xdr:rowOff>
    </xdr:to>
    <xdr:pic>
      <xdr:nvPicPr>
        <xdr:cNvPr id="174" name="Imagen 1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4300" y="16899468"/>
          <a:ext cx="2571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107950</xdr:colOff>
      <xdr:row>85</xdr:row>
      <xdr:rowOff>118535</xdr:rowOff>
    </xdr:from>
    <xdr:to>
      <xdr:col>60</xdr:col>
      <xdr:colOff>68792</xdr:colOff>
      <xdr:row>86</xdr:row>
      <xdr:rowOff>89960</xdr:rowOff>
    </xdr:to>
    <xdr:pic>
      <xdr:nvPicPr>
        <xdr:cNvPr id="175" name="Imagen 17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58617" y="16311035"/>
          <a:ext cx="2571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143933</xdr:colOff>
      <xdr:row>85</xdr:row>
      <xdr:rowOff>122769</xdr:rowOff>
    </xdr:from>
    <xdr:to>
      <xdr:col>56</xdr:col>
      <xdr:colOff>104775</xdr:colOff>
      <xdr:row>86</xdr:row>
      <xdr:rowOff>94194</xdr:rowOff>
    </xdr:to>
    <xdr:pic>
      <xdr:nvPicPr>
        <xdr:cNvPr id="176" name="Imagen 17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01933" y="16315269"/>
          <a:ext cx="2571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63500</xdr:colOff>
      <xdr:row>85</xdr:row>
      <xdr:rowOff>127002</xdr:rowOff>
    </xdr:from>
    <xdr:to>
      <xdr:col>53</xdr:col>
      <xdr:colOff>24342</xdr:colOff>
      <xdr:row>86</xdr:row>
      <xdr:rowOff>98427</xdr:rowOff>
    </xdr:to>
    <xdr:pic>
      <xdr:nvPicPr>
        <xdr:cNvPr id="177" name="Imagen 17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0" y="16319502"/>
          <a:ext cx="2571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35984</xdr:colOff>
      <xdr:row>82</xdr:row>
      <xdr:rowOff>173569</xdr:rowOff>
    </xdr:from>
    <xdr:to>
      <xdr:col>52</xdr:col>
      <xdr:colOff>144992</xdr:colOff>
      <xdr:row>83</xdr:row>
      <xdr:rowOff>144994</xdr:rowOff>
    </xdr:to>
    <xdr:pic>
      <xdr:nvPicPr>
        <xdr:cNvPr id="178" name="Imagen 17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49484" y="15794569"/>
          <a:ext cx="2571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146051</xdr:colOff>
      <xdr:row>82</xdr:row>
      <xdr:rowOff>167219</xdr:rowOff>
    </xdr:from>
    <xdr:to>
      <xdr:col>56</xdr:col>
      <xdr:colOff>106893</xdr:colOff>
      <xdr:row>83</xdr:row>
      <xdr:rowOff>138644</xdr:rowOff>
    </xdr:to>
    <xdr:pic>
      <xdr:nvPicPr>
        <xdr:cNvPr id="179" name="Imagen 17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04051" y="15788219"/>
          <a:ext cx="2571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76200</xdr:colOff>
      <xdr:row>82</xdr:row>
      <xdr:rowOff>171452</xdr:rowOff>
    </xdr:from>
    <xdr:to>
      <xdr:col>60</xdr:col>
      <xdr:colOff>37042</xdr:colOff>
      <xdr:row>83</xdr:row>
      <xdr:rowOff>142877</xdr:rowOff>
    </xdr:to>
    <xdr:pic>
      <xdr:nvPicPr>
        <xdr:cNvPr id="180" name="Imagen 17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6867" y="15792452"/>
          <a:ext cx="2571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32</xdr:row>
      <xdr:rowOff>28575</xdr:rowOff>
    </xdr:from>
    <xdr:to>
      <xdr:col>2</xdr:col>
      <xdr:colOff>800100</xdr:colOff>
      <xdr:row>42</xdr:row>
      <xdr:rowOff>28575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5591175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33</xdr:row>
      <xdr:rowOff>9525</xdr:rowOff>
    </xdr:from>
    <xdr:to>
      <xdr:col>4</xdr:col>
      <xdr:colOff>0</xdr:colOff>
      <xdr:row>41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5734050"/>
          <a:ext cx="1343025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32</xdr:row>
      <xdr:rowOff>142875</xdr:rowOff>
    </xdr:from>
    <xdr:to>
      <xdr:col>4</xdr:col>
      <xdr:colOff>933450</xdr:colOff>
      <xdr:row>41</xdr:row>
      <xdr:rowOff>19050</xdr:rowOff>
    </xdr:to>
    <xdr:pic>
      <xdr:nvPicPr>
        <xdr:cNvPr id="4" name="Imagen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" y="5705475"/>
          <a:ext cx="857250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9524</xdr:rowOff>
    </xdr:from>
    <xdr:to>
      <xdr:col>6</xdr:col>
      <xdr:colOff>352425</xdr:colOff>
      <xdr:row>40</xdr:row>
      <xdr:rowOff>85724</xdr:rowOff>
    </xdr:to>
    <xdr:pic>
      <xdr:nvPicPr>
        <xdr:cNvPr id="5" name="Imagen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5734049"/>
          <a:ext cx="1390650" cy="1209675"/>
        </a:xfrm>
        <a:prstGeom prst="rect">
          <a:avLst/>
        </a:prstGeom>
      </xdr:spPr>
    </xdr:pic>
    <xdr:clientData/>
  </xdr:twoCellAnchor>
  <xdr:oneCellAnchor>
    <xdr:from>
      <xdr:col>4</xdr:col>
      <xdr:colOff>733425</xdr:colOff>
      <xdr:row>47</xdr:row>
      <xdr:rowOff>42861</xdr:rowOff>
    </xdr:from>
    <xdr:ext cx="1114425" cy="35464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1"/>
            <xdr:cNvSpPr txBox="1"/>
          </xdr:nvSpPr>
          <xdr:spPr>
            <a:xfrm>
              <a:off x="3019425" y="614361"/>
              <a:ext cx="1114425" cy="3546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b="0" i="1">
                        <a:latin typeface="Cambria Math" panose="02040503050406030204" pitchFamily="18" charset="0"/>
                      </a:rPr>
                      <m:t>𝑛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PE" sz="1100" b="0" i="1">
                            <a:latin typeface="Cambria Math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s-P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P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𝑍</m:t>
                            </m:r>
                          </m:e>
                          <m:sup>
                            <m:r>
                              <a:rPr lang="es-P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es-PE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PE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𝑃</m:t>
                        </m:r>
                        <m:r>
                          <a:rPr lang="es-PE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PE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𝑄</m:t>
                        </m:r>
                      </m:num>
                      <m:den>
                        <m:sSup>
                          <m:sSupPr>
                            <m:ctrlPr>
                              <a:rPr lang="es-PE" sz="1100" b="0" i="1">
                                <a:latin typeface="Cambria Math"/>
                              </a:rPr>
                            </m:ctrlPr>
                          </m:sSupPr>
                          <m:e>
                            <m:r>
                              <a:rPr lang="es-PE" sz="1100" b="0" i="1">
                                <a:latin typeface="Cambria Math" panose="02040503050406030204" pitchFamily="18" charset="0"/>
                              </a:rPr>
                              <m:t>𝑒</m:t>
                            </m:r>
                          </m:e>
                          <m:sup>
                            <m:r>
                              <a:rPr lang="es-PE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6" name="CuadroTexto 1"/>
            <xdr:cNvSpPr txBox="1"/>
          </xdr:nvSpPr>
          <xdr:spPr>
            <a:xfrm>
              <a:off x="3019425" y="614361"/>
              <a:ext cx="1114425" cy="3546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PE" sz="1100" b="0" i="0">
                  <a:latin typeface="Cambria Math" panose="02040503050406030204" pitchFamily="18" charset="0"/>
                </a:rPr>
                <a:t>𝑛=</a:t>
              </a:r>
              <a:r>
                <a:rPr lang="es-PE" sz="1100" b="0" i="0">
                  <a:latin typeface="Cambria Math"/>
                </a:rPr>
                <a:t>(</a:t>
              </a:r>
              <a:r>
                <a:rPr lang="es-PE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𝑍^2∗𝑃∗𝑄)/</a:t>
              </a:r>
              <a:r>
                <a:rPr lang="es-PE" sz="1100" b="0" i="0">
                  <a:latin typeface="Cambria Math" panose="02040503050406030204" pitchFamily="18" charset="0"/>
                </a:rPr>
                <a:t>𝑒</a:t>
              </a:r>
              <a:r>
                <a:rPr lang="es-PE" sz="1100" b="0" i="0">
                  <a:latin typeface="Cambria Math"/>
                </a:rPr>
                <a:t>^</a:t>
              </a:r>
              <a:r>
                <a:rPr lang="es-PE" sz="1100" b="0" i="0">
                  <a:latin typeface="Cambria Math" panose="02040503050406030204" pitchFamily="18" charset="0"/>
                </a:rPr>
                <a:t>2</a:t>
              </a:r>
              <a:r>
                <a:rPr lang="es-PE" sz="1100" b="0" i="0">
                  <a:latin typeface="Cambria Math"/>
                </a:rPr>
                <a:t> </a:t>
              </a:r>
              <a:endParaRPr lang="es-PE" sz="1100"/>
            </a:p>
          </xdr:txBody>
        </xdr:sp>
      </mc:Fallback>
    </mc:AlternateContent>
    <xdr:clientData/>
  </xdr:oneCellAnchor>
  <xdr:oneCellAnchor>
    <xdr:from>
      <xdr:col>2</xdr:col>
      <xdr:colOff>333375</xdr:colOff>
      <xdr:row>50</xdr:row>
      <xdr:rowOff>14287</xdr:rowOff>
    </xdr:from>
    <xdr:ext cx="174791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2"/>
            <xdr:cNvSpPr txBox="1"/>
          </xdr:nvSpPr>
          <xdr:spPr>
            <a:xfrm>
              <a:off x="1095375" y="1157287"/>
              <a:ext cx="174791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PE" sz="1100" i="1">
                            <a:latin typeface="Cambria Math"/>
                          </a:rPr>
                        </m:ctrlPr>
                      </m:sSupPr>
                      <m:e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p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7" name="CuadroTexto 2"/>
            <xdr:cNvSpPr txBox="1"/>
          </xdr:nvSpPr>
          <xdr:spPr>
            <a:xfrm>
              <a:off x="1095375" y="1157287"/>
              <a:ext cx="174791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PE" sz="1100" b="0" i="0">
                  <a:latin typeface="Cambria Math" panose="02040503050406030204" pitchFamily="18" charset="0"/>
                </a:rPr>
                <a:t>𝑒</a:t>
              </a:r>
              <a:r>
                <a:rPr lang="es-PE" sz="1100" b="0" i="0">
                  <a:latin typeface="Cambria Math"/>
                </a:rPr>
                <a:t>^</a:t>
              </a:r>
              <a:r>
                <a:rPr lang="es-PE" sz="1100" b="0" i="0">
                  <a:latin typeface="Cambria Math" panose="02040503050406030204" pitchFamily="18" charset="0"/>
                </a:rPr>
                <a:t>2</a:t>
              </a:r>
              <a:endParaRPr lang="es-PE" sz="1100"/>
            </a:p>
          </xdr:txBody>
        </xdr:sp>
      </mc:Fallback>
    </mc:AlternateContent>
    <xdr:clientData/>
  </xdr:oneCellAnchor>
  <xdr:oneCellAnchor>
    <xdr:from>
      <xdr:col>4</xdr:col>
      <xdr:colOff>752475</xdr:colOff>
      <xdr:row>49</xdr:row>
      <xdr:rowOff>171450</xdr:rowOff>
    </xdr:from>
    <xdr:ext cx="1847850" cy="34368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3"/>
            <xdr:cNvSpPr txBox="1"/>
          </xdr:nvSpPr>
          <xdr:spPr>
            <a:xfrm>
              <a:off x="3038475" y="1123950"/>
              <a:ext cx="1847850" cy="3436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PE" sz="1400" b="0" i="1">
                      <a:latin typeface="Cambria Math" panose="02040503050406030204" pitchFamily="18" charset="0"/>
                    </a:rPr>
                    <m:t>𝑛</m:t>
                  </m:r>
                  <m:r>
                    <a:rPr lang="es-PE" sz="14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PE" sz="1400" b="0" i="1">
                          <a:latin typeface="Cambria Math"/>
                        </a:rPr>
                      </m:ctrlPr>
                    </m:fPr>
                    <m:num>
                      <m:sSup>
                        <m:sSupPr>
                          <m:ctrlPr>
                            <a:rPr lang="es-PE" sz="14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PE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1.96</m:t>
                          </m:r>
                        </m:e>
                        <m:sup>
                          <m:r>
                            <a:rPr lang="es-PE" sz="14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PE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s-PE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0.5</m:t>
                      </m:r>
                      <m:r>
                        <a:rPr lang="es-PE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s-PE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0.5</m:t>
                      </m:r>
                    </m:num>
                    <m:den>
                      <m:sSup>
                        <m:sSupPr>
                          <m:ctrlPr>
                            <a:rPr lang="es-PE" sz="1400" b="0" i="1">
                              <a:latin typeface="Cambria Math"/>
                            </a:rPr>
                          </m:ctrlPr>
                        </m:sSupPr>
                        <m:e>
                          <m:r>
                            <a:rPr lang="es-PE" sz="1400" b="0" i="1">
                              <a:latin typeface="Cambria Math" panose="02040503050406030204" pitchFamily="18" charset="0"/>
                            </a:rPr>
                            <m:t>0.05</m:t>
                          </m:r>
                        </m:e>
                        <m:sup>
                          <m:r>
                            <a:rPr lang="es-PE" sz="14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den>
                  </m:f>
                </m:oMath>
              </a14:m>
              <a:r>
                <a:rPr lang="es-PE" sz="1400"/>
                <a:t>=384.16</a:t>
              </a:r>
            </a:p>
          </xdr:txBody>
        </xdr:sp>
      </mc:Choice>
      <mc:Fallback xmlns="">
        <xdr:sp macro="" textlink="">
          <xdr:nvSpPr>
            <xdr:cNvPr id="8" name="CuadroTexto 3"/>
            <xdr:cNvSpPr txBox="1"/>
          </xdr:nvSpPr>
          <xdr:spPr>
            <a:xfrm>
              <a:off x="3038475" y="1123950"/>
              <a:ext cx="1847850" cy="3436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PE" sz="1400" b="0" i="0">
                  <a:latin typeface="Cambria Math" panose="02040503050406030204" pitchFamily="18" charset="0"/>
                </a:rPr>
                <a:t>𝑛=</a:t>
              </a:r>
              <a:r>
                <a:rPr lang="es-PE" sz="1400" b="0" i="0">
                  <a:latin typeface="Cambria Math"/>
                </a:rPr>
                <a:t>(</a:t>
              </a:r>
              <a:r>
                <a:rPr lang="es-PE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</a:t>
              </a:r>
              <a:r>
                <a:rPr lang="es-PE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1.96</a:t>
              </a:r>
              <a:r>
                <a:rPr lang="es-PE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〗^2∗</a:t>
              </a:r>
              <a:r>
                <a:rPr lang="es-PE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0.5</a:t>
              </a:r>
              <a:r>
                <a:rPr lang="es-PE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s-PE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0.5</a:t>
              </a:r>
              <a:r>
                <a:rPr lang="es-PE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)/〖</a:t>
              </a:r>
              <a:r>
                <a:rPr lang="es-PE" sz="1400" b="0" i="0">
                  <a:latin typeface="Cambria Math" panose="02040503050406030204" pitchFamily="18" charset="0"/>
                </a:rPr>
                <a:t>0.05</a:t>
              </a:r>
              <a:r>
                <a:rPr lang="es-PE" sz="1400" b="0" i="0">
                  <a:latin typeface="Cambria Math"/>
                </a:rPr>
                <a:t>〗^</a:t>
              </a:r>
              <a:r>
                <a:rPr lang="es-PE" sz="1400" b="0" i="0">
                  <a:latin typeface="Cambria Math" panose="02040503050406030204" pitchFamily="18" charset="0"/>
                </a:rPr>
                <a:t>2</a:t>
              </a:r>
              <a:r>
                <a:rPr lang="es-PE" sz="1400" b="0" i="0">
                  <a:latin typeface="Cambria Math"/>
                </a:rPr>
                <a:t> </a:t>
              </a:r>
              <a:r>
                <a:rPr lang="es-PE" sz="1400"/>
                <a:t>=384.16</a:t>
              </a: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400051</xdr:colOff>
      <xdr:row>12</xdr:row>
      <xdr:rowOff>67663</xdr:rowOff>
    </xdr:from>
    <xdr:to>
      <xdr:col>8</xdr:col>
      <xdr:colOff>316034</xdr:colOff>
      <xdr:row>17</xdr:row>
      <xdr:rowOff>32038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2010763"/>
          <a:ext cx="677983" cy="77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400050</xdr:colOff>
      <xdr:row>1</xdr:row>
      <xdr:rowOff>38100</xdr:rowOff>
    </xdr:from>
    <xdr:to>
      <xdr:col>8</xdr:col>
      <xdr:colOff>394367</xdr:colOff>
      <xdr:row>8</xdr:row>
      <xdr:rowOff>133349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00025"/>
          <a:ext cx="756317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4</xdr:row>
      <xdr:rowOff>161924</xdr:rowOff>
    </xdr:from>
    <xdr:to>
      <xdr:col>5</xdr:col>
      <xdr:colOff>638175</xdr:colOff>
      <xdr:row>16</xdr:row>
      <xdr:rowOff>157161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161925</xdr:colOff>
      <xdr:row>4</xdr:row>
      <xdr:rowOff>185737</xdr:rowOff>
    </xdr:from>
    <xdr:to>
      <xdr:col>11</xdr:col>
      <xdr:colOff>362325</xdr:colOff>
      <xdr:row>16</xdr:row>
      <xdr:rowOff>182137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152400</xdr:colOff>
      <xdr:row>18</xdr:row>
      <xdr:rowOff>157162</xdr:rowOff>
    </xdr:from>
    <xdr:to>
      <xdr:col>12</xdr:col>
      <xdr:colOff>352800</xdr:colOff>
      <xdr:row>30</xdr:row>
      <xdr:rowOff>153562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76199</xdr:colOff>
      <xdr:row>32</xdr:row>
      <xdr:rowOff>4762</xdr:rowOff>
    </xdr:from>
    <xdr:to>
      <xdr:col>10</xdr:col>
      <xdr:colOff>542925</xdr:colOff>
      <xdr:row>44</xdr:row>
      <xdr:rowOff>1162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171450</xdr:colOff>
      <xdr:row>45</xdr:row>
      <xdr:rowOff>47625</xdr:rowOff>
    </xdr:from>
    <xdr:to>
      <xdr:col>10</xdr:col>
      <xdr:colOff>638176</xdr:colOff>
      <xdr:row>57</xdr:row>
      <xdr:rowOff>44025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723900</xdr:colOff>
      <xdr:row>63</xdr:row>
      <xdr:rowOff>152400</xdr:rowOff>
    </xdr:from>
    <xdr:to>
      <xdr:col>9</xdr:col>
      <xdr:colOff>162300</xdr:colOff>
      <xdr:row>75</xdr:row>
      <xdr:rowOff>148800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83</xdr:row>
      <xdr:rowOff>0</xdr:rowOff>
    </xdr:from>
    <xdr:to>
      <xdr:col>9</xdr:col>
      <xdr:colOff>200400</xdr:colOff>
      <xdr:row>94</xdr:row>
      <xdr:rowOff>186900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101</xdr:row>
      <xdr:rowOff>0</xdr:rowOff>
    </xdr:from>
    <xdr:to>
      <xdr:col>9</xdr:col>
      <xdr:colOff>200400</xdr:colOff>
      <xdr:row>112</xdr:row>
      <xdr:rowOff>186900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685800</xdr:colOff>
      <xdr:row>117</xdr:row>
      <xdr:rowOff>180975</xdr:rowOff>
    </xdr:from>
    <xdr:to>
      <xdr:col>9</xdr:col>
      <xdr:colOff>124200</xdr:colOff>
      <xdr:row>129</xdr:row>
      <xdr:rowOff>177375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1303084</xdr:colOff>
      <xdr:row>91</xdr:row>
      <xdr:rowOff>79961</xdr:rowOff>
    </xdr:from>
    <xdr:to>
      <xdr:col>6</xdr:col>
      <xdr:colOff>434408</xdr:colOff>
      <xdr:row>100</xdr:row>
      <xdr:rowOff>60948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246531</xdr:colOff>
      <xdr:row>42</xdr:row>
      <xdr:rowOff>1120</xdr:rowOff>
    </xdr:from>
    <xdr:to>
      <xdr:col>13</xdr:col>
      <xdr:colOff>200402</xdr:colOff>
      <xdr:row>52</xdr:row>
      <xdr:rowOff>244050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257736</xdr:colOff>
      <xdr:row>54</xdr:row>
      <xdr:rowOff>11206</xdr:rowOff>
    </xdr:from>
    <xdr:to>
      <xdr:col>13</xdr:col>
      <xdr:colOff>211607</xdr:colOff>
      <xdr:row>64</xdr:row>
      <xdr:rowOff>242930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324971</xdr:colOff>
      <xdr:row>54</xdr:row>
      <xdr:rowOff>22412</xdr:rowOff>
    </xdr:from>
    <xdr:to>
      <xdr:col>18</xdr:col>
      <xdr:colOff>773205</xdr:colOff>
      <xdr:row>65</xdr:row>
      <xdr:rowOff>22411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806824</xdr:colOff>
      <xdr:row>90</xdr:row>
      <xdr:rowOff>22412</xdr:rowOff>
    </xdr:from>
    <xdr:to>
      <xdr:col>9</xdr:col>
      <xdr:colOff>166408</xdr:colOff>
      <xdr:row>100</xdr:row>
      <xdr:rowOff>174530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381000</xdr:colOff>
      <xdr:row>107</xdr:row>
      <xdr:rowOff>100854</xdr:rowOff>
    </xdr:from>
    <xdr:to>
      <xdr:col>6</xdr:col>
      <xdr:colOff>760694</xdr:colOff>
      <xdr:row>119</xdr:row>
      <xdr:rowOff>31139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1</xdr:row>
      <xdr:rowOff>19049</xdr:rowOff>
    </xdr:from>
    <xdr:to>
      <xdr:col>9</xdr:col>
      <xdr:colOff>781050</xdr:colOff>
      <xdr:row>13</xdr:row>
      <xdr:rowOff>28575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69</xdr:row>
      <xdr:rowOff>100853</xdr:rowOff>
    </xdr:from>
    <xdr:to>
      <xdr:col>17</xdr:col>
      <xdr:colOff>962025</xdr:colOff>
      <xdr:row>80</xdr:row>
      <xdr:rowOff>40061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324970</xdr:colOff>
      <xdr:row>13</xdr:row>
      <xdr:rowOff>156883</xdr:rowOff>
    </xdr:from>
    <xdr:to>
      <xdr:col>7</xdr:col>
      <xdr:colOff>1286995</xdr:colOff>
      <xdr:row>25</xdr:row>
      <xdr:rowOff>163326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918884</xdr:colOff>
      <xdr:row>82</xdr:row>
      <xdr:rowOff>145676</xdr:rowOff>
    </xdr:from>
    <xdr:to>
      <xdr:col>16</xdr:col>
      <xdr:colOff>1354607</xdr:colOff>
      <xdr:row>95</xdr:row>
      <xdr:rowOff>18812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291353</xdr:colOff>
      <xdr:row>27</xdr:row>
      <xdr:rowOff>123265</xdr:rowOff>
    </xdr:from>
    <xdr:to>
      <xdr:col>7</xdr:col>
      <xdr:colOff>1253378</xdr:colOff>
      <xdr:row>38</xdr:row>
      <xdr:rowOff>152120</xdr:rowOff>
    </xdr:to>
    <xdr:graphicFrame macro="">
      <xdr:nvGraphicFramePr>
        <xdr:cNvPr id="8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56029</xdr:colOff>
      <xdr:row>70</xdr:row>
      <xdr:rowOff>89648</xdr:rowOff>
    </xdr:from>
    <xdr:to>
      <xdr:col>10</xdr:col>
      <xdr:colOff>1074084</xdr:colOff>
      <xdr:row>81</xdr:row>
      <xdr:rowOff>28856</xdr:rowOff>
    </xdr:to>
    <xdr:graphicFrame macro="">
      <xdr:nvGraphicFramePr>
        <xdr:cNvPr id="11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54429</xdr:colOff>
      <xdr:row>6</xdr:row>
      <xdr:rowOff>0</xdr:rowOff>
    </xdr:from>
    <xdr:to>
      <xdr:col>20</xdr:col>
      <xdr:colOff>324971</xdr:colOff>
      <xdr:row>18</xdr:row>
      <xdr:rowOff>67235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3126445</xdr:colOff>
      <xdr:row>8</xdr:row>
      <xdr:rowOff>11207</xdr:rowOff>
    </xdr:from>
    <xdr:to>
      <xdr:col>22</xdr:col>
      <xdr:colOff>1221442</xdr:colOff>
      <xdr:row>16</xdr:row>
      <xdr:rowOff>234199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1136599</xdr:colOff>
      <xdr:row>9</xdr:row>
      <xdr:rowOff>40821</xdr:rowOff>
    </xdr:from>
    <xdr:to>
      <xdr:col>22</xdr:col>
      <xdr:colOff>2598965</xdr:colOff>
      <xdr:row>15</xdr:row>
      <xdr:rowOff>130150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2207559</xdr:colOff>
      <xdr:row>9</xdr:row>
      <xdr:rowOff>133350</xdr:rowOff>
    </xdr:from>
    <xdr:to>
      <xdr:col>21</xdr:col>
      <xdr:colOff>333375</xdr:colOff>
      <xdr:row>13</xdr:row>
      <xdr:rowOff>56031</xdr:rowOff>
    </xdr:to>
    <xdr:cxnSp macro="">
      <xdr:nvCxnSpPr>
        <xdr:cNvPr id="7" name="Conector recto 6"/>
        <xdr:cNvCxnSpPr/>
      </xdr:nvCxnSpPr>
      <xdr:spPr>
        <a:xfrm flipV="1">
          <a:off x="18628659" y="1885950"/>
          <a:ext cx="2202516" cy="88470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2207559</xdr:colOff>
      <xdr:row>13</xdr:row>
      <xdr:rowOff>56029</xdr:rowOff>
    </xdr:from>
    <xdr:to>
      <xdr:col>20</xdr:col>
      <xdr:colOff>720587</xdr:colOff>
      <xdr:row>13</xdr:row>
      <xdr:rowOff>157370</xdr:rowOff>
    </xdr:to>
    <xdr:cxnSp macro="">
      <xdr:nvCxnSpPr>
        <xdr:cNvPr id="8" name="Conector recto 7"/>
        <xdr:cNvCxnSpPr/>
      </xdr:nvCxnSpPr>
      <xdr:spPr>
        <a:xfrm>
          <a:off x="18640255" y="2797572"/>
          <a:ext cx="1826071" cy="10134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721659</xdr:colOff>
      <xdr:row>10</xdr:row>
      <xdr:rowOff>152400</xdr:rowOff>
    </xdr:from>
    <xdr:to>
      <xdr:col>22</xdr:col>
      <xdr:colOff>1562100</xdr:colOff>
      <xdr:row>12</xdr:row>
      <xdr:rowOff>75082</xdr:rowOff>
    </xdr:to>
    <xdr:cxnSp macro="">
      <xdr:nvCxnSpPr>
        <xdr:cNvPr id="22" name="Conector recto 21"/>
        <xdr:cNvCxnSpPr/>
      </xdr:nvCxnSpPr>
      <xdr:spPr>
        <a:xfrm flipV="1">
          <a:off x="21219459" y="2143125"/>
          <a:ext cx="1602441" cy="48465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742950</xdr:colOff>
      <xdr:row>12</xdr:row>
      <xdr:rowOff>76200</xdr:rowOff>
    </xdr:from>
    <xdr:to>
      <xdr:col>22</xdr:col>
      <xdr:colOff>1524000</xdr:colOff>
      <xdr:row>13</xdr:row>
      <xdr:rowOff>38100</xdr:rowOff>
    </xdr:to>
    <xdr:cxnSp macro="">
      <xdr:nvCxnSpPr>
        <xdr:cNvPr id="25" name="Conector recto 24"/>
        <xdr:cNvCxnSpPr/>
      </xdr:nvCxnSpPr>
      <xdr:spPr>
        <a:xfrm>
          <a:off x="21240750" y="2628900"/>
          <a:ext cx="1543050" cy="1238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1476375</xdr:colOff>
      <xdr:row>15</xdr:row>
      <xdr:rowOff>38100</xdr:rowOff>
    </xdr:from>
    <xdr:to>
      <xdr:col>22</xdr:col>
      <xdr:colOff>2119078</xdr:colOff>
      <xdr:row>16</xdr:row>
      <xdr:rowOff>57032</xdr:rowOff>
    </xdr:to>
    <xdr:sp macro="" textlink="">
      <xdr:nvSpPr>
        <xdr:cNvPr id="28" name="CuadroTexto 1"/>
        <xdr:cNvSpPr txBox="1"/>
      </xdr:nvSpPr>
      <xdr:spPr>
        <a:xfrm>
          <a:off x="22736175" y="3076575"/>
          <a:ext cx="642703" cy="180857"/>
        </a:xfrm>
        <a:prstGeom prst="rect">
          <a:avLst/>
        </a:prstGeom>
        <a:ln>
          <a:noFill/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PE" sz="900">
              <a:latin typeface="Arial" panose="020B0604020202020204" pitchFamily="34" charset="0"/>
              <a:cs typeface="Arial" panose="020B0604020202020204" pitchFamily="34" charset="0"/>
            </a:rPr>
            <a:t>% Otros</a:t>
          </a:r>
        </a:p>
      </xdr:txBody>
    </xdr:sp>
    <xdr:clientData/>
  </xdr:twoCellAnchor>
  <xdr:twoCellAnchor>
    <xdr:from>
      <xdr:col>22</xdr:col>
      <xdr:colOff>1571625</xdr:colOff>
      <xdr:row>8</xdr:row>
      <xdr:rowOff>28575</xdr:rowOff>
    </xdr:from>
    <xdr:to>
      <xdr:col>22</xdr:col>
      <xdr:colOff>2360759</xdr:colOff>
      <xdr:row>9</xdr:row>
      <xdr:rowOff>5742</xdr:rowOff>
    </xdr:to>
    <xdr:sp macro="" textlink="">
      <xdr:nvSpPr>
        <xdr:cNvPr id="29" name="CuadroTexto 1"/>
        <xdr:cNvSpPr txBox="1"/>
      </xdr:nvSpPr>
      <xdr:spPr>
        <a:xfrm>
          <a:off x="22831425" y="1619250"/>
          <a:ext cx="789134" cy="139092"/>
        </a:xfrm>
        <a:prstGeom prst="rect">
          <a:avLst/>
        </a:prstGeom>
        <a:ln>
          <a:noFill/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PE" sz="900">
              <a:latin typeface="Arial" panose="020B0604020202020204" pitchFamily="34" charset="0"/>
              <a:cs typeface="Arial" panose="020B0604020202020204" pitchFamily="34" charset="0"/>
            </a:rPr>
            <a:t>% Proyecto</a:t>
          </a:r>
        </a:p>
      </xdr:txBody>
    </xdr:sp>
    <xdr:clientData/>
  </xdr:twoCellAnchor>
  <xdr:twoCellAnchor>
    <xdr:from>
      <xdr:col>21</xdr:col>
      <xdr:colOff>619125</xdr:colOff>
      <xdr:row>5</xdr:row>
      <xdr:rowOff>123825</xdr:rowOff>
    </xdr:from>
    <xdr:to>
      <xdr:col>22</xdr:col>
      <xdr:colOff>951211</xdr:colOff>
      <xdr:row>9</xdr:row>
      <xdr:rowOff>74267</xdr:rowOff>
    </xdr:to>
    <xdr:sp macro="" textlink="">
      <xdr:nvSpPr>
        <xdr:cNvPr id="30" name="CuadroTexto 1"/>
        <xdr:cNvSpPr txBox="1"/>
      </xdr:nvSpPr>
      <xdr:spPr>
        <a:xfrm>
          <a:off x="21116925" y="1333500"/>
          <a:ext cx="1094086" cy="493367"/>
        </a:xfrm>
        <a:prstGeom prst="rect">
          <a:avLst/>
        </a:prstGeom>
        <a:ln>
          <a:noFill/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PE" sz="900">
              <a:latin typeface="Arial" panose="020B0604020202020204" pitchFamily="34" charset="0"/>
              <a:cs typeface="Arial" panose="020B0604020202020204" pitchFamily="34" charset="0"/>
            </a:rPr>
            <a:t>% Personas que gustan</a:t>
          </a:r>
          <a:r>
            <a:rPr lang="es-PE" sz="900" baseline="0">
              <a:latin typeface="Arial" panose="020B0604020202020204" pitchFamily="34" charset="0"/>
              <a:cs typeface="Arial" panose="020B0604020202020204" pitchFamily="34" charset="0"/>
            </a:rPr>
            <a:t> de los 4 sabores ofrecidos</a:t>
          </a:r>
          <a:endParaRPr lang="es-PE" sz="9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57150</xdr:colOff>
      <xdr:row>6</xdr:row>
      <xdr:rowOff>9525</xdr:rowOff>
    </xdr:from>
    <xdr:to>
      <xdr:col>19</xdr:col>
      <xdr:colOff>1442211</xdr:colOff>
      <xdr:row>10</xdr:row>
      <xdr:rowOff>92419</xdr:rowOff>
    </xdr:to>
    <xdr:sp macro="" textlink="">
      <xdr:nvSpPr>
        <xdr:cNvPr id="31" name="CuadroTexto 1"/>
        <xdr:cNvSpPr txBox="1"/>
      </xdr:nvSpPr>
      <xdr:spPr>
        <a:xfrm>
          <a:off x="16478250" y="1409700"/>
          <a:ext cx="1385061" cy="673444"/>
        </a:xfrm>
        <a:prstGeom prst="rect">
          <a:avLst/>
        </a:prstGeom>
        <a:ln>
          <a:noFill/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PE" sz="900">
              <a:latin typeface="Arial" panose="020B0604020202020204" pitchFamily="34" charset="0"/>
              <a:cs typeface="Arial" panose="020B0604020202020204" pitchFamily="34" charset="0"/>
            </a:rPr>
            <a:t>% Personas que no desean consumir el néctar de Aloe Vera</a:t>
          </a:r>
        </a:p>
      </xdr:txBody>
    </xdr:sp>
    <xdr:clientData/>
  </xdr:twoCellAnchor>
  <xdr:twoCellAnchor>
    <xdr:from>
      <xdr:col>19</xdr:col>
      <xdr:colOff>2190751</xdr:colOff>
      <xdr:row>17</xdr:row>
      <xdr:rowOff>9525</xdr:rowOff>
    </xdr:from>
    <xdr:to>
      <xdr:col>20</xdr:col>
      <xdr:colOff>180975</xdr:colOff>
      <xdr:row>19</xdr:row>
      <xdr:rowOff>0</xdr:rowOff>
    </xdr:to>
    <xdr:sp macro="" textlink="">
      <xdr:nvSpPr>
        <xdr:cNvPr id="32" name="CuadroTexto 1"/>
        <xdr:cNvSpPr txBox="1"/>
      </xdr:nvSpPr>
      <xdr:spPr>
        <a:xfrm>
          <a:off x="18611851" y="3457575"/>
          <a:ext cx="1304924" cy="514350"/>
        </a:xfrm>
        <a:prstGeom prst="rect">
          <a:avLst/>
        </a:prstGeom>
        <a:ln>
          <a:noFill/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PE" sz="900">
              <a:latin typeface="Arial" panose="020B0604020202020204" pitchFamily="34" charset="0"/>
              <a:cs typeface="Arial" panose="020B0604020202020204" pitchFamily="34" charset="0"/>
            </a:rPr>
            <a:t>% Personas que</a:t>
          </a:r>
          <a:r>
            <a:rPr lang="es-PE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PE" sz="900">
              <a:latin typeface="Arial" panose="020B0604020202020204" pitchFamily="34" charset="0"/>
              <a:cs typeface="Arial" panose="020B0604020202020204" pitchFamily="34" charset="0"/>
            </a:rPr>
            <a:t>desean consumir el néctar de Aloe Vera</a:t>
          </a:r>
        </a:p>
      </xdr:txBody>
    </xdr:sp>
    <xdr:clientData/>
  </xdr:twoCellAnchor>
  <xdr:twoCellAnchor>
    <xdr:from>
      <xdr:col>7</xdr:col>
      <xdr:colOff>1115785</xdr:colOff>
      <xdr:row>33</xdr:row>
      <xdr:rowOff>54428</xdr:rowOff>
    </xdr:from>
    <xdr:to>
      <xdr:col>10</xdr:col>
      <xdr:colOff>594632</xdr:colOff>
      <xdr:row>47</xdr:row>
      <xdr:rowOff>49665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0.37066</cdr:y>
    </cdr:from>
    <cdr:to>
      <cdr:x>0.34351</cdr:x>
      <cdr:y>0.6296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0" y="627369"/>
          <a:ext cx="981579" cy="43827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E" sz="900">
              <a:latin typeface="Arial" panose="020B0604020202020204" pitchFamily="34" charset="0"/>
              <a:cs typeface="Arial" panose="020B0604020202020204" pitchFamily="34" charset="0"/>
            </a:rPr>
            <a:t>% Personas que gustan</a:t>
          </a:r>
          <a:r>
            <a:rPr lang="es-PE" sz="900" baseline="0">
              <a:latin typeface="Arial" panose="020B0604020202020204" pitchFamily="34" charset="0"/>
              <a:cs typeface="Arial" panose="020B0604020202020204" pitchFamily="34" charset="0"/>
            </a:rPr>
            <a:t> de otros sabores</a:t>
          </a:r>
          <a:endParaRPr lang="es-PE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211667</xdr:colOff>
      <xdr:row>10</xdr:row>
      <xdr:rowOff>138639</xdr:rowOff>
    </xdr:from>
    <xdr:to>
      <xdr:col>14</xdr:col>
      <xdr:colOff>869949</xdr:colOff>
      <xdr:row>20</xdr:row>
      <xdr:rowOff>139699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1054100</xdr:colOff>
      <xdr:row>16</xdr:row>
      <xdr:rowOff>165100</xdr:rowOff>
    </xdr:from>
    <xdr:to>
      <xdr:col>6</xdr:col>
      <xdr:colOff>1292225</xdr:colOff>
      <xdr:row>28</xdr:row>
      <xdr:rowOff>160337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mek.com.co/productos/equipos-para-frutas/marmita-20-gal-detail.html" TargetMode="External"/><Relationship Id="rId3" Type="http://schemas.openxmlformats.org/officeDocument/2006/relationships/hyperlink" Target="https://www.balanzasdigitales.com/plataformas/124-balanza-plataforma-multiusos-tkm150m.html" TargetMode="External"/><Relationship Id="rId7" Type="http://schemas.openxmlformats.org/officeDocument/2006/relationships/hyperlink" Target="https://logismarketmx.cdnwm.com/ip/maquinaria-jersa-lavadoras-ficha-tecnica-lavadora-tipo-inmersion-834717.pdf" TargetMode="External"/><Relationship Id="rId2" Type="http://schemas.openxmlformats.org/officeDocument/2006/relationships/hyperlink" Target="http://articulo.mercadolibre.com.mx/MLM-556348359-termometro-digital-de-sonda-para-cocina-alimentos-liquidos-_JM" TargetMode="External"/><Relationship Id="rId1" Type="http://schemas.openxmlformats.org/officeDocument/2006/relationships/hyperlink" Target="http://articulo.mercadolibre.com.pe/MPE-419170960-balanza-digital-gramera-electronica-cocina-5kg-pantalla-luz-_JM" TargetMode="External"/><Relationship Id="rId6" Type="http://schemas.openxmlformats.org/officeDocument/2006/relationships/hyperlink" Target="http://www.astimec.net/llenadora-de-botellas.html" TargetMode="External"/><Relationship Id="rId11" Type="http://schemas.openxmlformats.org/officeDocument/2006/relationships/drawing" Target="../drawings/drawing12.xml"/><Relationship Id="rId5" Type="http://schemas.openxmlformats.org/officeDocument/2006/relationships/hyperlink" Target="http://www.jmcubillas.com/maquinariaenologica/etiquetadoras-manuales.html" TargetMode="External"/><Relationship Id="rId10" Type="http://schemas.openxmlformats.org/officeDocument/2006/relationships/printerSettings" Target="../printerSettings/printerSettings11.bin"/><Relationship Id="rId4" Type="http://schemas.openxmlformats.org/officeDocument/2006/relationships/hyperlink" Target="http://www.labotienda.com/es/productos-laboratorio/refractometro-atc-0-32-brix/" TargetMode="External"/><Relationship Id="rId9" Type="http://schemas.openxmlformats.org/officeDocument/2006/relationships/hyperlink" Target="http://cafequipos.com/catalogos/LAR-25PMB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reasury.gov/resource-center/data-chart-center/interest-rates/Pages/TextView.aspx?data=yieldYear&amp;year=2017" TargetMode="External"/><Relationship Id="rId2" Type="http://schemas.openxmlformats.org/officeDocument/2006/relationships/hyperlink" Target="http://www.ambito.com/economia/mercados/riesgo-pais/info/?id=13" TargetMode="External"/><Relationship Id="rId1" Type="http://schemas.openxmlformats.org/officeDocument/2006/relationships/hyperlink" Target="http://pages.stern.nyu.edu/~adamodar/New_Home_Page/datafile/Betas.html" TargetMode="External"/><Relationship Id="rId5" Type="http://schemas.openxmlformats.org/officeDocument/2006/relationships/hyperlink" Target="http://www.crediscotia.com.pe/Negocios/Creditos/Productos/linea-capital-de-trabajo" TargetMode="External"/><Relationship Id="rId4" Type="http://schemas.openxmlformats.org/officeDocument/2006/relationships/hyperlink" Target="http://papers.ssrn.com/sol3/papers.cfm?abstract_id=2084213%3e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0"/>
  <sheetViews>
    <sheetView workbookViewId="0">
      <selection activeCell="J3" sqref="J3"/>
    </sheetView>
  </sheetViews>
  <sheetFormatPr baseColWidth="10" defaultColWidth="10.85546875" defaultRowHeight="12.75" x14ac:dyDescent="0.2"/>
  <cols>
    <col min="1" max="2" width="10.85546875" style="452"/>
    <col min="3" max="3" width="5.42578125" style="452" bestFit="1" customWidth="1"/>
    <col min="4" max="4" width="16.42578125" style="452" bestFit="1" customWidth="1"/>
    <col min="5" max="9" width="10.85546875" style="452"/>
    <col min="10" max="10" width="28.42578125" style="452" bestFit="1" customWidth="1"/>
    <col min="11" max="11" width="34.42578125" style="452" bestFit="1" customWidth="1"/>
    <col min="12" max="16384" width="10.85546875" style="452"/>
  </cols>
  <sheetData>
    <row r="2" spans="2:11" x14ac:dyDescent="0.2">
      <c r="C2" s="453" t="s">
        <v>22</v>
      </c>
      <c r="D2" s="453" t="s">
        <v>156</v>
      </c>
      <c r="F2" s="453" t="s">
        <v>78</v>
      </c>
      <c r="G2" s="453" t="s">
        <v>75</v>
      </c>
    </row>
    <row r="3" spans="2:11" x14ac:dyDescent="0.2">
      <c r="B3" s="454"/>
      <c r="C3" s="453">
        <v>2012</v>
      </c>
      <c r="D3" s="455">
        <f>H3</f>
        <v>9450585</v>
      </c>
      <c r="F3" s="455">
        <v>8481415</v>
      </c>
      <c r="G3" s="455">
        <v>969170</v>
      </c>
      <c r="H3" s="455">
        <f>F3+G3</f>
        <v>9450585</v>
      </c>
      <c r="J3" s="456" t="s">
        <v>175</v>
      </c>
      <c r="K3" s="456" t="s">
        <v>176</v>
      </c>
    </row>
    <row r="4" spans="2:11" x14ac:dyDescent="0.2">
      <c r="B4" s="457">
        <f t="shared" ref="B4" si="0">(D4-D3)/D3</f>
        <v>1.5822195133952024E-2</v>
      </c>
      <c r="C4" s="453">
        <v>2013</v>
      </c>
      <c r="D4" s="455">
        <f>H4</f>
        <v>9600114</v>
      </c>
      <c r="F4" s="455">
        <v>8617314</v>
      </c>
      <c r="G4" s="455">
        <v>982800</v>
      </c>
      <c r="H4" s="455">
        <f>F4+G4</f>
        <v>9600114</v>
      </c>
      <c r="J4" s="453" t="s">
        <v>177</v>
      </c>
      <c r="K4" s="453" t="s">
        <v>185</v>
      </c>
    </row>
    <row r="5" spans="2:11" x14ac:dyDescent="0.2">
      <c r="B5" s="457">
        <f>(D5-D4)/D4</f>
        <v>1.5791791639140951E-2</v>
      </c>
      <c r="C5" s="453">
        <v>2014</v>
      </c>
      <c r="D5" s="455">
        <f>H5</f>
        <v>9751717</v>
      </c>
      <c r="F5" s="455">
        <v>8751741</v>
      </c>
      <c r="G5" s="455">
        <v>999976</v>
      </c>
      <c r="H5" s="455">
        <f>F5+G5</f>
        <v>9751717</v>
      </c>
      <c r="J5" s="453" t="s">
        <v>178</v>
      </c>
      <c r="K5" s="453" t="s">
        <v>186</v>
      </c>
    </row>
    <row r="6" spans="2:11" x14ac:dyDescent="0.2">
      <c r="B6" s="457">
        <f>(D6-D5)/D5</f>
        <v>1.5690570183691754E-2</v>
      </c>
      <c r="C6" s="453">
        <v>2015</v>
      </c>
      <c r="D6" s="455">
        <f>H6</f>
        <v>9904727</v>
      </c>
      <c r="F6" s="455">
        <v>8890792</v>
      </c>
      <c r="G6" s="455">
        <v>1013935</v>
      </c>
      <c r="H6" s="455">
        <f>F6+G6</f>
        <v>9904727</v>
      </c>
      <c r="J6" s="453" t="s">
        <v>179</v>
      </c>
      <c r="K6" s="453" t="s">
        <v>187</v>
      </c>
    </row>
    <row r="7" spans="2:11" x14ac:dyDescent="0.2">
      <c r="B7" s="457">
        <f>(D7-D6)/D6</f>
        <v>2.3293120547391161E-2</v>
      </c>
      <c r="C7" s="453">
        <v>2016</v>
      </c>
      <c r="D7" s="455">
        <f>H7</f>
        <v>10135439</v>
      </c>
      <c r="F7" s="455">
        <v>9111000</v>
      </c>
      <c r="G7" s="455">
        <v>1024439</v>
      </c>
      <c r="H7" s="455">
        <f>F7+G7</f>
        <v>10135439</v>
      </c>
      <c r="J7" s="453" t="s">
        <v>180</v>
      </c>
      <c r="K7" s="453" t="s">
        <v>188</v>
      </c>
    </row>
    <row r="8" spans="2:11" x14ac:dyDescent="0.2">
      <c r="B8" s="458">
        <f>AVERAGE(B4:B7)</f>
        <v>1.7649419376043973E-2</v>
      </c>
      <c r="J8" s="453" t="s">
        <v>181</v>
      </c>
      <c r="K8" s="453" t="s">
        <v>189</v>
      </c>
    </row>
    <row r="9" spans="2:11" x14ac:dyDescent="0.2">
      <c r="J9" s="453" t="s">
        <v>182</v>
      </c>
      <c r="K9" s="453" t="s">
        <v>190</v>
      </c>
    </row>
    <row r="10" spans="2:11" x14ac:dyDescent="0.2">
      <c r="J10" s="453" t="s">
        <v>183</v>
      </c>
      <c r="K10" s="453" t="s">
        <v>191</v>
      </c>
    </row>
    <row r="11" spans="2:11" x14ac:dyDescent="0.2">
      <c r="J11" s="453" t="s">
        <v>184</v>
      </c>
      <c r="K11" s="453" t="s">
        <v>192</v>
      </c>
    </row>
    <row r="17" spans="10:10" x14ac:dyDescent="0.2">
      <c r="J17" s="459"/>
    </row>
    <row r="18" spans="10:10" x14ac:dyDescent="0.2">
      <c r="J18" s="459"/>
    </row>
    <row r="19" spans="10:10" x14ac:dyDescent="0.2">
      <c r="J19" s="459"/>
    </row>
    <row r="20" spans="10:10" x14ac:dyDescent="0.2">
      <c r="J20" s="459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43"/>
  <sheetViews>
    <sheetView workbookViewId="0"/>
  </sheetViews>
  <sheetFormatPr baseColWidth="10" defaultColWidth="10.85546875" defaultRowHeight="15" x14ac:dyDescent="0.25"/>
  <cols>
    <col min="2" max="3" width="12.85546875" customWidth="1"/>
    <col min="4" max="4" width="14.7109375" bestFit="1" customWidth="1"/>
    <col min="5" max="5" width="13.42578125" customWidth="1"/>
    <col min="6" max="6" width="14.7109375" bestFit="1" customWidth="1"/>
    <col min="7" max="7" width="13.42578125" customWidth="1"/>
    <col min="8" max="8" width="14.7109375" bestFit="1" customWidth="1"/>
    <col min="9" max="9" width="13.42578125" customWidth="1"/>
    <col min="10" max="10" width="14.7109375" bestFit="1" customWidth="1"/>
    <col min="11" max="11" width="13.42578125" customWidth="1"/>
    <col min="12" max="12" width="14.7109375" bestFit="1" customWidth="1"/>
    <col min="13" max="13" width="13.42578125" customWidth="1"/>
    <col min="15" max="15" width="32.42578125" bestFit="1" customWidth="1"/>
  </cols>
  <sheetData>
    <row r="2" spans="2:16" x14ac:dyDescent="0.25">
      <c r="B2" s="166" t="s">
        <v>218</v>
      </c>
      <c r="C2" s="56" t="s">
        <v>219</v>
      </c>
      <c r="D2" s="56" t="s">
        <v>220</v>
      </c>
      <c r="E2" s="56" t="s">
        <v>221</v>
      </c>
      <c r="F2" s="56" t="s">
        <v>222</v>
      </c>
      <c r="G2" s="166" t="s">
        <v>10</v>
      </c>
      <c r="H2" s="166" t="s">
        <v>11</v>
      </c>
      <c r="O2" s="496" t="s">
        <v>218</v>
      </c>
      <c r="P2" s="497"/>
    </row>
    <row r="3" spans="2:16" x14ac:dyDescent="0.25">
      <c r="B3" s="56" t="s">
        <v>219</v>
      </c>
      <c r="C3" s="166"/>
      <c r="D3" s="44">
        <v>1</v>
      </c>
      <c r="E3" s="44">
        <v>0</v>
      </c>
      <c r="F3" s="44">
        <v>0</v>
      </c>
      <c r="G3" s="44">
        <f>SUM(C3:F3)</f>
        <v>1</v>
      </c>
      <c r="H3" s="10">
        <f>G3/$G$7</f>
        <v>0.16666666666666666</v>
      </c>
      <c r="O3" s="49" t="s">
        <v>679</v>
      </c>
      <c r="P3" s="44" t="s">
        <v>683</v>
      </c>
    </row>
    <row r="4" spans="2:16" x14ac:dyDescent="0.25">
      <c r="B4" s="56" t="s">
        <v>220</v>
      </c>
      <c r="C4" s="44">
        <v>0</v>
      </c>
      <c r="D4" s="166"/>
      <c r="E4" s="44">
        <v>0</v>
      </c>
      <c r="F4" s="44">
        <v>1</v>
      </c>
      <c r="G4" s="44">
        <f>SUM(C4:F4)</f>
        <v>1</v>
      </c>
      <c r="H4" s="10">
        <f>G4/$G$7</f>
        <v>0.16666666666666666</v>
      </c>
      <c r="O4" s="49" t="s">
        <v>680</v>
      </c>
      <c r="P4" s="44" t="s">
        <v>684</v>
      </c>
    </row>
    <row r="5" spans="2:16" x14ac:dyDescent="0.25">
      <c r="B5" s="56" t="s">
        <v>221</v>
      </c>
      <c r="C5" s="44">
        <v>1</v>
      </c>
      <c r="D5" s="44">
        <v>1</v>
      </c>
      <c r="E5" s="166"/>
      <c r="F5" s="44">
        <v>1</v>
      </c>
      <c r="G5" s="44">
        <f>SUM(C5:F5)</f>
        <v>3</v>
      </c>
      <c r="H5" s="10">
        <f>G5/$G$7</f>
        <v>0.5</v>
      </c>
      <c r="O5" s="49" t="s">
        <v>681</v>
      </c>
      <c r="P5" s="44" t="s">
        <v>685</v>
      </c>
    </row>
    <row r="6" spans="2:16" x14ac:dyDescent="0.25">
      <c r="B6" s="56" t="s">
        <v>222</v>
      </c>
      <c r="C6" s="44">
        <v>1</v>
      </c>
      <c r="D6" s="44">
        <v>0</v>
      </c>
      <c r="E6" s="44">
        <v>0</v>
      </c>
      <c r="F6" s="166"/>
      <c r="G6" s="44">
        <f>SUM(C6:F6)</f>
        <v>1</v>
      </c>
      <c r="H6" s="10">
        <f>G6/$G$7</f>
        <v>0.16666666666666666</v>
      </c>
      <c r="O6" s="49" t="s">
        <v>682</v>
      </c>
      <c r="P6" s="44" t="s">
        <v>686</v>
      </c>
    </row>
    <row r="7" spans="2:16" x14ac:dyDescent="0.25">
      <c r="B7" s="15"/>
      <c r="C7" s="15"/>
      <c r="D7" s="15"/>
      <c r="E7" s="15"/>
      <c r="F7" s="15"/>
      <c r="G7" s="56">
        <f>SUM(G3:G6)</f>
        <v>6</v>
      </c>
      <c r="H7" s="163">
        <f>SUM(H3:H6)</f>
        <v>0.99999999999999989</v>
      </c>
    </row>
    <row r="10" spans="2:16" ht="15" customHeight="1" x14ac:dyDescent="0.25">
      <c r="B10" s="507" t="s">
        <v>229</v>
      </c>
      <c r="C10" s="504" t="s">
        <v>223</v>
      </c>
    </row>
    <row r="11" spans="2:16" x14ac:dyDescent="0.25">
      <c r="B11" s="509"/>
      <c r="C11" s="506"/>
    </row>
    <row r="12" spans="2:16" x14ac:dyDescent="0.25">
      <c r="B12" s="44" t="s">
        <v>224</v>
      </c>
      <c r="C12" s="44">
        <v>5</v>
      </c>
    </row>
    <row r="13" spans="2:16" x14ac:dyDescent="0.25">
      <c r="B13" s="44" t="s">
        <v>225</v>
      </c>
      <c r="C13" s="44">
        <v>4</v>
      </c>
    </row>
    <row r="14" spans="2:16" x14ac:dyDescent="0.25">
      <c r="B14" s="44" t="s">
        <v>226</v>
      </c>
      <c r="C14" s="44">
        <v>3</v>
      </c>
    </row>
    <row r="15" spans="2:16" x14ac:dyDescent="0.25">
      <c r="B15" s="44" t="s">
        <v>227</v>
      </c>
      <c r="C15" s="44">
        <v>2</v>
      </c>
    </row>
    <row r="16" spans="2:16" x14ac:dyDescent="0.25">
      <c r="B16" s="44" t="s">
        <v>228</v>
      </c>
      <c r="C16" s="44">
        <v>1</v>
      </c>
    </row>
    <row r="18" spans="2:13" x14ac:dyDescent="0.25">
      <c r="B18" s="496" t="s">
        <v>79</v>
      </c>
      <c r="C18" s="497"/>
      <c r="D18" s="496" t="s">
        <v>233</v>
      </c>
      <c r="E18" s="497"/>
      <c r="F18" s="496" t="s">
        <v>78</v>
      </c>
      <c r="G18" s="497"/>
      <c r="H18" s="496" t="s">
        <v>234</v>
      </c>
      <c r="I18" s="497"/>
      <c r="J18" s="496" t="s">
        <v>235</v>
      </c>
      <c r="K18" s="497"/>
      <c r="L18" s="496" t="s">
        <v>75</v>
      </c>
      <c r="M18" s="497"/>
    </row>
    <row r="19" spans="2:13" x14ac:dyDescent="0.25">
      <c r="B19" s="166" t="s">
        <v>218</v>
      </c>
      <c r="C19" s="166" t="s">
        <v>230</v>
      </c>
      <c r="D19" s="166" t="s">
        <v>231</v>
      </c>
      <c r="E19" s="166" t="s">
        <v>232</v>
      </c>
      <c r="F19" s="166" t="s">
        <v>231</v>
      </c>
      <c r="G19" s="166" t="s">
        <v>232</v>
      </c>
      <c r="H19" s="166" t="s">
        <v>231</v>
      </c>
      <c r="I19" s="166" t="s">
        <v>232</v>
      </c>
      <c r="J19" s="166" t="s">
        <v>231</v>
      </c>
      <c r="K19" s="166" t="s">
        <v>232</v>
      </c>
      <c r="L19" s="166" t="s">
        <v>231</v>
      </c>
      <c r="M19" s="166" t="s">
        <v>232</v>
      </c>
    </row>
    <row r="20" spans="2:13" x14ac:dyDescent="0.25">
      <c r="B20" s="44" t="s">
        <v>219</v>
      </c>
      <c r="C20" s="10">
        <f>1/6</f>
        <v>0.16666666666666666</v>
      </c>
      <c r="D20" s="44">
        <v>2</v>
      </c>
      <c r="E20" s="164">
        <f>C20*D20</f>
        <v>0.33333333333333331</v>
      </c>
      <c r="F20" s="44">
        <v>5</v>
      </c>
      <c r="G20" s="164">
        <f>C20*F20</f>
        <v>0.83333333333333326</v>
      </c>
      <c r="H20" s="44">
        <v>3</v>
      </c>
      <c r="I20" s="164">
        <f>C20*H20</f>
        <v>0.5</v>
      </c>
      <c r="J20" s="44">
        <v>3</v>
      </c>
      <c r="K20" s="164">
        <f>C20*J20</f>
        <v>0.5</v>
      </c>
      <c r="L20" s="44">
        <v>4</v>
      </c>
      <c r="M20" s="164">
        <f>C20*L20</f>
        <v>0.66666666666666663</v>
      </c>
    </row>
    <row r="21" spans="2:13" x14ac:dyDescent="0.25">
      <c r="B21" s="44" t="s">
        <v>220</v>
      </c>
      <c r="C21" s="10">
        <f>1/6</f>
        <v>0.16666666666666666</v>
      </c>
      <c r="D21" s="44">
        <v>4</v>
      </c>
      <c r="E21" s="164">
        <f>C21*D21</f>
        <v>0.66666666666666663</v>
      </c>
      <c r="F21" s="44">
        <v>4</v>
      </c>
      <c r="G21" s="164">
        <f>C21*F21</f>
        <v>0.66666666666666663</v>
      </c>
      <c r="H21" s="44">
        <v>4</v>
      </c>
      <c r="I21" s="164">
        <f>C21*H21</f>
        <v>0.66666666666666663</v>
      </c>
      <c r="J21" s="44">
        <v>3</v>
      </c>
      <c r="K21" s="164">
        <f>C21*J21</f>
        <v>0.5</v>
      </c>
      <c r="L21" s="44">
        <v>2</v>
      </c>
      <c r="M21" s="164">
        <f>C21*L21</f>
        <v>0.33333333333333331</v>
      </c>
    </row>
    <row r="22" spans="2:13" x14ac:dyDescent="0.25">
      <c r="B22" s="44" t="s">
        <v>221</v>
      </c>
      <c r="C22" s="10">
        <f>3/6</f>
        <v>0.5</v>
      </c>
      <c r="D22" s="44">
        <v>2</v>
      </c>
      <c r="E22" s="164">
        <f>C22*D22</f>
        <v>1</v>
      </c>
      <c r="F22" s="44">
        <v>5</v>
      </c>
      <c r="G22" s="164">
        <f>C22*F22</f>
        <v>2.5</v>
      </c>
      <c r="H22" s="44">
        <v>3</v>
      </c>
      <c r="I22" s="164">
        <f>C22*H22</f>
        <v>1.5</v>
      </c>
      <c r="J22" s="44">
        <v>2</v>
      </c>
      <c r="K22" s="164">
        <f>C22*J22</f>
        <v>1</v>
      </c>
      <c r="L22" s="44">
        <v>4</v>
      </c>
      <c r="M22" s="164">
        <f>C22*L22</f>
        <v>2</v>
      </c>
    </row>
    <row r="23" spans="2:13" x14ac:dyDescent="0.25">
      <c r="B23" s="44" t="s">
        <v>222</v>
      </c>
      <c r="C23" s="10">
        <f>1/6</f>
        <v>0.16666666666666666</v>
      </c>
      <c r="D23" s="44">
        <v>3</v>
      </c>
      <c r="E23" s="164">
        <f>C23*D23</f>
        <v>0.5</v>
      </c>
      <c r="F23" s="44">
        <v>4</v>
      </c>
      <c r="G23" s="164">
        <f>C23*F23</f>
        <v>0.66666666666666663</v>
      </c>
      <c r="H23" s="44">
        <v>3</v>
      </c>
      <c r="I23" s="164">
        <f>C23*H23</f>
        <v>0.5</v>
      </c>
      <c r="J23" s="44">
        <v>3</v>
      </c>
      <c r="K23" s="164">
        <f>C23*J23</f>
        <v>0.5</v>
      </c>
      <c r="L23" s="44">
        <v>3</v>
      </c>
      <c r="M23" s="164">
        <f>C23*L23</f>
        <v>0.5</v>
      </c>
    </row>
    <row r="24" spans="2:13" x14ac:dyDescent="0.25">
      <c r="B24" s="166" t="s">
        <v>10</v>
      </c>
      <c r="C24" s="167">
        <f>SUM(C20:C23)</f>
        <v>0.99999999999999989</v>
      </c>
      <c r="D24" s="101"/>
      <c r="E24" s="164">
        <f>SUM(E20:E23)</f>
        <v>2.5</v>
      </c>
      <c r="F24" s="101"/>
      <c r="G24" s="165">
        <f>SUM(G20:G23)</f>
        <v>4.666666666666667</v>
      </c>
      <c r="H24" s="15"/>
      <c r="I24" s="164">
        <f>SUM(I20:I23)</f>
        <v>3.1666666666666665</v>
      </c>
      <c r="J24" s="15"/>
      <c r="K24" s="164">
        <f>SUM(K20:K23)</f>
        <v>2.5</v>
      </c>
      <c r="L24" s="15"/>
      <c r="M24" s="164">
        <f>SUM(M20:M23)</f>
        <v>3.5</v>
      </c>
    </row>
    <row r="25" spans="2:13" x14ac:dyDescent="0.25">
      <c r="B25" s="1"/>
      <c r="C25" s="1"/>
      <c r="D25" s="1"/>
      <c r="E25" s="1"/>
      <c r="F25" s="1"/>
      <c r="G25" s="1"/>
    </row>
    <row r="26" spans="2:13" x14ac:dyDescent="0.25">
      <c r="B26" s="101"/>
      <c r="C26" s="496" t="s">
        <v>683</v>
      </c>
      <c r="D26" s="497"/>
      <c r="E26" s="496" t="s">
        <v>684</v>
      </c>
      <c r="F26" s="497"/>
      <c r="G26" s="496" t="s">
        <v>685</v>
      </c>
      <c r="H26" s="497"/>
      <c r="I26" s="496" t="s">
        <v>686</v>
      </c>
      <c r="J26" s="497"/>
    </row>
    <row r="27" spans="2:13" ht="15" customHeight="1" x14ac:dyDescent="0.25">
      <c r="B27" s="101"/>
      <c r="C27" s="511" t="s">
        <v>679</v>
      </c>
      <c r="D27" s="513"/>
      <c r="E27" s="511" t="s">
        <v>680</v>
      </c>
      <c r="F27" s="513"/>
      <c r="G27" s="511" t="s">
        <v>681</v>
      </c>
      <c r="H27" s="513"/>
      <c r="I27" s="511" t="s">
        <v>682</v>
      </c>
      <c r="J27" s="513"/>
    </row>
    <row r="28" spans="2:13" x14ac:dyDescent="0.25">
      <c r="B28" s="101"/>
      <c r="C28" s="514"/>
      <c r="D28" s="516"/>
      <c r="E28" s="514"/>
      <c r="F28" s="516"/>
      <c r="G28" s="514"/>
      <c r="H28" s="516"/>
      <c r="I28" s="514"/>
      <c r="J28" s="516"/>
    </row>
    <row r="29" spans="2:13" x14ac:dyDescent="0.25">
      <c r="B29" s="507" t="s">
        <v>233</v>
      </c>
      <c r="C29" s="491">
        <v>2</v>
      </c>
      <c r="D29" s="491"/>
      <c r="E29" s="491">
        <v>4</v>
      </c>
      <c r="F29" s="491"/>
      <c r="G29" s="491">
        <v>2</v>
      </c>
      <c r="H29" s="491"/>
      <c r="I29" s="491">
        <v>3</v>
      </c>
      <c r="J29" s="491"/>
    </row>
    <row r="30" spans="2:13" x14ac:dyDescent="0.25">
      <c r="B30" s="508"/>
      <c r="C30" s="525" t="s">
        <v>696</v>
      </c>
      <c r="D30" s="525"/>
      <c r="E30" s="525" t="s">
        <v>697</v>
      </c>
      <c r="F30" s="525"/>
      <c r="G30" s="525" t="s">
        <v>696</v>
      </c>
      <c r="H30" s="525"/>
      <c r="I30" s="525" t="s">
        <v>688</v>
      </c>
      <c r="J30" s="525"/>
    </row>
    <row r="31" spans="2:13" x14ac:dyDescent="0.25">
      <c r="B31" s="508"/>
      <c r="C31" s="525"/>
      <c r="D31" s="525"/>
      <c r="E31" s="525"/>
      <c r="F31" s="525"/>
      <c r="G31" s="525"/>
      <c r="H31" s="525"/>
      <c r="I31" s="525"/>
      <c r="J31" s="525"/>
    </row>
    <row r="32" spans="2:13" x14ac:dyDescent="0.25">
      <c r="B32" s="507" t="s">
        <v>78</v>
      </c>
      <c r="C32" s="491">
        <v>5</v>
      </c>
      <c r="D32" s="491"/>
      <c r="E32" s="491">
        <v>4</v>
      </c>
      <c r="F32" s="491"/>
      <c r="G32" s="491">
        <v>5</v>
      </c>
      <c r="H32" s="491"/>
      <c r="I32" s="491">
        <v>4</v>
      </c>
      <c r="J32" s="491"/>
    </row>
    <row r="33" spans="2:10" x14ac:dyDescent="0.25">
      <c r="B33" s="508"/>
      <c r="C33" s="525" t="s">
        <v>703</v>
      </c>
      <c r="D33" s="525"/>
      <c r="E33" s="525" t="s">
        <v>699</v>
      </c>
      <c r="F33" s="525"/>
      <c r="G33" s="525" t="s">
        <v>692</v>
      </c>
      <c r="H33" s="525"/>
      <c r="I33" s="525" t="s">
        <v>687</v>
      </c>
      <c r="J33" s="525"/>
    </row>
    <row r="34" spans="2:10" x14ac:dyDescent="0.25">
      <c r="B34" s="508"/>
      <c r="C34" s="525"/>
      <c r="D34" s="525"/>
      <c r="E34" s="525"/>
      <c r="F34" s="525"/>
      <c r="G34" s="525"/>
      <c r="H34" s="525"/>
      <c r="I34" s="525"/>
      <c r="J34" s="525"/>
    </row>
    <row r="35" spans="2:10" x14ac:dyDescent="0.25">
      <c r="B35" s="507" t="s">
        <v>234</v>
      </c>
      <c r="C35" s="491">
        <v>3</v>
      </c>
      <c r="D35" s="491"/>
      <c r="E35" s="491">
        <v>4</v>
      </c>
      <c r="F35" s="491"/>
      <c r="G35" s="491">
        <v>3</v>
      </c>
      <c r="H35" s="491"/>
      <c r="I35" s="491">
        <v>3</v>
      </c>
      <c r="J35" s="491"/>
    </row>
    <row r="36" spans="2:10" x14ac:dyDescent="0.25">
      <c r="B36" s="508"/>
      <c r="C36" s="525" t="s">
        <v>694</v>
      </c>
      <c r="D36" s="525"/>
      <c r="E36" s="525" t="s">
        <v>698</v>
      </c>
      <c r="F36" s="525"/>
      <c r="G36" s="525" t="s">
        <v>694</v>
      </c>
      <c r="H36" s="525"/>
      <c r="I36" s="525" t="s">
        <v>689</v>
      </c>
      <c r="J36" s="525"/>
    </row>
    <row r="37" spans="2:10" x14ac:dyDescent="0.25">
      <c r="B37" s="508"/>
      <c r="C37" s="525"/>
      <c r="D37" s="525"/>
      <c r="E37" s="525"/>
      <c r="F37" s="525"/>
      <c r="G37" s="525"/>
      <c r="H37" s="525"/>
      <c r="I37" s="525"/>
      <c r="J37" s="525"/>
    </row>
    <row r="38" spans="2:10" x14ac:dyDescent="0.25">
      <c r="B38" s="507" t="s">
        <v>235</v>
      </c>
      <c r="C38" s="491">
        <v>3</v>
      </c>
      <c r="D38" s="491"/>
      <c r="E38" s="491">
        <v>3</v>
      </c>
      <c r="F38" s="491"/>
      <c r="G38" s="491">
        <v>2</v>
      </c>
      <c r="H38" s="491"/>
      <c r="I38" s="491">
        <v>3</v>
      </c>
      <c r="J38" s="491"/>
    </row>
    <row r="39" spans="2:10" x14ac:dyDescent="0.25">
      <c r="B39" s="508"/>
      <c r="C39" s="525" t="s">
        <v>702</v>
      </c>
      <c r="D39" s="525"/>
      <c r="E39" s="525" t="s">
        <v>700</v>
      </c>
      <c r="F39" s="525"/>
      <c r="G39" s="525" t="s">
        <v>695</v>
      </c>
      <c r="H39" s="525"/>
      <c r="I39" s="525" t="s">
        <v>690</v>
      </c>
      <c r="J39" s="525"/>
    </row>
    <row r="40" spans="2:10" x14ac:dyDescent="0.25">
      <c r="B40" s="508"/>
      <c r="C40" s="525"/>
      <c r="D40" s="525"/>
      <c r="E40" s="525"/>
      <c r="F40" s="525"/>
      <c r="G40" s="525"/>
      <c r="H40" s="525"/>
      <c r="I40" s="525"/>
      <c r="J40" s="525"/>
    </row>
    <row r="41" spans="2:10" x14ac:dyDescent="0.25">
      <c r="B41" s="507" t="s">
        <v>75</v>
      </c>
      <c r="C41" s="491">
        <v>4</v>
      </c>
      <c r="D41" s="491"/>
      <c r="E41" s="491">
        <v>2</v>
      </c>
      <c r="F41" s="491"/>
      <c r="G41" s="491">
        <v>4</v>
      </c>
      <c r="H41" s="491"/>
      <c r="I41" s="491">
        <v>2</v>
      </c>
      <c r="J41" s="491"/>
    </row>
    <row r="42" spans="2:10" x14ac:dyDescent="0.25">
      <c r="B42" s="508"/>
      <c r="C42" s="525" t="s">
        <v>693</v>
      </c>
      <c r="D42" s="525"/>
      <c r="E42" s="525" t="s">
        <v>701</v>
      </c>
      <c r="F42" s="525"/>
      <c r="G42" s="525" t="s">
        <v>693</v>
      </c>
      <c r="H42" s="525"/>
      <c r="I42" s="525" t="s">
        <v>691</v>
      </c>
      <c r="J42" s="525"/>
    </row>
    <row r="43" spans="2:10" x14ac:dyDescent="0.25">
      <c r="B43" s="508"/>
      <c r="C43" s="525"/>
      <c r="D43" s="525"/>
      <c r="E43" s="525"/>
      <c r="F43" s="525"/>
      <c r="G43" s="525"/>
      <c r="H43" s="525"/>
      <c r="I43" s="525"/>
      <c r="J43" s="525"/>
    </row>
  </sheetData>
  <mergeCells count="62">
    <mergeCell ref="B10:B11"/>
    <mergeCell ref="B18:C18"/>
    <mergeCell ref="D18:E18"/>
    <mergeCell ref="F18:G18"/>
    <mergeCell ref="H18:I18"/>
    <mergeCell ref="C27:D28"/>
    <mergeCell ref="E27:F28"/>
    <mergeCell ref="G27:H28"/>
    <mergeCell ref="I27:J28"/>
    <mergeCell ref="J18:K18"/>
    <mergeCell ref="O2:P2"/>
    <mergeCell ref="C26:D26"/>
    <mergeCell ref="E26:F26"/>
    <mergeCell ref="G26:H26"/>
    <mergeCell ref="I26:J26"/>
    <mergeCell ref="L18:M18"/>
    <mergeCell ref="C10:C11"/>
    <mergeCell ref="C29:D29"/>
    <mergeCell ref="E29:F29"/>
    <mergeCell ref="G29:H29"/>
    <mergeCell ref="I29:J29"/>
    <mergeCell ref="C30:D31"/>
    <mergeCell ref="E30:F31"/>
    <mergeCell ref="G30:H31"/>
    <mergeCell ref="I30:J31"/>
    <mergeCell ref="C32:D32"/>
    <mergeCell ref="E32:F32"/>
    <mergeCell ref="G32:H32"/>
    <mergeCell ref="I32:J32"/>
    <mergeCell ref="C33:D34"/>
    <mergeCell ref="E33:F34"/>
    <mergeCell ref="G33:H34"/>
    <mergeCell ref="I33:J34"/>
    <mergeCell ref="C35:D35"/>
    <mergeCell ref="E35:F35"/>
    <mergeCell ref="G35:H35"/>
    <mergeCell ref="I35:J35"/>
    <mergeCell ref="C36:D37"/>
    <mergeCell ref="E36:F37"/>
    <mergeCell ref="G36:H37"/>
    <mergeCell ref="I36:J37"/>
    <mergeCell ref="C38:D38"/>
    <mergeCell ref="E38:F38"/>
    <mergeCell ref="G38:H38"/>
    <mergeCell ref="I38:J38"/>
    <mergeCell ref="C39:D40"/>
    <mergeCell ref="E39:F40"/>
    <mergeCell ref="G39:H40"/>
    <mergeCell ref="I39:J40"/>
    <mergeCell ref="C41:D41"/>
    <mergeCell ref="E41:F41"/>
    <mergeCell ref="G41:H41"/>
    <mergeCell ref="I41:J41"/>
    <mergeCell ref="C42:D43"/>
    <mergeCell ref="E42:F43"/>
    <mergeCell ref="G42:H43"/>
    <mergeCell ref="I42:J43"/>
    <mergeCell ref="B29:B31"/>
    <mergeCell ref="B32:B34"/>
    <mergeCell ref="B35:B37"/>
    <mergeCell ref="B38:B40"/>
    <mergeCell ref="B41:B43"/>
  </mergeCells>
  <pageMargins left="0.7" right="0.7" top="0.75" bottom="0.75" header="0.3" footer="0.3"/>
  <pageSetup orientation="portrait" r:id="rId1"/>
  <ignoredErrors>
    <ignoredError sqref="C21:C22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35"/>
  <sheetViews>
    <sheetView topLeftCell="Z1" zoomScale="85" zoomScaleNormal="85" zoomScalePageLayoutView="85" workbookViewId="0">
      <selection activeCell="AG12" sqref="AG12:AG14"/>
    </sheetView>
  </sheetViews>
  <sheetFormatPr baseColWidth="10" defaultColWidth="10.85546875" defaultRowHeight="15" x14ac:dyDescent="0.25"/>
  <cols>
    <col min="2" max="2" width="3.42578125" customWidth="1"/>
    <col min="3" max="3" width="15" bestFit="1" customWidth="1"/>
    <col min="4" max="4" width="13.42578125" bestFit="1" customWidth="1"/>
    <col min="5" max="5" width="3" bestFit="1" customWidth="1"/>
    <col min="6" max="6" width="3.42578125" customWidth="1"/>
    <col min="7" max="7" width="15" customWidth="1"/>
    <col min="8" max="8" width="13.42578125" customWidth="1"/>
    <col min="10" max="10" width="106.42578125" customWidth="1"/>
    <col min="11" max="11" width="25.28515625" bestFit="1" customWidth="1"/>
    <col min="13" max="13" width="7.42578125" bestFit="1" customWidth="1"/>
    <col min="14" max="14" width="17" bestFit="1" customWidth="1"/>
    <col min="15" max="18" width="13.42578125" customWidth="1"/>
    <col min="23" max="23" width="11.42578125" customWidth="1"/>
    <col min="29" max="29" width="11.42578125" customWidth="1"/>
    <col min="30" max="30" width="20" customWidth="1"/>
    <col min="31" max="31" width="41.42578125" customWidth="1"/>
    <col min="32" max="33" width="20" customWidth="1"/>
    <col min="34" max="34" width="4.28515625" customWidth="1"/>
    <col min="35" max="44" width="15" customWidth="1"/>
    <col min="46" max="46" width="42.42578125" bestFit="1" customWidth="1"/>
  </cols>
  <sheetData>
    <row r="1" spans="2:47" x14ac:dyDescent="0.25">
      <c r="M1" s="169"/>
      <c r="N1" s="169"/>
      <c r="O1" s="496" t="s">
        <v>270</v>
      </c>
      <c r="P1" s="497"/>
      <c r="Q1" s="496" t="s">
        <v>271</v>
      </c>
      <c r="R1" s="497"/>
    </row>
    <row r="2" spans="2:47" ht="22.5" customHeight="1" x14ac:dyDescent="0.25">
      <c r="B2" s="166" t="s">
        <v>255</v>
      </c>
      <c r="C2" s="166" t="s">
        <v>79</v>
      </c>
      <c r="D2" s="166" t="s">
        <v>256</v>
      </c>
      <c r="E2" s="34"/>
      <c r="F2" s="166" t="s">
        <v>255</v>
      </c>
      <c r="G2" s="166" t="s">
        <v>79</v>
      </c>
      <c r="H2" s="166" t="s">
        <v>256</v>
      </c>
      <c r="J2" s="166" t="s">
        <v>261</v>
      </c>
      <c r="K2" s="166" t="s">
        <v>332</v>
      </c>
      <c r="M2" s="149" t="s">
        <v>265</v>
      </c>
      <c r="N2" s="149" t="s">
        <v>289</v>
      </c>
      <c r="O2" s="149" t="s">
        <v>268</v>
      </c>
      <c r="P2" s="149" t="s">
        <v>269</v>
      </c>
      <c r="Q2" s="149" t="s">
        <v>268</v>
      </c>
      <c r="R2" s="149" t="s">
        <v>269</v>
      </c>
      <c r="T2" s="149" t="s">
        <v>218</v>
      </c>
      <c r="U2" s="171" t="s">
        <v>219</v>
      </c>
      <c r="V2" s="171" t="s">
        <v>220</v>
      </c>
      <c r="W2" s="171" t="s">
        <v>221</v>
      </c>
      <c r="X2" s="171" t="s">
        <v>222</v>
      </c>
      <c r="Y2" s="162" t="s">
        <v>333</v>
      </c>
      <c r="Z2" s="149" t="s">
        <v>10</v>
      </c>
      <c r="AA2" s="149" t="s">
        <v>11</v>
      </c>
      <c r="AC2" s="149" t="s">
        <v>334</v>
      </c>
      <c r="AD2" s="149" t="s">
        <v>335</v>
      </c>
      <c r="AE2" s="149" t="s">
        <v>176</v>
      </c>
      <c r="AF2" s="149" t="s">
        <v>336</v>
      </c>
      <c r="AG2" s="149" t="s">
        <v>674</v>
      </c>
    </row>
    <row r="3" spans="2:47" x14ac:dyDescent="0.25">
      <c r="B3" s="44">
        <v>1</v>
      </c>
      <c r="C3" s="44" t="s">
        <v>244</v>
      </c>
      <c r="D3" s="11">
        <v>11390</v>
      </c>
      <c r="E3" s="31"/>
      <c r="F3" s="18">
        <v>41</v>
      </c>
      <c r="G3" s="44" t="s">
        <v>246</v>
      </c>
      <c r="H3" s="44">
        <v>383</v>
      </c>
      <c r="J3" s="18" t="s">
        <v>257</v>
      </c>
      <c r="K3" s="164">
        <v>7.01</v>
      </c>
      <c r="M3" s="44" t="s">
        <v>266</v>
      </c>
      <c r="N3" s="44" t="s">
        <v>267</v>
      </c>
      <c r="O3" s="44" t="s">
        <v>272</v>
      </c>
      <c r="P3" s="44" t="s">
        <v>273</v>
      </c>
      <c r="Q3" s="149"/>
      <c r="R3" s="149"/>
      <c r="T3" s="56" t="s">
        <v>219</v>
      </c>
      <c r="U3" s="149"/>
      <c r="V3" s="44">
        <v>1</v>
      </c>
      <c r="W3" s="44">
        <v>0</v>
      </c>
      <c r="X3" s="44">
        <v>1</v>
      </c>
      <c r="Y3" s="59">
        <v>0</v>
      </c>
      <c r="Z3" s="44">
        <f>SUM(U3:Y3)</f>
        <v>2</v>
      </c>
      <c r="AA3" s="172">
        <f>Z3/$Z$8</f>
        <v>0.2</v>
      </c>
      <c r="AC3" s="529" t="s">
        <v>337</v>
      </c>
      <c r="AD3" s="529" t="s">
        <v>670</v>
      </c>
      <c r="AE3" s="529" t="s">
        <v>675</v>
      </c>
      <c r="AF3" s="528">
        <v>4500</v>
      </c>
      <c r="AG3" s="528">
        <v>968</v>
      </c>
      <c r="AI3" s="496" t="s">
        <v>334</v>
      </c>
      <c r="AJ3" s="497"/>
      <c r="AK3" s="496" t="s">
        <v>337</v>
      </c>
      <c r="AL3" s="497"/>
      <c r="AM3" s="496" t="s">
        <v>338</v>
      </c>
      <c r="AN3" s="497"/>
      <c r="AO3" s="496" t="s">
        <v>339</v>
      </c>
      <c r="AP3" s="497"/>
      <c r="AQ3" s="496" t="s">
        <v>340</v>
      </c>
      <c r="AR3" s="497"/>
      <c r="AT3" s="496" t="s">
        <v>218</v>
      </c>
      <c r="AU3" s="497"/>
    </row>
    <row r="4" spans="2:47" x14ac:dyDescent="0.25">
      <c r="B4" s="44">
        <v>2</v>
      </c>
      <c r="C4" s="44" t="s">
        <v>75</v>
      </c>
      <c r="D4" s="11">
        <v>8798</v>
      </c>
      <c r="E4" s="31"/>
      <c r="F4" s="18">
        <v>42</v>
      </c>
      <c r="G4" s="44" t="s">
        <v>247</v>
      </c>
      <c r="H4" s="44">
        <v>287</v>
      </c>
      <c r="J4" s="18" t="s">
        <v>258</v>
      </c>
      <c r="K4" s="164">
        <v>5.1870000000000003</v>
      </c>
      <c r="M4" s="44" t="s">
        <v>274</v>
      </c>
      <c r="N4" s="44" t="s">
        <v>288</v>
      </c>
      <c r="O4" s="44" t="s">
        <v>276</v>
      </c>
      <c r="P4" s="44" t="s">
        <v>275</v>
      </c>
      <c r="Q4" s="149"/>
      <c r="R4" s="149"/>
      <c r="T4" s="56" t="s">
        <v>220</v>
      </c>
      <c r="U4" s="44">
        <v>0</v>
      </c>
      <c r="V4" s="149"/>
      <c r="W4" s="44">
        <v>0</v>
      </c>
      <c r="X4" s="44">
        <v>1</v>
      </c>
      <c r="Y4" s="59">
        <v>0</v>
      </c>
      <c r="Z4" s="44">
        <f>SUM(U4:Y4)</f>
        <v>1</v>
      </c>
      <c r="AA4" s="172">
        <f>Z4/$Z$8</f>
        <v>0.1</v>
      </c>
      <c r="AC4" s="529"/>
      <c r="AD4" s="529"/>
      <c r="AE4" s="529"/>
      <c r="AF4" s="528"/>
      <c r="AG4" s="528"/>
      <c r="AI4" s="168" t="s">
        <v>218</v>
      </c>
      <c r="AJ4" s="168" t="s">
        <v>230</v>
      </c>
      <c r="AK4" s="168" t="s">
        <v>231</v>
      </c>
      <c r="AL4" s="168" t="s">
        <v>232</v>
      </c>
      <c r="AM4" s="168" t="s">
        <v>231</v>
      </c>
      <c r="AN4" s="168" t="s">
        <v>232</v>
      </c>
      <c r="AO4" s="168" t="s">
        <v>231</v>
      </c>
      <c r="AP4" s="168" t="s">
        <v>232</v>
      </c>
      <c r="AQ4" s="168" t="s">
        <v>231</v>
      </c>
      <c r="AR4" s="168" t="s">
        <v>232</v>
      </c>
      <c r="AT4" s="49" t="s">
        <v>704</v>
      </c>
      <c r="AU4" s="44" t="s">
        <v>683</v>
      </c>
    </row>
    <row r="5" spans="2:47" x14ac:dyDescent="0.25">
      <c r="B5" s="44">
        <v>3</v>
      </c>
      <c r="C5" s="44" t="s">
        <v>78</v>
      </c>
      <c r="D5" s="11">
        <v>7587</v>
      </c>
      <c r="E5" s="31"/>
      <c r="F5" s="18">
        <v>43</v>
      </c>
      <c r="G5" s="44" t="s">
        <v>248</v>
      </c>
      <c r="H5" s="44">
        <v>273</v>
      </c>
      <c r="J5" s="18" t="s">
        <v>264</v>
      </c>
      <c r="K5" s="164">
        <v>4.2140000000000004</v>
      </c>
      <c r="M5" s="44" t="s">
        <v>277</v>
      </c>
      <c r="N5" s="44" t="s">
        <v>241</v>
      </c>
      <c r="O5" s="44" t="s">
        <v>278</v>
      </c>
      <c r="P5" s="44" t="s">
        <v>279</v>
      </c>
      <c r="Q5" s="149"/>
      <c r="R5" s="149"/>
      <c r="T5" s="56" t="s">
        <v>221</v>
      </c>
      <c r="U5" s="44">
        <v>1</v>
      </c>
      <c r="V5" s="44">
        <v>1</v>
      </c>
      <c r="W5" s="149"/>
      <c r="X5" s="44">
        <v>1</v>
      </c>
      <c r="Y5" s="59">
        <v>0</v>
      </c>
      <c r="Z5" s="44">
        <f>SUM(U5:Y5)</f>
        <v>3</v>
      </c>
      <c r="AA5" s="172">
        <f>Z5/$Z$8</f>
        <v>0.3</v>
      </c>
      <c r="AC5" s="529"/>
      <c r="AD5" s="529"/>
      <c r="AE5" s="529"/>
      <c r="AF5" s="528"/>
      <c r="AG5" s="528"/>
      <c r="AI5" s="17" t="s">
        <v>219</v>
      </c>
      <c r="AJ5" s="6">
        <f>2/10</f>
        <v>0.2</v>
      </c>
      <c r="AK5" s="29">
        <v>3</v>
      </c>
      <c r="AL5" s="33">
        <f>AJ5*AK5</f>
        <v>0.60000000000000009</v>
      </c>
      <c r="AM5" s="17">
        <v>4</v>
      </c>
      <c r="AN5" s="33">
        <f>AJ5*AM5</f>
        <v>0.8</v>
      </c>
      <c r="AO5" s="17">
        <v>2</v>
      </c>
      <c r="AP5" s="33">
        <f>AJ5*AO5</f>
        <v>0.4</v>
      </c>
      <c r="AQ5" s="17">
        <v>3</v>
      </c>
      <c r="AR5" s="33">
        <f>AJ5*AQ5</f>
        <v>0.60000000000000009</v>
      </c>
      <c r="AT5" s="49" t="s">
        <v>705</v>
      </c>
      <c r="AU5" s="44" t="s">
        <v>684</v>
      </c>
    </row>
    <row r="6" spans="2:47" x14ac:dyDescent="0.25">
      <c r="B6" s="44">
        <v>4</v>
      </c>
      <c r="C6" s="44" t="s">
        <v>236</v>
      </c>
      <c r="D6" s="11">
        <v>7280</v>
      </c>
      <c r="E6" s="31"/>
      <c r="F6" s="18">
        <v>44</v>
      </c>
      <c r="G6" s="44" t="s">
        <v>249</v>
      </c>
      <c r="H6" s="44">
        <v>189</v>
      </c>
      <c r="J6" s="18" t="s">
        <v>263</v>
      </c>
      <c r="K6" s="164">
        <v>3.7650000000000001</v>
      </c>
      <c r="M6" s="44" t="s">
        <v>277</v>
      </c>
      <c r="N6" s="44" t="s">
        <v>287</v>
      </c>
      <c r="O6" s="44" t="s">
        <v>280</v>
      </c>
      <c r="P6" s="44" t="s">
        <v>281</v>
      </c>
      <c r="Q6" s="149"/>
      <c r="R6" s="149"/>
      <c r="T6" s="56" t="s">
        <v>222</v>
      </c>
      <c r="U6" s="44">
        <v>0</v>
      </c>
      <c r="V6" s="44">
        <v>0</v>
      </c>
      <c r="W6" s="44">
        <v>0</v>
      </c>
      <c r="X6" s="149"/>
      <c r="Y6" s="59">
        <v>1</v>
      </c>
      <c r="Z6" s="44">
        <f>SUM(U6:Y6)</f>
        <v>1</v>
      </c>
      <c r="AA6" s="172">
        <f>Z6/$Z$8</f>
        <v>0.1</v>
      </c>
      <c r="AC6" s="529" t="s">
        <v>338</v>
      </c>
      <c r="AD6" s="529" t="s">
        <v>671</v>
      </c>
      <c r="AE6" s="529" t="s">
        <v>676</v>
      </c>
      <c r="AF6" s="528">
        <v>5300</v>
      </c>
      <c r="AG6" s="533">
        <v>2165</v>
      </c>
      <c r="AI6" s="17" t="s">
        <v>220</v>
      </c>
      <c r="AJ6" s="6">
        <f>1/10</f>
        <v>0.1</v>
      </c>
      <c r="AK6" s="29">
        <v>1</v>
      </c>
      <c r="AL6" s="33">
        <f>AJ6*AK6</f>
        <v>0.1</v>
      </c>
      <c r="AM6" s="17">
        <v>4</v>
      </c>
      <c r="AN6" s="33">
        <f>AJ6*AM6</f>
        <v>0.4</v>
      </c>
      <c r="AO6" s="17">
        <v>2</v>
      </c>
      <c r="AP6" s="33">
        <f>AJ6*AO6</f>
        <v>0.2</v>
      </c>
      <c r="AQ6" s="17">
        <v>4</v>
      </c>
      <c r="AR6" s="33">
        <f>AJ6*AQ6</f>
        <v>0.4</v>
      </c>
      <c r="AT6" s="49" t="s">
        <v>706</v>
      </c>
      <c r="AU6" s="44" t="s">
        <v>685</v>
      </c>
    </row>
    <row r="7" spans="2:47" x14ac:dyDescent="0.25">
      <c r="B7" s="44">
        <v>5</v>
      </c>
      <c r="C7" s="44" t="s">
        <v>237</v>
      </c>
      <c r="D7" s="11">
        <v>7147</v>
      </c>
      <c r="E7" s="31"/>
      <c r="F7" s="18">
        <v>45</v>
      </c>
      <c r="G7" s="44" t="s">
        <v>250</v>
      </c>
      <c r="H7" s="44">
        <v>179</v>
      </c>
      <c r="J7" s="18" t="s">
        <v>260</v>
      </c>
      <c r="K7" s="164">
        <v>3.3530000000000002</v>
      </c>
      <c r="M7" s="44" t="s">
        <v>282</v>
      </c>
      <c r="N7" s="44" t="s">
        <v>301</v>
      </c>
      <c r="O7" s="44" t="s">
        <v>283</v>
      </c>
      <c r="P7" s="44" t="s">
        <v>284</v>
      </c>
      <c r="Q7" s="149"/>
      <c r="R7" s="149"/>
      <c r="T7" s="162" t="s">
        <v>333</v>
      </c>
      <c r="U7" s="44">
        <v>1</v>
      </c>
      <c r="V7" s="44">
        <v>1</v>
      </c>
      <c r="W7" s="44">
        <v>1</v>
      </c>
      <c r="X7" s="44">
        <v>0</v>
      </c>
      <c r="Y7" s="149"/>
      <c r="Z7" s="44">
        <f>SUM(U7:Y7)</f>
        <v>3</v>
      </c>
      <c r="AA7" s="172">
        <f>Z7/$Z$8</f>
        <v>0.3</v>
      </c>
      <c r="AC7" s="529"/>
      <c r="AD7" s="529"/>
      <c r="AE7" s="529"/>
      <c r="AF7" s="528"/>
      <c r="AG7" s="534"/>
      <c r="AI7" s="17" t="s">
        <v>221</v>
      </c>
      <c r="AJ7" s="6">
        <f>3/10</f>
        <v>0.3</v>
      </c>
      <c r="AK7" s="29">
        <v>2</v>
      </c>
      <c r="AL7" s="33">
        <f>AJ7*AK7</f>
        <v>0.6</v>
      </c>
      <c r="AM7" s="17">
        <v>3</v>
      </c>
      <c r="AN7" s="33">
        <f>AJ7*AM7</f>
        <v>0.89999999999999991</v>
      </c>
      <c r="AO7" s="17">
        <v>4</v>
      </c>
      <c r="AP7" s="33">
        <f>AJ7*AO7</f>
        <v>1.2</v>
      </c>
      <c r="AQ7" s="17">
        <v>4</v>
      </c>
      <c r="AR7" s="33">
        <f>AJ7*AQ7</f>
        <v>1.2</v>
      </c>
      <c r="AT7" s="49" t="s">
        <v>707</v>
      </c>
      <c r="AU7" s="44" t="s">
        <v>686</v>
      </c>
    </row>
    <row r="8" spans="2:47" x14ac:dyDescent="0.25">
      <c r="B8" s="44">
        <v>6</v>
      </c>
      <c r="C8" s="44" t="s">
        <v>238</v>
      </c>
      <c r="D8" s="11">
        <v>6504</v>
      </c>
      <c r="E8" s="31"/>
      <c r="F8" s="18">
        <v>46</v>
      </c>
      <c r="G8" s="44" t="s">
        <v>251</v>
      </c>
      <c r="H8" s="44">
        <v>158</v>
      </c>
      <c r="J8" s="18" t="s">
        <v>262</v>
      </c>
      <c r="K8" s="164">
        <v>3.125</v>
      </c>
      <c r="M8" s="44" t="s">
        <v>282</v>
      </c>
      <c r="N8" s="44" t="s">
        <v>252</v>
      </c>
      <c r="O8" s="44" t="s">
        <v>285</v>
      </c>
      <c r="P8" s="44" t="s">
        <v>286</v>
      </c>
      <c r="Q8" s="149"/>
      <c r="R8" s="149"/>
      <c r="T8" s="15"/>
      <c r="U8" s="15"/>
      <c r="V8" s="15"/>
      <c r="W8" s="15"/>
      <c r="X8" s="15"/>
      <c r="Y8" s="101"/>
      <c r="Z8" s="56">
        <f>SUM(Z3:Z7)</f>
        <v>10</v>
      </c>
      <c r="AA8" s="163">
        <f>SUM(AA3:AA7)</f>
        <v>1</v>
      </c>
      <c r="AC8" s="529"/>
      <c r="AD8" s="529"/>
      <c r="AE8" s="529"/>
      <c r="AF8" s="528"/>
      <c r="AG8" s="534"/>
      <c r="AI8" s="17" t="s">
        <v>222</v>
      </c>
      <c r="AJ8" s="6">
        <f>1/10</f>
        <v>0.1</v>
      </c>
      <c r="AK8" s="29">
        <v>5</v>
      </c>
      <c r="AL8" s="33">
        <f>AJ8*AK8</f>
        <v>0.5</v>
      </c>
      <c r="AM8" s="17">
        <v>3</v>
      </c>
      <c r="AN8" s="33">
        <f>AJ8*AM8</f>
        <v>0.30000000000000004</v>
      </c>
      <c r="AO8" s="17">
        <v>2</v>
      </c>
      <c r="AP8" s="33">
        <f>AJ8*AO8</f>
        <v>0.2</v>
      </c>
      <c r="AQ8" s="17">
        <v>4</v>
      </c>
      <c r="AR8" s="33">
        <f>AJ8*AQ8</f>
        <v>0.4</v>
      </c>
      <c r="AT8" s="49" t="s">
        <v>708</v>
      </c>
      <c r="AU8" s="44" t="s">
        <v>709</v>
      </c>
    </row>
    <row r="9" spans="2:47" ht="15" customHeight="1" x14ac:dyDescent="0.25">
      <c r="B9" s="44">
        <v>7</v>
      </c>
      <c r="C9" s="44" t="s">
        <v>239</v>
      </c>
      <c r="D9" s="11">
        <v>5775</v>
      </c>
      <c r="E9" s="31"/>
      <c r="F9" s="18">
        <v>47</v>
      </c>
      <c r="G9" s="44" t="s">
        <v>252</v>
      </c>
      <c r="H9" s="44">
        <v>147</v>
      </c>
      <c r="J9" s="18" t="s">
        <v>259</v>
      </c>
      <c r="K9" s="164">
        <v>2.141</v>
      </c>
      <c r="M9" s="44" t="s">
        <v>290</v>
      </c>
      <c r="N9" s="44" t="s">
        <v>291</v>
      </c>
      <c r="O9" s="44" t="s">
        <v>294</v>
      </c>
      <c r="P9" s="44" t="s">
        <v>297</v>
      </c>
      <c r="Q9" s="149"/>
      <c r="R9" s="149"/>
      <c r="AC9" s="529" t="s">
        <v>339</v>
      </c>
      <c r="AD9" s="529" t="s">
        <v>673</v>
      </c>
      <c r="AE9" s="530" t="s">
        <v>678</v>
      </c>
      <c r="AF9" s="528">
        <v>1715</v>
      </c>
      <c r="AG9" s="528">
        <v>1837</v>
      </c>
      <c r="AI9" s="5" t="s">
        <v>333</v>
      </c>
      <c r="AJ9" s="6">
        <f>3/10</f>
        <v>0.3</v>
      </c>
      <c r="AK9" s="17">
        <v>5</v>
      </c>
      <c r="AL9" s="33">
        <f>AJ9*AK9</f>
        <v>1.5</v>
      </c>
      <c r="AM9" s="17">
        <v>3</v>
      </c>
      <c r="AN9" s="33">
        <f>AJ9*AM9</f>
        <v>0.89999999999999991</v>
      </c>
      <c r="AO9" s="17">
        <v>4</v>
      </c>
      <c r="AP9" s="33">
        <f>AJ9*AO9</f>
        <v>1.2</v>
      </c>
      <c r="AQ9" s="17">
        <v>3</v>
      </c>
      <c r="AR9" s="33">
        <f>AJ9*AQ9</f>
        <v>0.89999999999999991</v>
      </c>
    </row>
    <row r="10" spans="2:47" x14ac:dyDescent="0.25">
      <c r="B10" s="44">
        <v>8</v>
      </c>
      <c r="C10" s="44" t="s">
        <v>245</v>
      </c>
      <c r="D10" s="11">
        <v>5464</v>
      </c>
      <c r="E10" s="31"/>
      <c r="F10" s="18">
        <v>48</v>
      </c>
      <c r="G10" s="44" t="s">
        <v>253</v>
      </c>
      <c r="H10" s="44">
        <v>92</v>
      </c>
      <c r="M10" s="44" t="s">
        <v>290</v>
      </c>
      <c r="N10" s="44" t="s">
        <v>292</v>
      </c>
      <c r="O10" s="44" t="s">
        <v>295</v>
      </c>
      <c r="P10" s="44" t="s">
        <v>298</v>
      </c>
      <c r="Q10" s="149"/>
      <c r="R10" s="149"/>
      <c r="AC10" s="529"/>
      <c r="AD10" s="529"/>
      <c r="AE10" s="531"/>
      <c r="AF10" s="529"/>
      <c r="AG10" s="529"/>
      <c r="AI10" s="168" t="s">
        <v>10</v>
      </c>
      <c r="AJ10" s="174">
        <f>SUM(AJ5:AJ9)</f>
        <v>1</v>
      </c>
      <c r="AK10" s="35"/>
      <c r="AL10" s="36">
        <f>SUM(AL5:AL9)</f>
        <v>3.3</v>
      </c>
      <c r="AM10" s="35"/>
      <c r="AN10" s="37">
        <f>SUM(AN5:AN9)</f>
        <v>3.3000000000000003</v>
      </c>
      <c r="AO10" s="22"/>
      <c r="AP10" s="37">
        <f>SUM(AP5:AP9)</f>
        <v>3.2</v>
      </c>
      <c r="AQ10" s="22"/>
      <c r="AR10" s="173">
        <f>SUM(AR5:AR9)</f>
        <v>3.5</v>
      </c>
    </row>
    <row r="11" spans="2:47" x14ac:dyDescent="0.25">
      <c r="B11" s="44">
        <v>9</v>
      </c>
      <c r="C11" s="44" t="s">
        <v>240</v>
      </c>
      <c r="D11" s="11">
        <v>4823</v>
      </c>
      <c r="E11" s="31"/>
      <c r="F11" s="18">
        <v>49</v>
      </c>
      <c r="G11" s="44" t="s">
        <v>254</v>
      </c>
      <c r="H11" s="44">
        <v>26</v>
      </c>
      <c r="M11" s="44" t="s">
        <v>290</v>
      </c>
      <c r="N11" s="44" t="s">
        <v>293</v>
      </c>
      <c r="O11" s="44" t="s">
        <v>296</v>
      </c>
      <c r="P11" s="44" t="s">
        <v>299</v>
      </c>
      <c r="Q11" s="149"/>
      <c r="R11" s="149"/>
      <c r="AC11" s="529"/>
      <c r="AD11" s="529"/>
      <c r="AE11" s="532"/>
      <c r="AF11" s="529"/>
      <c r="AG11" s="529"/>
    </row>
    <row r="12" spans="2:47" x14ac:dyDescent="0.25">
      <c r="B12" s="44">
        <v>10</v>
      </c>
      <c r="C12" s="44" t="s">
        <v>30</v>
      </c>
      <c r="D12" s="11">
        <v>4229</v>
      </c>
      <c r="E12" s="31"/>
      <c r="F12" s="31"/>
      <c r="G12" s="31"/>
      <c r="H12" s="32"/>
      <c r="M12" s="44" t="s">
        <v>303</v>
      </c>
      <c r="N12" s="44" t="s">
        <v>300</v>
      </c>
      <c r="O12" s="44" t="s">
        <v>307</v>
      </c>
      <c r="P12" s="44" t="s">
        <v>308</v>
      </c>
      <c r="Q12" s="170" t="s">
        <v>304</v>
      </c>
      <c r="R12" s="149"/>
      <c r="AC12" s="529" t="s">
        <v>340</v>
      </c>
      <c r="AD12" s="529" t="s">
        <v>672</v>
      </c>
      <c r="AE12" s="529" t="s">
        <v>677</v>
      </c>
      <c r="AF12" s="528">
        <v>5500</v>
      </c>
      <c r="AG12" s="528">
        <v>1248</v>
      </c>
    </row>
    <row r="13" spans="2:47" x14ac:dyDescent="0.25">
      <c r="M13" s="44" t="s">
        <v>303</v>
      </c>
      <c r="N13" s="44" t="s">
        <v>302</v>
      </c>
      <c r="O13" s="44" t="s">
        <v>309</v>
      </c>
      <c r="P13" s="44" t="s">
        <v>310</v>
      </c>
      <c r="Q13" s="44" t="s">
        <v>305</v>
      </c>
      <c r="R13" s="149"/>
      <c r="AC13" s="529"/>
      <c r="AD13" s="529"/>
      <c r="AE13" s="529"/>
      <c r="AF13" s="529"/>
      <c r="AG13" s="529"/>
    </row>
    <row r="14" spans="2:47" x14ac:dyDescent="0.25">
      <c r="M14" s="44" t="s">
        <v>303</v>
      </c>
      <c r="N14" s="44" t="s">
        <v>243</v>
      </c>
      <c r="O14" s="44" t="s">
        <v>311</v>
      </c>
      <c r="P14" s="44" t="s">
        <v>312</v>
      </c>
      <c r="Q14" s="44" t="s">
        <v>306</v>
      </c>
      <c r="R14" s="149"/>
      <c r="AC14" s="529"/>
      <c r="AD14" s="529"/>
      <c r="AE14" s="529"/>
      <c r="AF14" s="529"/>
      <c r="AG14" s="529"/>
    </row>
    <row r="15" spans="2:47" x14ac:dyDescent="0.25">
      <c r="M15" s="44" t="s">
        <v>313</v>
      </c>
      <c r="N15" s="44" t="s">
        <v>239</v>
      </c>
      <c r="O15" s="44" t="s">
        <v>314</v>
      </c>
      <c r="P15" s="44" t="s">
        <v>317</v>
      </c>
      <c r="Q15" s="44" t="s">
        <v>320</v>
      </c>
      <c r="R15" s="44" t="s">
        <v>323</v>
      </c>
    </row>
    <row r="16" spans="2:47" x14ac:dyDescent="0.25">
      <c r="M16" s="44" t="s">
        <v>313</v>
      </c>
      <c r="N16" s="44" t="s">
        <v>242</v>
      </c>
      <c r="O16" s="44" t="s">
        <v>315</v>
      </c>
      <c r="P16" s="44" t="s">
        <v>318</v>
      </c>
      <c r="Q16" s="44" t="s">
        <v>321</v>
      </c>
      <c r="R16" s="44" t="s">
        <v>324</v>
      </c>
    </row>
    <row r="17" spans="13:45" x14ac:dyDescent="0.25">
      <c r="M17" s="44" t="s">
        <v>313</v>
      </c>
      <c r="N17" s="44" t="s">
        <v>246</v>
      </c>
      <c r="O17" s="44" t="s">
        <v>316</v>
      </c>
      <c r="P17" s="44" t="s">
        <v>319</v>
      </c>
      <c r="Q17" s="44" t="s">
        <v>322</v>
      </c>
      <c r="R17" s="44" t="s">
        <v>325</v>
      </c>
    </row>
    <row r="18" spans="13:45" x14ac:dyDescent="0.25">
      <c r="M18" s="44" t="s">
        <v>326</v>
      </c>
      <c r="N18" s="44" t="s">
        <v>327</v>
      </c>
      <c r="O18" s="44" t="s">
        <v>328</v>
      </c>
      <c r="P18" s="44" t="s">
        <v>329</v>
      </c>
      <c r="Q18" s="44" t="s">
        <v>330</v>
      </c>
      <c r="R18" s="44" t="s">
        <v>331</v>
      </c>
    </row>
    <row r="19" spans="13:45" x14ac:dyDescent="0.25">
      <c r="AI19" s="101"/>
      <c r="AJ19" s="496" t="s">
        <v>683</v>
      </c>
      <c r="AK19" s="497"/>
      <c r="AL19" s="496" t="s">
        <v>684</v>
      </c>
      <c r="AM19" s="497"/>
      <c r="AN19" s="496" t="s">
        <v>685</v>
      </c>
      <c r="AO19" s="497"/>
      <c r="AP19" s="496" t="s">
        <v>686</v>
      </c>
      <c r="AQ19" s="497"/>
      <c r="AR19" s="496" t="s">
        <v>709</v>
      </c>
      <c r="AS19" s="497"/>
    </row>
    <row r="20" spans="13:45" x14ac:dyDescent="0.25">
      <c r="AI20" s="101"/>
      <c r="AJ20" s="511" t="s">
        <v>710</v>
      </c>
      <c r="AK20" s="513"/>
      <c r="AL20" s="511" t="s">
        <v>705</v>
      </c>
      <c r="AM20" s="513"/>
      <c r="AN20" s="511" t="s">
        <v>706</v>
      </c>
      <c r="AO20" s="513"/>
      <c r="AP20" s="511" t="s">
        <v>707</v>
      </c>
      <c r="AQ20" s="513"/>
      <c r="AR20" s="511" t="s">
        <v>708</v>
      </c>
      <c r="AS20" s="513"/>
    </row>
    <row r="21" spans="13:45" x14ac:dyDescent="0.25">
      <c r="AI21" s="101"/>
      <c r="AJ21" s="514"/>
      <c r="AK21" s="516"/>
      <c r="AL21" s="514"/>
      <c r="AM21" s="516"/>
      <c r="AN21" s="514"/>
      <c r="AO21" s="516"/>
      <c r="AP21" s="514"/>
      <c r="AQ21" s="516"/>
      <c r="AR21" s="514"/>
      <c r="AS21" s="516"/>
    </row>
    <row r="22" spans="13:45" x14ac:dyDescent="0.25">
      <c r="AI22" s="507" t="s">
        <v>337</v>
      </c>
      <c r="AJ22" s="491">
        <v>3</v>
      </c>
      <c r="AK22" s="491"/>
      <c r="AL22" s="491">
        <v>1</v>
      </c>
      <c r="AM22" s="491"/>
      <c r="AN22" s="491">
        <v>2</v>
      </c>
      <c r="AO22" s="491"/>
      <c r="AP22" s="491">
        <v>5</v>
      </c>
      <c r="AQ22" s="491"/>
      <c r="AR22" s="491">
        <v>5</v>
      </c>
      <c r="AS22" s="491"/>
    </row>
    <row r="23" spans="13:45" x14ac:dyDescent="0.25">
      <c r="AI23" s="508"/>
      <c r="AJ23" s="525" t="s">
        <v>722</v>
      </c>
      <c r="AK23" s="525"/>
      <c r="AL23" s="525" t="s">
        <v>729</v>
      </c>
      <c r="AM23" s="525"/>
      <c r="AN23" s="525" t="s">
        <v>723</v>
      </c>
      <c r="AO23" s="525"/>
      <c r="AP23" s="525" t="s">
        <v>715</v>
      </c>
      <c r="AQ23" s="525"/>
      <c r="AR23" s="525" t="s">
        <v>712</v>
      </c>
      <c r="AS23" s="525"/>
    </row>
    <row r="24" spans="13:45" x14ac:dyDescent="0.25">
      <c r="AI24" s="508"/>
      <c r="AJ24" s="525"/>
      <c r="AK24" s="525"/>
      <c r="AL24" s="525"/>
      <c r="AM24" s="525"/>
      <c r="AN24" s="525"/>
      <c r="AO24" s="525"/>
      <c r="AP24" s="525"/>
      <c r="AQ24" s="525"/>
      <c r="AR24" s="525"/>
      <c r="AS24" s="525"/>
    </row>
    <row r="25" spans="13:45" x14ac:dyDescent="0.25">
      <c r="AI25" s="507" t="s">
        <v>338</v>
      </c>
      <c r="AJ25" s="491">
        <v>4</v>
      </c>
      <c r="AK25" s="491"/>
      <c r="AL25" s="491">
        <v>4</v>
      </c>
      <c r="AM25" s="491"/>
      <c r="AN25" s="491">
        <v>3</v>
      </c>
      <c r="AO25" s="491"/>
      <c r="AP25" s="491">
        <v>3</v>
      </c>
      <c r="AQ25" s="491"/>
      <c r="AR25" s="491">
        <v>3</v>
      </c>
      <c r="AS25" s="491"/>
    </row>
    <row r="26" spans="13:45" x14ac:dyDescent="0.25">
      <c r="AI26" s="508"/>
      <c r="AJ26" s="525" t="s">
        <v>721</v>
      </c>
      <c r="AK26" s="525"/>
      <c r="AL26" s="525" t="s">
        <v>728</v>
      </c>
      <c r="AM26" s="525"/>
      <c r="AN26" s="525" t="s">
        <v>724</v>
      </c>
      <c r="AO26" s="525"/>
      <c r="AP26" s="525" t="s">
        <v>716</v>
      </c>
      <c r="AQ26" s="525"/>
      <c r="AR26" s="525" t="s">
        <v>711</v>
      </c>
      <c r="AS26" s="525"/>
    </row>
    <row r="27" spans="13:45" x14ac:dyDescent="0.25">
      <c r="AI27" s="508"/>
      <c r="AJ27" s="525"/>
      <c r="AK27" s="525"/>
      <c r="AL27" s="525"/>
      <c r="AM27" s="525"/>
      <c r="AN27" s="525"/>
      <c r="AO27" s="525"/>
      <c r="AP27" s="525"/>
      <c r="AQ27" s="525"/>
      <c r="AR27" s="525"/>
      <c r="AS27" s="525"/>
    </row>
    <row r="28" spans="13:45" x14ac:dyDescent="0.25">
      <c r="AI28" s="507" t="s">
        <v>339</v>
      </c>
      <c r="AJ28" s="491">
        <v>2</v>
      </c>
      <c r="AK28" s="491"/>
      <c r="AL28" s="491">
        <v>2</v>
      </c>
      <c r="AM28" s="491"/>
      <c r="AN28" s="491">
        <v>4</v>
      </c>
      <c r="AO28" s="491"/>
      <c r="AP28" s="491">
        <v>2</v>
      </c>
      <c r="AQ28" s="491"/>
      <c r="AR28" s="491">
        <v>4</v>
      </c>
      <c r="AS28" s="491"/>
    </row>
    <row r="29" spans="13:45" x14ac:dyDescent="0.25">
      <c r="AI29" s="508"/>
      <c r="AJ29" s="525" t="s">
        <v>720</v>
      </c>
      <c r="AK29" s="525"/>
      <c r="AL29" s="525" t="s">
        <v>729</v>
      </c>
      <c r="AM29" s="525"/>
      <c r="AN29" s="525" t="s">
        <v>726</v>
      </c>
      <c r="AO29" s="525"/>
      <c r="AP29" s="525" t="s">
        <v>717</v>
      </c>
      <c r="AQ29" s="525"/>
      <c r="AR29" s="525" t="s">
        <v>713</v>
      </c>
      <c r="AS29" s="525"/>
    </row>
    <row r="30" spans="13:45" x14ac:dyDescent="0.25">
      <c r="AI30" s="508"/>
      <c r="AJ30" s="525"/>
      <c r="AK30" s="525"/>
      <c r="AL30" s="525"/>
      <c r="AM30" s="525"/>
      <c r="AN30" s="525"/>
      <c r="AO30" s="525"/>
      <c r="AP30" s="525"/>
      <c r="AQ30" s="525"/>
      <c r="AR30" s="525"/>
      <c r="AS30" s="525"/>
    </row>
    <row r="31" spans="13:45" x14ac:dyDescent="0.25">
      <c r="AI31" s="507" t="s">
        <v>340</v>
      </c>
      <c r="AJ31" s="491">
        <v>3</v>
      </c>
      <c r="AK31" s="491"/>
      <c r="AL31" s="491">
        <v>4</v>
      </c>
      <c r="AM31" s="491"/>
      <c r="AN31" s="491">
        <v>4</v>
      </c>
      <c r="AO31" s="491"/>
      <c r="AP31" s="491">
        <v>4</v>
      </c>
      <c r="AQ31" s="491"/>
      <c r="AR31" s="491">
        <v>3</v>
      </c>
      <c r="AS31" s="491"/>
    </row>
    <row r="32" spans="13:45" x14ac:dyDescent="0.25">
      <c r="AI32" s="508"/>
      <c r="AJ32" s="525" t="s">
        <v>719</v>
      </c>
      <c r="AK32" s="525"/>
      <c r="AL32" s="525" t="s">
        <v>727</v>
      </c>
      <c r="AM32" s="525"/>
      <c r="AN32" s="525" t="s">
        <v>725</v>
      </c>
      <c r="AO32" s="525"/>
      <c r="AP32" s="525" t="s">
        <v>718</v>
      </c>
      <c r="AQ32" s="525"/>
      <c r="AR32" s="525" t="s">
        <v>714</v>
      </c>
      <c r="AS32" s="525"/>
    </row>
    <row r="33" spans="35:45" x14ac:dyDescent="0.25">
      <c r="AI33" s="508"/>
      <c r="AJ33" s="525"/>
      <c r="AK33" s="525"/>
      <c r="AL33" s="525"/>
      <c r="AM33" s="525"/>
      <c r="AN33" s="525"/>
      <c r="AO33" s="525"/>
      <c r="AP33" s="525"/>
      <c r="AQ33" s="525"/>
      <c r="AR33" s="525"/>
      <c r="AS33" s="525"/>
    </row>
    <row r="35" spans="35:45" ht="15" customHeight="1" x14ac:dyDescent="0.25"/>
  </sheetData>
  <mergeCells count="82">
    <mergeCell ref="O1:P1"/>
    <mergeCell ref="Q1:R1"/>
    <mergeCell ref="AG3:AG5"/>
    <mergeCell ref="AD6:AD8"/>
    <mergeCell ref="AC6:AC8"/>
    <mergeCell ref="AE6:AE8"/>
    <mergeCell ref="AF6:AF8"/>
    <mergeCell ref="AG6:AG8"/>
    <mergeCell ref="AE3:AE5"/>
    <mergeCell ref="AD3:AD5"/>
    <mergeCell ref="AC3:AC5"/>
    <mergeCell ref="AF3:AF5"/>
    <mergeCell ref="AF9:AF11"/>
    <mergeCell ref="AG9:AG11"/>
    <mergeCell ref="AE9:AE11"/>
    <mergeCell ref="AC12:AC14"/>
    <mergeCell ref="AD12:AD14"/>
    <mergeCell ref="AE12:AE14"/>
    <mergeCell ref="AF12:AF14"/>
    <mergeCell ref="AG12:AG14"/>
    <mergeCell ref="AC9:AC11"/>
    <mergeCell ref="AD9:AD11"/>
    <mergeCell ref="AT3:AU3"/>
    <mergeCell ref="AJ19:AK19"/>
    <mergeCell ref="AL19:AM19"/>
    <mergeCell ref="AN19:AO19"/>
    <mergeCell ref="AP19:AQ19"/>
    <mergeCell ref="AR19:AS19"/>
    <mergeCell ref="AI3:AJ3"/>
    <mergeCell ref="AK3:AL3"/>
    <mergeCell ref="AM3:AN3"/>
    <mergeCell ref="AO3:AP3"/>
    <mergeCell ref="AQ3:AR3"/>
    <mergeCell ref="AJ20:AK21"/>
    <mergeCell ref="AL20:AM21"/>
    <mergeCell ref="AN20:AO21"/>
    <mergeCell ref="AP20:AQ21"/>
    <mergeCell ref="AI22:AI24"/>
    <mergeCell ref="AJ22:AK22"/>
    <mergeCell ref="AL22:AM22"/>
    <mergeCell ref="AN22:AO22"/>
    <mergeCell ref="AP22:AQ22"/>
    <mergeCell ref="AJ23:AK24"/>
    <mergeCell ref="AL23:AM24"/>
    <mergeCell ref="AN23:AO24"/>
    <mergeCell ref="AP23:AQ24"/>
    <mergeCell ref="AI25:AI27"/>
    <mergeCell ref="AJ25:AK25"/>
    <mergeCell ref="AL25:AM25"/>
    <mergeCell ref="AN25:AO25"/>
    <mergeCell ref="AP25:AQ25"/>
    <mergeCell ref="AJ26:AK27"/>
    <mergeCell ref="AL26:AM27"/>
    <mergeCell ref="AN26:AO27"/>
    <mergeCell ref="AP26:AQ27"/>
    <mergeCell ref="AI28:AI30"/>
    <mergeCell ref="AJ28:AK28"/>
    <mergeCell ref="AL28:AM28"/>
    <mergeCell ref="AN28:AO28"/>
    <mergeCell ref="AP28:AQ28"/>
    <mergeCell ref="AJ29:AK30"/>
    <mergeCell ref="AL29:AM30"/>
    <mergeCell ref="AN29:AO30"/>
    <mergeCell ref="AP29:AQ30"/>
    <mergeCell ref="AI31:AI33"/>
    <mergeCell ref="AJ31:AK31"/>
    <mergeCell ref="AL31:AM31"/>
    <mergeCell ref="AN31:AO31"/>
    <mergeCell ref="AP31:AQ31"/>
    <mergeCell ref="AJ32:AK33"/>
    <mergeCell ref="AL32:AM33"/>
    <mergeCell ref="AN32:AO33"/>
    <mergeCell ref="AP32:AQ33"/>
    <mergeCell ref="AR28:AS28"/>
    <mergeCell ref="AR29:AS30"/>
    <mergeCell ref="AR31:AS31"/>
    <mergeCell ref="AR32:AS33"/>
    <mergeCell ref="AR20:AS21"/>
    <mergeCell ref="AR22:AS22"/>
    <mergeCell ref="AR23:AS24"/>
    <mergeCell ref="AR25:AS25"/>
    <mergeCell ref="AR26:AS27"/>
  </mergeCells>
  <pageMargins left="0.7" right="0.7" top="0.75" bottom="0.75" header="0.3" footer="0.3"/>
  <pageSetup orientation="portrait" r:id="rId1"/>
  <ignoredErrors>
    <ignoredError sqref="AJ7:AJ8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2"/>
  <sheetViews>
    <sheetView zoomScale="75" zoomScaleNormal="75" zoomScalePageLayoutView="75" workbookViewId="0">
      <selection activeCell="J9" sqref="J9"/>
    </sheetView>
  </sheetViews>
  <sheetFormatPr baseColWidth="10" defaultColWidth="10.85546875" defaultRowHeight="15" x14ac:dyDescent="0.25"/>
  <cols>
    <col min="2" max="3" width="20" customWidth="1"/>
    <col min="4" max="6" width="12.140625" customWidth="1"/>
    <col min="7" max="7" width="20" customWidth="1"/>
    <col min="10" max="10" width="30.140625" bestFit="1" customWidth="1"/>
    <col min="11" max="14" width="10.7109375" customWidth="1"/>
    <col min="15" max="16" width="28.42578125" customWidth="1"/>
  </cols>
  <sheetData>
    <row r="2" spans="1:16" ht="18.75" customHeight="1" x14ac:dyDescent="0.25"/>
    <row r="3" spans="1:16" ht="18.75" customHeight="1" x14ac:dyDescent="0.25">
      <c r="A3" s="537" t="s">
        <v>22</v>
      </c>
      <c r="B3" s="537" t="s">
        <v>344</v>
      </c>
      <c r="C3" s="537" t="s">
        <v>345</v>
      </c>
      <c r="D3" s="538" t="s">
        <v>350</v>
      </c>
      <c r="E3" s="539"/>
      <c r="F3" s="539"/>
      <c r="G3" s="539"/>
      <c r="I3" s="22"/>
      <c r="J3" s="22"/>
      <c r="K3" s="22"/>
      <c r="L3" s="22"/>
      <c r="M3" s="22"/>
      <c r="N3" s="22"/>
      <c r="O3" s="535" t="s">
        <v>352</v>
      </c>
      <c r="P3" s="535" t="s">
        <v>351</v>
      </c>
    </row>
    <row r="4" spans="1:16" x14ac:dyDescent="0.25">
      <c r="A4" s="537"/>
      <c r="B4" s="537"/>
      <c r="C4" s="537"/>
      <c r="D4" s="168" t="s">
        <v>346</v>
      </c>
      <c r="E4" s="168" t="s">
        <v>347</v>
      </c>
      <c r="F4" s="168" t="s">
        <v>348</v>
      </c>
      <c r="G4" s="168" t="s">
        <v>349</v>
      </c>
      <c r="I4" s="22"/>
      <c r="J4" s="168" t="s">
        <v>349</v>
      </c>
      <c r="K4" s="168" t="s">
        <v>147</v>
      </c>
      <c r="L4" s="168" t="s">
        <v>148</v>
      </c>
      <c r="M4" s="168" t="s">
        <v>730</v>
      </c>
      <c r="N4" s="168" t="s">
        <v>144</v>
      </c>
      <c r="O4" s="536"/>
      <c r="P4" s="536"/>
    </row>
    <row r="5" spans="1:16" x14ac:dyDescent="0.25">
      <c r="A5" s="17">
        <v>2017</v>
      </c>
      <c r="B5" s="236">
        <f>'Demanda del Proyecto'!J20</f>
        <v>65260.595784911748</v>
      </c>
      <c r="C5" s="6">
        <v>0.109</v>
      </c>
      <c r="D5" s="236">
        <f t="shared" ref="D5:D9" si="0">B5+C5*B5</f>
        <v>72374.000725467122</v>
      </c>
      <c r="E5" s="236">
        <f t="shared" ref="E5:E9" si="1">D5/12</f>
        <v>6031.1667271222605</v>
      </c>
      <c r="F5" s="236">
        <f t="shared" ref="F5:F9" si="2">E5/26</f>
        <v>231.96795104316385</v>
      </c>
      <c r="G5" s="236">
        <f t="shared" ref="G5:G9" si="3">F5/0.3</f>
        <v>773.22650347721287</v>
      </c>
      <c r="I5" s="17">
        <v>2017</v>
      </c>
      <c r="J5" s="3">
        <f>G5</f>
        <v>773.22650347721287</v>
      </c>
      <c r="K5" s="47">
        <f>J5/4</f>
        <v>193.30662586930322</v>
      </c>
      <c r="L5" s="47">
        <f>J5/4</f>
        <v>193.30662586930322</v>
      </c>
      <c r="M5" s="47">
        <f>J5/4</f>
        <v>193.30662586930322</v>
      </c>
      <c r="N5" s="47">
        <f>J5/4</f>
        <v>193.30662586930322</v>
      </c>
      <c r="O5" s="236">
        <v>1200</v>
      </c>
      <c r="P5" s="236">
        <v>4800</v>
      </c>
    </row>
    <row r="6" spans="1:16" x14ac:dyDescent="0.25">
      <c r="A6" s="17">
        <v>2018</v>
      </c>
      <c r="B6" s="236">
        <f>'Demanda del Proyecto'!J21</f>
        <v>120359.33726828717</v>
      </c>
      <c r="C6" s="6">
        <v>0.106</v>
      </c>
      <c r="D6" s="236">
        <f t="shared" si="0"/>
        <v>133117.4270187256</v>
      </c>
      <c r="E6" s="236">
        <f t="shared" si="1"/>
        <v>11093.118918227134</v>
      </c>
      <c r="F6" s="236">
        <f t="shared" si="2"/>
        <v>426.65841993181283</v>
      </c>
      <c r="G6" s="236">
        <f t="shared" si="3"/>
        <v>1422.1947331060428</v>
      </c>
      <c r="I6" s="17">
        <v>2018</v>
      </c>
      <c r="J6" s="3">
        <f>G6</f>
        <v>1422.1947331060428</v>
      </c>
      <c r="K6" s="47">
        <f>J6/4</f>
        <v>355.5486832765107</v>
      </c>
      <c r="L6" s="47">
        <f>J6/4</f>
        <v>355.5486832765107</v>
      </c>
      <c r="M6" s="47">
        <f>J6/4</f>
        <v>355.5486832765107</v>
      </c>
      <c r="N6" s="47">
        <f>J6/4</f>
        <v>355.5486832765107</v>
      </c>
      <c r="O6" s="236">
        <v>1200</v>
      </c>
      <c r="P6" s="236">
        <v>4800</v>
      </c>
    </row>
    <row r="7" spans="1:16" x14ac:dyDescent="0.25">
      <c r="A7" s="17">
        <v>2019</v>
      </c>
      <c r="B7" s="236">
        <f>'Demanda del Proyecto'!J22</f>
        <v>192762.28448477722</v>
      </c>
      <c r="C7" s="6">
        <v>0.1125</v>
      </c>
      <c r="D7" s="236">
        <f t="shared" si="0"/>
        <v>214448.04148931467</v>
      </c>
      <c r="E7" s="236">
        <f t="shared" si="1"/>
        <v>17870.670124109554</v>
      </c>
      <c r="F7" s="236">
        <f t="shared" si="2"/>
        <v>687.33346631190591</v>
      </c>
      <c r="G7" s="236">
        <f t="shared" si="3"/>
        <v>2291.1115543730198</v>
      </c>
      <c r="I7" s="17">
        <v>2019</v>
      </c>
      <c r="J7" s="3">
        <f>G7</f>
        <v>2291.1115543730198</v>
      </c>
      <c r="K7" s="47">
        <f>J7/4</f>
        <v>572.77788859325494</v>
      </c>
      <c r="L7" s="47">
        <f>J7/4</f>
        <v>572.77788859325494</v>
      </c>
      <c r="M7" s="47">
        <f>J7/4</f>
        <v>572.77788859325494</v>
      </c>
      <c r="N7" s="47">
        <f>J7/4</f>
        <v>572.77788859325494</v>
      </c>
      <c r="O7" s="236">
        <v>1200</v>
      </c>
      <c r="P7" s="236">
        <v>4800</v>
      </c>
    </row>
    <row r="8" spans="1:16" x14ac:dyDescent="0.25">
      <c r="A8" s="17">
        <v>2020</v>
      </c>
      <c r="B8" s="236">
        <f>'Demanda del Proyecto'!J23</f>
        <v>283789.52232156921</v>
      </c>
      <c r="C8" s="6">
        <v>0.122</v>
      </c>
      <c r="D8" s="236">
        <f t="shared" si="0"/>
        <v>318411.84404480067</v>
      </c>
      <c r="E8" s="236">
        <f t="shared" si="1"/>
        <v>26534.320337066722</v>
      </c>
      <c r="F8" s="236">
        <f t="shared" si="2"/>
        <v>1020.5507821948739</v>
      </c>
      <c r="G8" s="236">
        <f t="shared" si="3"/>
        <v>3401.8359406495797</v>
      </c>
      <c r="I8" s="17">
        <v>2020</v>
      </c>
      <c r="J8" s="3">
        <f>G8</f>
        <v>3401.8359406495797</v>
      </c>
      <c r="K8" s="47">
        <f>J8/4</f>
        <v>850.45898516239492</v>
      </c>
      <c r="L8" s="47">
        <f>J8/4</f>
        <v>850.45898516239492</v>
      </c>
      <c r="M8" s="47">
        <f>J8/4</f>
        <v>850.45898516239492</v>
      </c>
      <c r="N8" s="47">
        <f>J8/4</f>
        <v>850.45898516239492</v>
      </c>
      <c r="O8" s="236">
        <v>1200</v>
      </c>
      <c r="P8" s="236">
        <v>4800</v>
      </c>
    </row>
    <row r="9" spans="1:16" x14ac:dyDescent="0.25">
      <c r="A9" s="412">
        <v>2021</v>
      </c>
      <c r="B9" s="411">
        <f>'Demanda del Proyecto'!J24</f>
        <v>394675.96095606074</v>
      </c>
      <c r="C9" s="6">
        <v>0.13300000000000001</v>
      </c>
      <c r="D9" s="411">
        <f t="shared" si="0"/>
        <v>447167.86376321682</v>
      </c>
      <c r="E9" s="411">
        <f t="shared" si="1"/>
        <v>37263.988646934733</v>
      </c>
      <c r="F9" s="411">
        <f t="shared" si="2"/>
        <v>1433.2303325744128</v>
      </c>
      <c r="G9" s="411">
        <f t="shared" si="3"/>
        <v>4777.4344419147101</v>
      </c>
      <c r="I9" s="412">
        <v>2021</v>
      </c>
      <c r="J9" s="411">
        <f>G9</f>
        <v>4777.4344419147101</v>
      </c>
      <c r="K9" s="411">
        <f>J9/4</f>
        <v>1194.3586104786775</v>
      </c>
      <c r="L9" s="411">
        <f>J9/4</f>
        <v>1194.3586104786775</v>
      </c>
      <c r="M9" s="411">
        <f>J9/4</f>
        <v>1194.3586104786775</v>
      </c>
      <c r="N9" s="411">
        <f>J9/4</f>
        <v>1194.3586104786775</v>
      </c>
      <c r="O9" s="411">
        <v>1200</v>
      </c>
      <c r="P9" s="411">
        <v>4800</v>
      </c>
    </row>
    <row r="10" spans="1:16" ht="15" customHeight="1" x14ac:dyDescent="0.25">
      <c r="I10" s="24"/>
      <c r="J10" s="24"/>
      <c r="K10" s="24"/>
      <c r="L10" s="24"/>
      <c r="M10" s="24"/>
      <c r="N10" s="24"/>
      <c r="O10" s="24"/>
      <c r="P10" s="24"/>
    </row>
    <row r="11" spans="1:16" x14ac:dyDescent="0.25">
      <c r="I11" s="17" t="s">
        <v>22</v>
      </c>
      <c r="J11" s="17" t="s">
        <v>353</v>
      </c>
      <c r="K11" s="24"/>
      <c r="L11" s="24"/>
      <c r="M11" s="24"/>
      <c r="N11" s="24"/>
      <c r="O11" s="24"/>
      <c r="P11" s="24"/>
    </row>
    <row r="12" spans="1:16" x14ac:dyDescent="0.25">
      <c r="I12" s="17">
        <v>2017</v>
      </c>
      <c r="J12" s="2">
        <f>J5/P5</f>
        <v>0.16108885489108601</v>
      </c>
      <c r="K12" s="24"/>
      <c r="L12" s="24"/>
      <c r="M12" s="24"/>
      <c r="N12" s="24"/>
      <c r="O12" s="24"/>
      <c r="P12" s="24"/>
    </row>
    <row r="13" spans="1:16" x14ac:dyDescent="0.25">
      <c r="I13" s="17">
        <v>2018</v>
      </c>
      <c r="J13" s="2">
        <f>J6/P6</f>
        <v>0.29629056939709225</v>
      </c>
      <c r="K13" s="24"/>
      <c r="L13" s="24"/>
      <c r="M13" s="24"/>
      <c r="N13" s="24"/>
      <c r="O13" s="24"/>
      <c r="P13" s="24"/>
    </row>
    <row r="14" spans="1:16" x14ac:dyDescent="0.25">
      <c r="I14" s="17">
        <v>2019</v>
      </c>
      <c r="J14" s="2">
        <f>J7/P7</f>
        <v>0.4773149071610458</v>
      </c>
      <c r="K14" s="24"/>
      <c r="L14" s="24"/>
      <c r="M14" s="24"/>
      <c r="N14" s="24"/>
      <c r="O14" s="24"/>
      <c r="P14" s="24"/>
    </row>
    <row r="15" spans="1:16" x14ac:dyDescent="0.25">
      <c r="I15" s="17">
        <v>2020</v>
      </c>
      <c r="J15" s="2">
        <f>J8/P8</f>
        <v>0.70871582096866248</v>
      </c>
      <c r="K15" s="24"/>
      <c r="L15" s="24"/>
      <c r="M15" s="24"/>
      <c r="N15" s="24"/>
      <c r="O15" s="24"/>
      <c r="P15" s="24"/>
    </row>
    <row r="16" spans="1:16" x14ac:dyDescent="0.25">
      <c r="I16" s="412">
        <v>2021</v>
      </c>
      <c r="J16" s="2">
        <f>J9/P9</f>
        <v>0.99529884206556463</v>
      </c>
      <c r="K16" s="24"/>
      <c r="L16" s="24"/>
      <c r="M16" s="24"/>
      <c r="N16" s="24"/>
      <c r="O16" s="24"/>
      <c r="P16" s="24"/>
    </row>
    <row r="17" spans="11:14" x14ac:dyDescent="0.25">
      <c r="K17" s="1"/>
      <c r="L17" s="1"/>
      <c r="M17" s="1"/>
      <c r="N17" s="1"/>
    </row>
    <row r="18" spans="11:14" x14ac:dyDescent="0.25">
      <c r="K18" s="1"/>
      <c r="L18" s="1"/>
    </row>
    <row r="20" spans="11:14" x14ac:dyDescent="0.25">
      <c r="N20" s="175"/>
    </row>
    <row r="22" spans="11:14" x14ac:dyDescent="0.25">
      <c r="L22" s="40"/>
    </row>
  </sheetData>
  <mergeCells count="6">
    <mergeCell ref="P3:P4"/>
    <mergeCell ref="A3:A4"/>
    <mergeCell ref="B3:B4"/>
    <mergeCell ref="C3:C4"/>
    <mergeCell ref="D3:G3"/>
    <mergeCell ref="O3:O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7"/>
  <sheetViews>
    <sheetView zoomScale="70" zoomScaleNormal="70" zoomScalePageLayoutView="70" workbookViewId="0">
      <selection activeCell="S28" sqref="S28"/>
    </sheetView>
  </sheetViews>
  <sheetFormatPr baseColWidth="10" defaultColWidth="10.85546875" defaultRowHeight="15" x14ac:dyDescent="0.25"/>
  <cols>
    <col min="1" max="1" width="14.85546875" customWidth="1"/>
    <col min="3" max="3" width="14.85546875" customWidth="1"/>
    <col min="5" max="5" width="14.85546875" customWidth="1"/>
    <col min="7" max="7" width="14.85546875" customWidth="1"/>
    <col min="9" max="9" width="14.85546875" customWidth="1"/>
    <col min="11" max="11" width="14.85546875" customWidth="1"/>
    <col min="13" max="13" width="14.85546875" customWidth="1"/>
    <col min="15" max="15" width="15.140625" customWidth="1"/>
    <col min="17" max="17" width="44.42578125" bestFit="1" customWidth="1"/>
    <col min="19" max="19" width="17.7109375" bestFit="1" customWidth="1"/>
    <col min="20" max="20" width="17.42578125" customWidth="1"/>
    <col min="25" max="25" width="25.42578125" bestFit="1" customWidth="1"/>
    <col min="27" max="27" width="26" bestFit="1" customWidth="1"/>
    <col min="28" max="28" width="26.85546875" bestFit="1" customWidth="1"/>
    <col min="29" max="29" width="25.42578125" bestFit="1" customWidth="1"/>
  </cols>
  <sheetData>
    <row r="1" spans="1:29" x14ac:dyDescent="0.25">
      <c r="A1" s="544" t="s">
        <v>562</v>
      </c>
      <c r="B1" s="544"/>
      <c r="C1" s="544"/>
      <c r="E1" s="48"/>
    </row>
    <row r="2" spans="1:29" ht="15" customHeight="1" x14ac:dyDescent="0.25">
      <c r="A2" s="31"/>
      <c r="B2" s="31"/>
      <c r="C2" s="31"/>
      <c r="D2" s="31"/>
      <c r="E2" s="32"/>
      <c r="F2" s="31"/>
      <c r="G2" s="31"/>
      <c r="H2" s="31"/>
      <c r="I2" s="31"/>
      <c r="J2" s="31"/>
      <c r="K2" s="31"/>
      <c r="L2" s="31"/>
      <c r="M2" s="31"/>
      <c r="N2" s="31"/>
      <c r="O2" s="31"/>
      <c r="Q2" s="527" t="s">
        <v>1018</v>
      </c>
      <c r="S2" s="504" t="s">
        <v>137</v>
      </c>
      <c r="T2" s="504" t="s">
        <v>354</v>
      </c>
      <c r="U2" s="504" t="s">
        <v>355</v>
      </c>
      <c r="V2" s="504" t="s">
        <v>356</v>
      </c>
      <c r="X2" s="510" t="s">
        <v>22</v>
      </c>
      <c r="Y2" s="504" t="s">
        <v>159</v>
      </c>
      <c r="Z2" s="504" t="s">
        <v>365</v>
      </c>
      <c r="AA2" s="504" t="s">
        <v>362</v>
      </c>
      <c r="AB2" s="504" t="s">
        <v>363</v>
      </c>
      <c r="AC2" s="504" t="s">
        <v>364</v>
      </c>
    </row>
    <row r="3" spans="1:29" x14ac:dyDescent="0.25">
      <c r="A3" s="31"/>
      <c r="B3" s="31"/>
      <c r="C3" s="31"/>
      <c r="D3" s="31"/>
      <c r="E3" s="151" t="s">
        <v>944</v>
      </c>
      <c r="F3" s="31"/>
      <c r="G3" s="152" t="s">
        <v>945</v>
      </c>
      <c r="H3" s="31"/>
      <c r="I3" s="31"/>
      <c r="J3" s="31"/>
      <c r="K3" s="31"/>
      <c r="L3" s="31"/>
      <c r="M3" s="31"/>
      <c r="N3" s="31"/>
      <c r="O3" s="31"/>
      <c r="Q3" s="527"/>
      <c r="S3" s="506"/>
      <c r="T3" s="506"/>
      <c r="U3" s="506"/>
      <c r="V3" s="506"/>
      <c r="X3" s="510"/>
      <c r="Y3" s="506"/>
      <c r="Z3" s="506"/>
      <c r="AA3" s="506"/>
      <c r="AB3" s="506"/>
      <c r="AC3" s="506"/>
    </row>
    <row r="4" spans="1:29" x14ac:dyDescent="0.25">
      <c r="A4" s="31"/>
      <c r="B4" s="31"/>
      <c r="C4" s="31"/>
      <c r="D4" s="31"/>
      <c r="E4" s="151" t="s">
        <v>551</v>
      </c>
      <c r="F4" s="31"/>
      <c r="G4" s="152" t="s">
        <v>552</v>
      </c>
      <c r="H4" s="31"/>
      <c r="I4" s="31"/>
      <c r="J4" s="31"/>
      <c r="K4" s="31"/>
      <c r="L4" s="31"/>
      <c r="M4" s="31"/>
      <c r="N4" s="31"/>
      <c r="O4" s="31"/>
      <c r="Q4" s="233" t="s">
        <v>1019</v>
      </c>
      <c r="S4" s="233" t="s">
        <v>147</v>
      </c>
      <c r="T4" s="170" t="s">
        <v>367</v>
      </c>
      <c r="U4" s="233">
        <v>3.8</v>
      </c>
      <c r="V4" s="233" t="s">
        <v>357</v>
      </c>
      <c r="X4" s="510"/>
      <c r="Y4" s="44" t="s">
        <v>51</v>
      </c>
      <c r="Z4" s="44" t="s">
        <v>51</v>
      </c>
      <c r="AA4" s="44" t="s">
        <v>361</v>
      </c>
      <c r="AB4" s="44" t="s">
        <v>361</v>
      </c>
      <c r="AC4" s="44" t="s">
        <v>361</v>
      </c>
    </row>
    <row r="5" spans="1:29" x14ac:dyDescent="0.25">
      <c r="A5" s="31"/>
      <c r="B5" s="210" t="s">
        <v>546</v>
      </c>
      <c r="D5" s="210" t="s">
        <v>547</v>
      </c>
      <c r="E5" s="48"/>
      <c r="F5" s="210" t="s">
        <v>548</v>
      </c>
      <c r="H5" s="210" t="s">
        <v>554</v>
      </c>
      <c r="I5" s="209"/>
      <c r="J5" s="209" t="s">
        <v>571</v>
      </c>
      <c r="K5" s="157"/>
      <c r="L5" s="157" t="s">
        <v>946</v>
      </c>
      <c r="M5" s="545" t="s">
        <v>947</v>
      </c>
      <c r="N5" s="545"/>
      <c r="O5" s="31"/>
      <c r="Q5" s="233" t="s">
        <v>1020</v>
      </c>
      <c r="S5" s="233" t="s">
        <v>148</v>
      </c>
      <c r="T5" s="233" t="s">
        <v>1357</v>
      </c>
      <c r="U5" s="233">
        <v>3.8</v>
      </c>
      <c r="V5" s="233" t="s">
        <v>357</v>
      </c>
      <c r="X5" s="44">
        <v>2017</v>
      </c>
      <c r="Y5" s="241">
        <f>'Tamaño de Planta'!B5</f>
        <v>65260.595784911748</v>
      </c>
      <c r="Z5" s="11">
        <f>Y5*10.9%</f>
        <v>7113.4049405553806</v>
      </c>
      <c r="AA5" s="241">
        <f t="shared" ref="AA5:AA9" si="0">(Y5+Z5)/0.3</f>
        <v>241246.66908489043</v>
      </c>
      <c r="AB5" s="11">
        <f>AA5/12</f>
        <v>20103.889090407534</v>
      </c>
      <c r="AC5" s="11">
        <f>AB5/26</f>
        <v>773.22650347721287</v>
      </c>
    </row>
    <row r="6" spans="1:29" x14ac:dyDescent="0.25">
      <c r="A6" s="31"/>
      <c r="B6" s="31"/>
      <c r="C6" s="31"/>
      <c r="D6" s="31"/>
      <c r="E6" s="32"/>
      <c r="F6" s="31"/>
      <c r="G6" s="31"/>
      <c r="H6" s="31"/>
      <c r="I6" s="31"/>
      <c r="J6" s="31"/>
      <c r="K6" s="31"/>
      <c r="L6" s="31"/>
      <c r="M6" s="31"/>
      <c r="N6" s="31"/>
      <c r="O6" s="31"/>
      <c r="Q6" s="233" t="s">
        <v>1021</v>
      </c>
      <c r="S6" s="233" t="s">
        <v>730</v>
      </c>
      <c r="T6" s="233" t="s">
        <v>366</v>
      </c>
      <c r="U6" s="233">
        <v>3.8</v>
      </c>
      <c r="V6" s="233" t="s">
        <v>357</v>
      </c>
      <c r="X6" s="44">
        <v>2018</v>
      </c>
      <c r="Y6" s="241">
        <f>'Tamaño de Planta'!B6</f>
        <v>120359.33726828717</v>
      </c>
      <c r="Z6" s="319">
        <f>Y6*10.6%</f>
        <v>12758.089750438439</v>
      </c>
      <c r="AA6" s="241">
        <f t="shared" si="0"/>
        <v>443724.75672908535</v>
      </c>
      <c r="AB6" s="11">
        <f>AA6/12</f>
        <v>36977.063060757115</v>
      </c>
      <c r="AC6" s="11">
        <f>AB6/26</f>
        <v>1422.1947331060428</v>
      </c>
    </row>
    <row r="7" spans="1:29" x14ac:dyDescent="0.25">
      <c r="A7" s="31"/>
      <c r="B7" s="31"/>
      <c r="C7" s="31"/>
      <c r="D7" s="31"/>
      <c r="E7" s="32"/>
      <c r="F7" s="31"/>
      <c r="G7" s="31"/>
      <c r="H7" s="31"/>
      <c r="I7" s="31"/>
      <c r="J7" s="31"/>
      <c r="K7" s="31"/>
      <c r="L7" s="31"/>
      <c r="M7" s="31"/>
      <c r="N7" s="31"/>
      <c r="O7" s="31"/>
      <c r="Q7" s="233" t="s">
        <v>1022</v>
      </c>
      <c r="S7" s="233" t="s">
        <v>144</v>
      </c>
      <c r="T7" s="233" t="s">
        <v>366</v>
      </c>
      <c r="U7" s="233">
        <v>3.8</v>
      </c>
      <c r="V7" s="233">
        <v>12.5</v>
      </c>
      <c r="X7" s="44">
        <v>2019</v>
      </c>
      <c r="Y7" s="241">
        <f>'Tamaño de Planta'!B7</f>
        <v>192762.28448477722</v>
      </c>
      <c r="Z7" s="319">
        <f>Y7*11.25%</f>
        <v>21685.757004537438</v>
      </c>
      <c r="AA7" s="241">
        <f t="shared" si="0"/>
        <v>714826.8049643822</v>
      </c>
      <c r="AB7" s="11">
        <f>AA7/12</f>
        <v>59568.900413698517</v>
      </c>
      <c r="AC7" s="11">
        <f>AB7/26</f>
        <v>2291.1115543730198</v>
      </c>
    </row>
    <row r="8" spans="1:29" x14ac:dyDescent="0.25">
      <c r="A8" s="31"/>
      <c r="B8" s="31"/>
      <c r="C8" s="31"/>
      <c r="D8" s="31"/>
      <c r="E8" s="32"/>
      <c r="F8" s="31"/>
      <c r="G8" s="31"/>
      <c r="H8" s="31"/>
      <c r="I8" s="31"/>
      <c r="J8" s="31"/>
      <c r="K8" s="31"/>
      <c r="L8" s="31"/>
      <c r="M8" s="31"/>
      <c r="N8" s="31"/>
      <c r="O8" s="31"/>
      <c r="Q8" s="286" t="s">
        <v>1354</v>
      </c>
      <c r="X8" s="44">
        <v>2020</v>
      </c>
      <c r="Y8" s="241">
        <f>'Tamaño de Planta'!B8</f>
        <v>283789.52232156921</v>
      </c>
      <c r="Z8" s="319">
        <f>Y8*12.2%</f>
        <v>34622.321723231442</v>
      </c>
      <c r="AA8" s="241">
        <f t="shared" si="0"/>
        <v>1061372.8134826689</v>
      </c>
      <c r="AB8" s="11">
        <f>AA8/12</f>
        <v>88447.734456889084</v>
      </c>
      <c r="AC8" s="11">
        <f>AB8/26</f>
        <v>3401.8359406495802</v>
      </c>
    </row>
    <row r="9" spans="1:29" x14ac:dyDescent="0.25">
      <c r="A9" s="101" t="s">
        <v>1048</v>
      </c>
      <c r="B9" s="31"/>
      <c r="C9" s="101" t="s">
        <v>1048</v>
      </c>
      <c r="D9" s="31"/>
      <c r="E9" s="101" t="s">
        <v>1048</v>
      </c>
      <c r="F9" s="31"/>
      <c r="G9" s="101" t="s">
        <v>1048</v>
      </c>
      <c r="H9" s="31"/>
      <c r="I9" s="101" t="s">
        <v>1047</v>
      </c>
      <c r="J9" s="31"/>
      <c r="K9" s="101" t="s">
        <v>1047</v>
      </c>
      <c r="L9" s="101"/>
      <c r="M9" s="152" t="s">
        <v>1047</v>
      </c>
      <c r="N9" s="31"/>
      <c r="O9" s="101" t="s">
        <v>1046</v>
      </c>
      <c r="Q9" s="233" t="s">
        <v>1023</v>
      </c>
      <c r="S9" s="548" t="s">
        <v>147</v>
      </c>
      <c r="T9" s="548"/>
      <c r="U9" s="548"/>
      <c r="X9" s="407">
        <v>2021</v>
      </c>
      <c r="Y9" s="319">
        <f>'Tamaño de Planta'!B9</f>
        <v>394675.96095606074</v>
      </c>
      <c r="Z9" s="319">
        <f t="shared" ref="Z9" si="1">Y9*13.3%</f>
        <v>52491.902807156082</v>
      </c>
      <c r="AA9" s="319">
        <f t="shared" si="0"/>
        <v>1490559.5458773894</v>
      </c>
      <c r="AB9" s="319">
        <f>AA9/12</f>
        <v>124213.29548978245</v>
      </c>
      <c r="AC9" s="319">
        <f>AB9/26</f>
        <v>4777.4344419147101</v>
      </c>
    </row>
    <row r="10" spans="1:29" x14ac:dyDescent="0.25">
      <c r="A10" s="101" t="s">
        <v>568</v>
      </c>
      <c r="B10" s="31"/>
      <c r="C10" s="101" t="s">
        <v>568</v>
      </c>
      <c r="D10" s="31"/>
      <c r="E10" s="101" t="s">
        <v>568</v>
      </c>
      <c r="F10" s="31"/>
      <c r="G10" s="101" t="s">
        <v>568</v>
      </c>
      <c r="H10" s="31"/>
      <c r="I10" s="101" t="s">
        <v>568</v>
      </c>
      <c r="J10" s="31"/>
      <c r="K10" s="101" t="s">
        <v>568</v>
      </c>
      <c r="L10" s="541"/>
      <c r="M10" s="546" t="s">
        <v>564</v>
      </c>
      <c r="N10" s="31"/>
      <c r="O10" s="541" t="s">
        <v>564</v>
      </c>
      <c r="Q10" s="233" t="s">
        <v>1024</v>
      </c>
      <c r="S10" s="510" t="s">
        <v>1018</v>
      </c>
      <c r="T10" s="510" t="s">
        <v>1358</v>
      </c>
      <c r="U10" s="510" t="s">
        <v>1027</v>
      </c>
    </row>
    <row r="11" spans="1:29" x14ac:dyDescent="0.25">
      <c r="A11" s="31"/>
      <c r="B11" s="31"/>
      <c r="C11" s="31"/>
      <c r="D11" s="31"/>
      <c r="E11" s="32"/>
      <c r="F11" s="31"/>
      <c r="G11" s="31"/>
      <c r="H11" s="31"/>
      <c r="I11" s="31"/>
      <c r="J11" s="31"/>
      <c r="K11" s="31"/>
      <c r="L11" s="541"/>
      <c r="M11" s="546"/>
      <c r="N11" s="31"/>
      <c r="O11" s="541"/>
      <c r="Q11" s="233" t="s">
        <v>1025</v>
      </c>
      <c r="S11" s="510"/>
      <c r="T11" s="510"/>
      <c r="U11" s="510"/>
    </row>
    <row r="12" spans="1:29" x14ac:dyDescent="0.25">
      <c r="A12" s="31"/>
      <c r="B12" s="31"/>
      <c r="C12" s="31"/>
      <c r="D12" s="31"/>
      <c r="E12" s="32"/>
      <c r="F12" s="31"/>
      <c r="G12" s="31"/>
      <c r="H12" s="31"/>
      <c r="I12" s="31"/>
      <c r="J12" s="31"/>
      <c r="K12" s="31"/>
      <c r="L12" s="31"/>
      <c r="M12" s="31"/>
      <c r="N12" s="31"/>
      <c r="O12" s="31"/>
      <c r="Q12" s="233" t="s">
        <v>559</v>
      </c>
      <c r="S12" s="49" t="s">
        <v>559</v>
      </c>
      <c r="T12" s="10">
        <v>8.0000000000000004E-4</v>
      </c>
      <c r="U12" s="233">
        <v>4.42</v>
      </c>
    </row>
    <row r="13" spans="1:29" x14ac:dyDescent="0.25">
      <c r="A13" s="31"/>
      <c r="B13" s="31"/>
      <c r="C13" s="31"/>
      <c r="D13" s="31"/>
      <c r="E13" s="31"/>
      <c r="F13" s="31"/>
      <c r="G13" s="31"/>
      <c r="H13" s="546" t="s">
        <v>949</v>
      </c>
      <c r="I13" s="546"/>
      <c r="J13" s="31"/>
      <c r="K13" s="541"/>
      <c r="L13" s="31"/>
      <c r="M13" s="31"/>
      <c r="N13" s="546" t="s">
        <v>950</v>
      </c>
      <c r="O13" s="546"/>
      <c r="S13" s="49" t="s">
        <v>1023</v>
      </c>
      <c r="T13" s="10">
        <v>5.0000000000000001E-4</v>
      </c>
      <c r="U13" s="233">
        <v>2.76</v>
      </c>
    </row>
    <row r="14" spans="1:29" x14ac:dyDescent="0.25">
      <c r="A14" s="31"/>
      <c r="B14" s="31"/>
      <c r="C14" s="31"/>
      <c r="D14" s="31"/>
      <c r="E14" s="31"/>
      <c r="F14" s="31"/>
      <c r="G14" s="31"/>
      <c r="H14" s="546"/>
      <c r="I14" s="546"/>
      <c r="J14" s="31"/>
      <c r="K14" s="541"/>
      <c r="L14" s="31"/>
      <c r="M14" s="31"/>
      <c r="N14" s="546"/>
      <c r="O14" s="546"/>
      <c r="S14" s="49" t="s">
        <v>1026</v>
      </c>
      <c r="T14" s="10">
        <v>2.0000000000000001E-4</v>
      </c>
      <c r="U14" s="164">
        <v>1.1000000000000001</v>
      </c>
    </row>
    <row r="15" spans="1:29" x14ac:dyDescent="0.25">
      <c r="A15" s="31"/>
      <c r="B15" s="31"/>
      <c r="C15" s="31"/>
      <c r="D15" s="31"/>
      <c r="E15" s="32"/>
      <c r="F15" s="151" t="s">
        <v>944</v>
      </c>
      <c r="G15" s="31"/>
      <c r="H15" s="152" t="s">
        <v>945</v>
      </c>
      <c r="I15" s="31"/>
      <c r="J15" s="31"/>
      <c r="K15" s="31"/>
      <c r="L15" s="31"/>
      <c r="M15" s="31"/>
      <c r="N15" s="31"/>
      <c r="O15" s="31"/>
      <c r="S15" s="49" t="s">
        <v>1024</v>
      </c>
      <c r="T15" s="10">
        <v>1.1999999999999999E-3</v>
      </c>
      <c r="U15" s="233">
        <v>6.62</v>
      </c>
    </row>
    <row r="16" spans="1:29" x14ac:dyDescent="0.25">
      <c r="A16" s="31"/>
      <c r="B16" s="31"/>
      <c r="C16" s="31"/>
      <c r="D16" s="31"/>
      <c r="E16" s="32"/>
      <c r="F16" s="151" t="s">
        <v>551</v>
      </c>
      <c r="G16" s="31"/>
      <c r="H16" s="152" t="s">
        <v>552</v>
      </c>
      <c r="I16" s="31"/>
      <c r="J16" s="31"/>
      <c r="K16" s="31"/>
      <c r="L16" s="31"/>
      <c r="M16" s="31"/>
      <c r="N16" s="31"/>
      <c r="O16" s="31"/>
    </row>
    <row r="17" spans="1:21" x14ac:dyDescent="0.25">
      <c r="A17" s="31"/>
      <c r="B17" s="31"/>
      <c r="C17" s="153" t="s">
        <v>572</v>
      </c>
      <c r="D17" s="31"/>
      <c r="E17" s="153" t="s">
        <v>573</v>
      </c>
      <c r="F17" s="31"/>
      <c r="G17" s="153" t="s">
        <v>574</v>
      </c>
      <c r="H17" s="31"/>
      <c r="I17" s="31"/>
      <c r="J17" s="31"/>
      <c r="K17" s="542" t="s">
        <v>575</v>
      </c>
      <c r="L17" s="542"/>
      <c r="M17" s="153"/>
      <c r="N17" s="31"/>
      <c r="O17" s="31"/>
      <c r="S17" s="548" t="s">
        <v>148</v>
      </c>
      <c r="T17" s="548"/>
      <c r="U17" s="548"/>
    </row>
    <row r="18" spans="1:21" x14ac:dyDescent="0.25">
      <c r="A18" s="31"/>
      <c r="B18" s="31"/>
      <c r="C18" s="31"/>
      <c r="D18" s="31"/>
      <c r="E18" s="32"/>
      <c r="F18" s="31"/>
      <c r="G18" s="31"/>
      <c r="H18" s="31"/>
      <c r="I18" s="31"/>
      <c r="J18" s="31"/>
      <c r="K18" s="31"/>
      <c r="L18" s="31"/>
      <c r="M18" s="31"/>
      <c r="N18" s="31"/>
      <c r="O18" s="31"/>
      <c r="S18" s="510" t="s">
        <v>1018</v>
      </c>
      <c r="T18" s="510" t="s">
        <v>1358</v>
      </c>
      <c r="U18" s="510" t="s">
        <v>1027</v>
      </c>
    </row>
    <row r="19" spans="1:21" x14ac:dyDescent="0.25">
      <c r="A19" s="31"/>
      <c r="B19" s="31"/>
      <c r="C19" s="31"/>
      <c r="D19" s="31"/>
      <c r="E19" s="32"/>
      <c r="F19" s="31"/>
      <c r="G19" s="31"/>
      <c r="H19" s="31"/>
      <c r="I19" s="31"/>
      <c r="J19" s="31"/>
      <c r="K19" s="31"/>
      <c r="L19" s="31"/>
      <c r="M19" s="31"/>
      <c r="N19" s="31"/>
      <c r="O19" s="31"/>
      <c r="S19" s="510"/>
      <c r="T19" s="510"/>
      <c r="U19" s="510"/>
    </row>
    <row r="20" spans="1:21" x14ac:dyDescent="0.25">
      <c r="A20" s="31"/>
      <c r="B20" s="31"/>
      <c r="C20" s="31"/>
      <c r="D20" s="31"/>
      <c r="E20" s="32"/>
      <c r="F20" s="31"/>
      <c r="G20" s="31"/>
      <c r="H20" s="31"/>
      <c r="I20" s="31"/>
      <c r="J20" s="31"/>
      <c r="K20" s="31"/>
      <c r="L20" s="31"/>
      <c r="M20" s="31"/>
      <c r="N20" s="31"/>
      <c r="O20" s="31"/>
      <c r="S20" s="49" t="s">
        <v>559</v>
      </c>
      <c r="T20" s="10">
        <v>8.0000000000000004E-4</v>
      </c>
      <c r="U20" s="164">
        <v>2.6363599999999998</v>
      </c>
    </row>
    <row r="21" spans="1:21" x14ac:dyDescent="0.25">
      <c r="A21" s="31"/>
      <c r="B21" s="289" t="s">
        <v>1383</v>
      </c>
      <c r="C21" s="31"/>
      <c r="D21" s="289" t="s">
        <v>1383</v>
      </c>
      <c r="E21" s="32"/>
      <c r="F21" s="289" t="s">
        <v>1383</v>
      </c>
      <c r="G21" s="31"/>
      <c r="H21" s="101" t="s">
        <v>1383</v>
      </c>
      <c r="I21" s="31"/>
      <c r="J21" s="101"/>
      <c r="K21" s="31"/>
      <c r="L21" s="101"/>
      <c r="M21" s="31"/>
      <c r="N21" s="101" t="s">
        <v>1045</v>
      </c>
      <c r="O21" s="31"/>
      <c r="S21" s="49" t="s">
        <v>1023</v>
      </c>
      <c r="T21" s="10">
        <v>5.0000000000000001E-4</v>
      </c>
      <c r="U21" s="164">
        <v>1.6477250000000001</v>
      </c>
    </row>
    <row r="22" spans="1:21" x14ac:dyDescent="0.25">
      <c r="A22" s="31"/>
      <c r="B22" s="101" t="s">
        <v>553</v>
      </c>
      <c r="C22" s="31"/>
      <c r="D22" s="101" t="s">
        <v>553</v>
      </c>
      <c r="E22" s="32"/>
      <c r="F22" s="101" t="s">
        <v>553</v>
      </c>
      <c r="G22" s="31"/>
      <c r="H22" s="101" t="s">
        <v>553</v>
      </c>
      <c r="I22" s="31"/>
      <c r="J22" s="101"/>
      <c r="K22" s="31"/>
      <c r="L22" s="541"/>
      <c r="M22" s="31"/>
      <c r="N22" s="541" t="s">
        <v>555</v>
      </c>
      <c r="O22" s="31"/>
      <c r="S22" s="49" t="s">
        <v>1026</v>
      </c>
      <c r="T22" s="10">
        <v>2.0000000000000001E-4</v>
      </c>
      <c r="U22" s="164">
        <v>0.65908999999999995</v>
      </c>
    </row>
    <row r="23" spans="1:21" x14ac:dyDescent="0.25">
      <c r="A23" s="31"/>
      <c r="B23" s="31"/>
      <c r="C23" s="31"/>
      <c r="D23" s="31"/>
      <c r="E23" s="32"/>
      <c r="F23" s="31"/>
      <c r="G23" s="31"/>
      <c r="H23" s="31"/>
      <c r="I23" s="31"/>
      <c r="J23" s="31"/>
      <c r="K23" s="31"/>
      <c r="L23" s="541"/>
      <c r="M23" s="31"/>
      <c r="N23" s="541"/>
      <c r="O23" s="31"/>
      <c r="S23" s="49" t="s">
        <v>1024</v>
      </c>
      <c r="T23" s="10">
        <v>1E-3</v>
      </c>
      <c r="U23" s="164">
        <v>3.2954500000000002</v>
      </c>
    </row>
    <row r="24" spans="1:21" x14ac:dyDescent="0.25">
      <c r="A24" s="31"/>
      <c r="B24" s="31"/>
      <c r="C24" s="31"/>
      <c r="D24" s="31"/>
      <c r="E24" s="32"/>
      <c r="F24" s="31"/>
      <c r="G24" s="31"/>
      <c r="H24" s="31"/>
      <c r="I24" s="31"/>
      <c r="J24" s="31"/>
      <c r="K24" s="31"/>
      <c r="L24" s="31"/>
      <c r="M24" s="31"/>
      <c r="N24" s="31"/>
      <c r="O24" s="31"/>
    </row>
    <row r="25" spans="1:21" x14ac:dyDescent="0.25">
      <c r="A25" s="31"/>
      <c r="B25" s="31"/>
      <c r="C25" s="31"/>
      <c r="D25" s="31"/>
      <c r="E25" s="541"/>
      <c r="F25" s="31"/>
      <c r="G25" s="158"/>
      <c r="H25" s="31"/>
      <c r="I25" s="154" t="s">
        <v>551</v>
      </c>
      <c r="J25" s="31"/>
      <c r="K25" s="541" t="s">
        <v>1029</v>
      </c>
      <c r="L25" s="541"/>
      <c r="M25" s="31"/>
      <c r="N25" s="31"/>
      <c r="O25" s="31"/>
      <c r="S25" s="547" t="s">
        <v>730</v>
      </c>
      <c r="T25" s="547"/>
      <c r="U25" s="547"/>
    </row>
    <row r="26" spans="1:21" x14ac:dyDescent="0.25">
      <c r="A26" s="31"/>
      <c r="B26" s="31"/>
      <c r="C26" s="31"/>
      <c r="D26" s="31"/>
      <c r="E26" s="541"/>
      <c r="F26" s="31"/>
      <c r="G26" s="158"/>
      <c r="H26" s="31"/>
      <c r="I26" s="154" t="s">
        <v>1028</v>
      </c>
      <c r="J26" s="31"/>
      <c r="K26" s="541"/>
      <c r="L26" s="541"/>
      <c r="M26" s="31"/>
      <c r="N26" s="31"/>
      <c r="O26" s="31"/>
      <c r="S26" s="510" t="s">
        <v>1018</v>
      </c>
      <c r="T26" s="510" t="s">
        <v>1358</v>
      </c>
      <c r="U26" s="510" t="s">
        <v>1027</v>
      </c>
    </row>
    <row r="27" spans="1:21" x14ac:dyDescent="0.25">
      <c r="A27" s="31"/>
      <c r="B27" s="152" t="s">
        <v>1040</v>
      </c>
      <c r="C27" s="152" t="s">
        <v>559</v>
      </c>
      <c r="D27" s="31"/>
      <c r="E27" s="543" t="s">
        <v>584</v>
      </c>
      <c r="F27" s="543"/>
      <c r="G27" s="542"/>
      <c r="H27" s="542"/>
      <c r="I27" s="542" t="s">
        <v>1034</v>
      </c>
      <c r="J27" s="542"/>
      <c r="L27" s="543" t="s">
        <v>1035</v>
      </c>
      <c r="M27" s="543"/>
      <c r="N27" s="31"/>
      <c r="O27" s="31"/>
      <c r="S27" s="510"/>
      <c r="T27" s="510"/>
      <c r="U27" s="510"/>
    </row>
    <row r="28" spans="1:21" x14ac:dyDescent="0.25">
      <c r="A28" s="31"/>
      <c r="B28" s="152" t="s">
        <v>1041</v>
      </c>
      <c r="C28" s="152" t="s">
        <v>1030</v>
      </c>
      <c r="D28" s="31"/>
      <c r="E28" s="32"/>
      <c r="F28" s="31"/>
      <c r="G28" s="155"/>
      <c r="H28" s="31"/>
      <c r="I28" s="31"/>
      <c r="J28" s="31"/>
      <c r="K28" s="31"/>
      <c r="L28" s="31"/>
      <c r="M28" s="31"/>
      <c r="N28" s="31"/>
      <c r="O28" s="31"/>
      <c r="S28" s="49" t="s">
        <v>559</v>
      </c>
      <c r="T28" s="10">
        <v>8.0000000000000004E-4</v>
      </c>
      <c r="U28" s="164">
        <v>3.53</v>
      </c>
    </row>
    <row r="29" spans="1:21" x14ac:dyDescent="0.25">
      <c r="A29" s="31"/>
      <c r="B29" s="152" t="s">
        <v>1042</v>
      </c>
      <c r="C29" s="152" t="s">
        <v>558</v>
      </c>
      <c r="D29" s="31"/>
      <c r="E29" s="32"/>
      <c r="F29" s="31"/>
      <c r="G29" s="31"/>
      <c r="H29" s="31"/>
      <c r="I29" s="31"/>
      <c r="J29" s="31"/>
      <c r="K29" s="31"/>
      <c r="L29" s="31"/>
      <c r="M29" s="31"/>
      <c r="N29" s="31"/>
      <c r="O29" s="31"/>
      <c r="S29" s="49" t="s">
        <v>1023</v>
      </c>
      <c r="T29" s="10">
        <v>5.0000000000000001E-4</v>
      </c>
      <c r="U29" s="164">
        <v>2.2085224999999999</v>
      </c>
    </row>
    <row r="30" spans="1:21" x14ac:dyDescent="0.25">
      <c r="A30" s="31"/>
      <c r="B30" s="152" t="s">
        <v>1043</v>
      </c>
      <c r="C30" s="152" t="s">
        <v>1031</v>
      </c>
      <c r="D30" s="31"/>
      <c r="E30" s="32"/>
      <c r="F30" s="31"/>
      <c r="G30" s="101" t="s">
        <v>1039</v>
      </c>
      <c r="H30" s="101"/>
      <c r="I30" s="31"/>
      <c r="J30" s="101"/>
      <c r="K30" s="101" t="s">
        <v>1037</v>
      </c>
      <c r="L30" s="31"/>
      <c r="M30" s="31"/>
      <c r="N30" s="540" t="s">
        <v>1036</v>
      </c>
      <c r="O30" s="540"/>
      <c r="S30" s="49" t="s">
        <v>1026</v>
      </c>
      <c r="T30" s="10">
        <v>2.0000000000000001E-4</v>
      </c>
      <c r="U30" s="164">
        <v>0.88430900000000001</v>
      </c>
    </row>
    <row r="31" spans="1:21" x14ac:dyDescent="0.25">
      <c r="A31" s="152"/>
      <c r="B31" s="152" t="s">
        <v>1359</v>
      </c>
      <c r="C31" s="152" t="s">
        <v>1032</v>
      </c>
      <c r="D31" s="31"/>
      <c r="E31" s="32"/>
      <c r="F31" s="31"/>
      <c r="G31" s="541" t="s">
        <v>566</v>
      </c>
      <c r="H31" s="541"/>
      <c r="I31" s="31"/>
      <c r="K31" s="541" t="s">
        <v>566</v>
      </c>
      <c r="L31" s="31"/>
      <c r="M31" s="31"/>
      <c r="N31" s="541" t="s">
        <v>567</v>
      </c>
      <c r="O31" s="541"/>
      <c r="S31" s="49" t="s">
        <v>1024</v>
      </c>
      <c r="T31" s="10">
        <v>5.0000000000000001E-4</v>
      </c>
      <c r="U31" s="164">
        <v>2.2085224999999999</v>
      </c>
    </row>
    <row r="32" spans="1:21" x14ac:dyDescent="0.25">
      <c r="A32" s="31"/>
      <c r="B32" s="152" t="s">
        <v>1360</v>
      </c>
      <c r="C32" s="152" t="s">
        <v>1361</v>
      </c>
      <c r="D32" s="31"/>
      <c r="E32" s="32"/>
      <c r="F32" s="31"/>
      <c r="G32" s="541"/>
      <c r="H32" s="541"/>
      <c r="I32" s="31"/>
      <c r="J32" s="158"/>
      <c r="K32" s="541"/>
      <c r="L32" s="31"/>
      <c r="M32" s="31"/>
      <c r="N32" s="541"/>
      <c r="O32" s="541"/>
    </row>
    <row r="33" spans="1:21" x14ac:dyDescent="0.25">
      <c r="A33" s="31"/>
      <c r="B33" s="152" t="s">
        <v>1044</v>
      </c>
      <c r="C33" s="152" t="s">
        <v>1033</v>
      </c>
      <c r="D33" s="31"/>
      <c r="E33" s="32"/>
      <c r="F33" s="31"/>
      <c r="G33" s="541"/>
      <c r="H33" s="541"/>
      <c r="I33" s="31"/>
      <c r="J33" s="158"/>
      <c r="K33" s="541"/>
      <c r="L33" s="31"/>
      <c r="M33" s="31"/>
      <c r="N33" s="541"/>
      <c r="O33" s="541"/>
      <c r="S33" s="547" t="s">
        <v>144</v>
      </c>
      <c r="T33" s="547"/>
      <c r="U33" s="547"/>
    </row>
    <row r="34" spans="1:21" x14ac:dyDescent="0.25">
      <c r="A34" s="31"/>
      <c r="B34" s="152" t="s">
        <v>1045</v>
      </c>
      <c r="C34" s="152" t="s">
        <v>557</v>
      </c>
      <c r="D34" s="31"/>
      <c r="E34" s="32"/>
      <c r="F34" s="31"/>
      <c r="G34" s="541"/>
      <c r="H34" s="541"/>
      <c r="I34" s="31"/>
      <c r="J34" s="158"/>
      <c r="K34" s="541"/>
      <c r="L34" s="31"/>
      <c r="M34" s="31"/>
      <c r="N34" s="541"/>
      <c r="O34" s="541"/>
      <c r="S34" s="510" t="s">
        <v>1018</v>
      </c>
      <c r="T34" s="510" t="s">
        <v>1358</v>
      </c>
      <c r="U34" s="510" t="s">
        <v>1027</v>
      </c>
    </row>
    <row r="35" spans="1:21" x14ac:dyDescent="0.25">
      <c r="A35" s="31"/>
      <c r="B35" s="152" t="s">
        <v>1046</v>
      </c>
      <c r="C35" s="152" t="s">
        <v>565</v>
      </c>
      <c r="D35" s="31"/>
      <c r="E35" s="32"/>
      <c r="F35" s="31"/>
      <c r="G35" s="31"/>
      <c r="H35" s="31"/>
      <c r="I35" s="541" t="s">
        <v>1038</v>
      </c>
      <c r="J35" s="541"/>
      <c r="K35" s="31"/>
      <c r="L35" s="31"/>
      <c r="M35" s="31"/>
      <c r="N35" s="31"/>
      <c r="O35" s="31"/>
      <c r="S35" s="510"/>
      <c r="T35" s="510"/>
      <c r="U35" s="510"/>
    </row>
    <row r="36" spans="1:21" x14ac:dyDescent="0.25">
      <c r="A36" s="31"/>
      <c r="B36" s="31"/>
      <c r="C36" s="31"/>
      <c r="D36" s="31"/>
      <c r="E36" s="32"/>
      <c r="F36" s="31"/>
      <c r="G36" s="31"/>
      <c r="H36" s="31"/>
      <c r="I36" s="541"/>
      <c r="J36" s="541"/>
      <c r="K36" s="31"/>
      <c r="L36" s="31"/>
      <c r="M36" s="31"/>
      <c r="N36" s="31"/>
      <c r="O36" s="31"/>
      <c r="S36" s="49" t="s">
        <v>559</v>
      </c>
      <c r="T36" s="10">
        <v>8.0000000000000004E-4</v>
      </c>
      <c r="U36" s="164">
        <v>4.3617999999999997</v>
      </c>
    </row>
    <row r="37" spans="1:21" x14ac:dyDescent="0.25">
      <c r="S37" s="49" t="s">
        <v>1023</v>
      </c>
      <c r="T37" s="10">
        <v>5.0000000000000001E-4</v>
      </c>
      <c r="U37" s="164">
        <v>2.7261000000000002</v>
      </c>
    </row>
    <row r="38" spans="1:21" x14ac:dyDescent="0.25">
      <c r="A38" s="544" t="s">
        <v>563</v>
      </c>
      <c r="B38" s="544"/>
      <c r="C38" s="544"/>
      <c r="E38" s="48"/>
      <c r="S38" s="49" t="s">
        <v>1026</v>
      </c>
      <c r="T38" s="10">
        <v>2.0000000000000001E-4</v>
      </c>
      <c r="U38" s="164">
        <v>1.0904499999999999</v>
      </c>
    </row>
    <row r="39" spans="1:21" x14ac:dyDescent="0.25">
      <c r="A39" s="31"/>
      <c r="B39" s="31"/>
      <c r="C39" s="31"/>
      <c r="D39" s="31"/>
      <c r="E39" s="32"/>
      <c r="F39" s="31"/>
      <c r="G39" s="31"/>
      <c r="H39" s="31"/>
      <c r="I39" s="31"/>
      <c r="J39" s="31"/>
      <c r="K39" s="31"/>
      <c r="L39" s="31"/>
      <c r="M39" s="31"/>
      <c r="N39" s="31"/>
      <c r="O39" s="31"/>
      <c r="S39" s="49" t="s">
        <v>1024</v>
      </c>
      <c r="T39" s="10">
        <v>5.0000000000000001E-4</v>
      </c>
      <c r="U39" s="164">
        <v>2.7261000000000002</v>
      </c>
    </row>
    <row r="40" spans="1:21" x14ac:dyDescent="0.25">
      <c r="A40" s="31"/>
      <c r="B40" s="31"/>
      <c r="C40" s="31"/>
      <c r="D40" s="31"/>
      <c r="E40" s="151" t="s">
        <v>944</v>
      </c>
      <c r="F40" s="31"/>
      <c r="G40" s="152" t="s">
        <v>945</v>
      </c>
      <c r="H40" s="31"/>
      <c r="I40" s="31"/>
      <c r="J40" s="31"/>
      <c r="K40" s="31"/>
      <c r="L40" s="31"/>
      <c r="M40" s="31"/>
      <c r="N40" s="31"/>
      <c r="O40" s="31"/>
    </row>
    <row r="41" spans="1:21" x14ac:dyDescent="0.25">
      <c r="A41" s="31"/>
      <c r="B41" s="31"/>
      <c r="C41" s="31"/>
      <c r="D41" s="31"/>
      <c r="E41" s="151" t="s">
        <v>551</v>
      </c>
      <c r="F41" s="31"/>
      <c r="G41" s="152" t="s">
        <v>552</v>
      </c>
      <c r="H41" s="31"/>
      <c r="I41" s="31"/>
      <c r="J41" s="31"/>
      <c r="K41" s="31"/>
      <c r="L41" s="31"/>
      <c r="M41" s="31"/>
      <c r="N41" s="31"/>
      <c r="O41" s="31"/>
    </row>
    <row r="42" spans="1:21" x14ac:dyDescent="0.25">
      <c r="A42" s="31"/>
      <c r="B42" s="210" t="s">
        <v>546</v>
      </c>
      <c r="D42" s="210" t="s">
        <v>547</v>
      </c>
      <c r="E42" s="48"/>
      <c r="F42" s="210" t="s">
        <v>548</v>
      </c>
      <c r="H42" s="210" t="s">
        <v>554</v>
      </c>
      <c r="I42" s="240"/>
      <c r="J42" s="240" t="s">
        <v>571</v>
      </c>
      <c r="K42" s="239"/>
      <c r="L42" s="239" t="s">
        <v>946</v>
      </c>
      <c r="M42" s="545" t="s">
        <v>947</v>
      </c>
      <c r="N42" s="545"/>
      <c r="O42" s="31"/>
    </row>
    <row r="43" spans="1:21" x14ac:dyDescent="0.25">
      <c r="A43" s="31"/>
      <c r="B43" s="31"/>
      <c r="C43" s="31"/>
      <c r="D43" s="31"/>
      <c r="E43" s="32"/>
      <c r="F43" s="31"/>
      <c r="G43" s="31"/>
      <c r="H43" s="31"/>
      <c r="I43" s="31"/>
      <c r="J43" s="31"/>
      <c r="K43" s="31"/>
      <c r="L43" s="31"/>
      <c r="M43" s="31"/>
      <c r="N43" s="31"/>
      <c r="O43" s="31"/>
    </row>
    <row r="44" spans="1:21" x14ac:dyDescent="0.25">
      <c r="A44" s="31"/>
      <c r="B44" s="31"/>
      <c r="C44" s="31"/>
      <c r="D44" s="31"/>
      <c r="E44" s="32"/>
      <c r="F44" s="31"/>
      <c r="G44" s="31"/>
      <c r="H44" s="31"/>
      <c r="I44" s="31"/>
      <c r="J44" s="31"/>
      <c r="K44" s="31"/>
      <c r="L44" s="31"/>
      <c r="M44" s="31"/>
      <c r="N44" s="31"/>
      <c r="O44" s="31"/>
    </row>
    <row r="45" spans="1:21" x14ac:dyDescent="0.25">
      <c r="A45" s="31"/>
      <c r="B45" s="31"/>
      <c r="C45" s="31"/>
      <c r="D45" s="31"/>
      <c r="E45" s="32"/>
      <c r="F45" s="31"/>
      <c r="G45" s="31"/>
      <c r="H45" s="31"/>
      <c r="I45" s="31"/>
      <c r="J45" s="31"/>
      <c r="K45" s="31"/>
      <c r="L45" s="31"/>
      <c r="M45" s="31"/>
      <c r="N45" s="31"/>
      <c r="O45" s="31"/>
    </row>
    <row r="46" spans="1:21" x14ac:dyDescent="0.25">
      <c r="A46" s="101" t="s">
        <v>1372</v>
      </c>
      <c r="B46" s="31"/>
      <c r="C46" s="101" t="s">
        <v>1372</v>
      </c>
      <c r="D46" s="31"/>
      <c r="E46" s="101" t="s">
        <v>1372</v>
      </c>
      <c r="F46" s="31"/>
      <c r="G46" s="101" t="s">
        <v>1372</v>
      </c>
      <c r="H46" s="31"/>
      <c r="I46" s="101" t="s">
        <v>1371</v>
      </c>
      <c r="J46" s="31"/>
      <c r="K46" s="101" t="s">
        <v>1371</v>
      </c>
      <c r="L46" s="101"/>
      <c r="M46" s="152" t="s">
        <v>1371</v>
      </c>
      <c r="N46" s="31"/>
      <c r="O46" s="101" t="s">
        <v>1362</v>
      </c>
    </row>
    <row r="47" spans="1:21" x14ac:dyDescent="0.25">
      <c r="A47" s="101" t="s">
        <v>545</v>
      </c>
      <c r="B47" s="31"/>
      <c r="C47" s="101" t="s">
        <v>545</v>
      </c>
      <c r="D47" s="31"/>
      <c r="E47" s="101" t="s">
        <v>545</v>
      </c>
      <c r="F47" s="31"/>
      <c r="G47" s="101" t="s">
        <v>545</v>
      </c>
      <c r="H47" s="31"/>
      <c r="I47" s="101" t="s">
        <v>545</v>
      </c>
      <c r="J47" s="31"/>
      <c r="K47" s="101" t="s">
        <v>545</v>
      </c>
      <c r="L47" s="541"/>
      <c r="M47" s="546" t="s">
        <v>550</v>
      </c>
      <c r="N47" s="31"/>
      <c r="O47" s="541" t="s">
        <v>550</v>
      </c>
    </row>
    <row r="48" spans="1:21" x14ac:dyDescent="0.25">
      <c r="A48" s="31"/>
      <c r="B48" s="31"/>
      <c r="C48" s="31"/>
      <c r="D48" s="31"/>
      <c r="E48" s="32"/>
      <c r="F48" s="31"/>
      <c r="G48" s="31"/>
      <c r="H48" s="31"/>
      <c r="I48" s="31"/>
      <c r="J48" s="31"/>
      <c r="K48" s="31"/>
      <c r="L48" s="541"/>
      <c r="M48" s="546"/>
      <c r="N48" s="31"/>
      <c r="O48" s="541"/>
    </row>
    <row r="49" spans="1:15" x14ac:dyDescent="0.25">
      <c r="A49" s="31"/>
      <c r="B49" s="31"/>
      <c r="C49" s="31"/>
      <c r="D49" s="31"/>
      <c r="E49" s="32"/>
      <c r="F49" s="31"/>
      <c r="G49" s="31"/>
      <c r="H49" s="31"/>
      <c r="I49" s="31"/>
      <c r="J49" s="31"/>
      <c r="K49" s="31"/>
      <c r="L49" s="31"/>
      <c r="M49" s="31"/>
      <c r="N49" s="31"/>
      <c r="O49" s="31"/>
    </row>
    <row r="50" spans="1:15" x14ac:dyDescent="0.25">
      <c r="A50" s="31"/>
      <c r="B50" s="31"/>
      <c r="C50" s="31"/>
      <c r="D50" s="31"/>
      <c r="E50" s="31"/>
      <c r="F50" s="31"/>
      <c r="G50" s="31"/>
      <c r="H50" s="546" t="s">
        <v>1052</v>
      </c>
      <c r="I50" s="546"/>
      <c r="J50" s="31"/>
      <c r="K50" s="541"/>
      <c r="L50" s="31"/>
      <c r="M50" s="31"/>
      <c r="N50" s="546" t="s">
        <v>948</v>
      </c>
      <c r="O50" s="546"/>
    </row>
    <row r="51" spans="1:15" x14ac:dyDescent="0.25">
      <c r="A51" s="31"/>
      <c r="B51" s="31"/>
      <c r="C51" s="31"/>
      <c r="D51" s="31"/>
      <c r="E51" s="31"/>
      <c r="F51" s="31"/>
      <c r="G51" s="31"/>
      <c r="H51" s="546"/>
      <c r="I51" s="546"/>
      <c r="J51" s="31"/>
      <c r="K51" s="541"/>
      <c r="L51" s="31"/>
      <c r="M51" s="31"/>
      <c r="N51" s="546"/>
      <c r="O51" s="546"/>
    </row>
    <row r="52" spans="1:15" x14ac:dyDescent="0.25">
      <c r="A52" s="31"/>
      <c r="B52" s="31"/>
      <c r="C52" s="31"/>
      <c r="D52" s="31"/>
      <c r="E52" s="32"/>
      <c r="F52" s="151" t="s">
        <v>944</v>
      </c>
      <c r="G52" s="31"/>
      <c r="H52" s="152" t="s">
        <v>945</v>
      </c>
      <c r="I52" s="31"/>
      <c r="J52" s="31"/>
      <c r="K52" s="31"/>
      <c r="L52" s="31"/>
      <c r="M52" s="31"/>
      <c r="N52" s="31"/>
      <c r="O52" s="31"/>
    </row>
    <row r="53" spans="1:15" x14ac:dyDescent="0.25">
      <c r="A53" s="31"/>
      <c r="B53" s="31"/>
      <c r="C53" s="31"/>
      <c r="D53" s="31"/>
      <c r="E53" s="32"/>
      <c r="F53" s="151" t="s">
        <v>551</v>
      </c>
      <c r="G53" s="31"/>
      <c r="H53" s="152" t="s">
        <v>552</v>
      </c>
      <c r="I53" s="31"/>
      <c r="J53" s="31"/>
      <c r="K53" s="31"/>
      <c r="L53" s="31"/>
      <c r="M53" s="31"/>
      <c r="N53" s="31"/>
      <c r="O53" s="31"/>
    </row>
    <row r="54" spans="1:15" x14ac:dyDescent="0.25">
      <c r="A54" s="31"/>
      <c r="B54" s="31"/>
      <c r="C54" s="210" t="s">
        <v>572</v>
      </c>
      <c r="D54" s="31"/>
      <c r="E54" s="210" t="s">
        <v>573</v>
      </c>
      <c r="F54" s="31"/>
      <c r="G54" s="210" t="s">
        <v>574</v>
      </c>
      <c r="H54" s="31"/>
      <c r="I54" s="31"/>
      <c r="J54" s="31"/>
      <c r="K54" s="542" t="s">
        <v>575</v>
      </c>
      <c r="L54" s="542"/>
      <c r="M54" s="210"/>
      <c r="N54" s="31"/>
      <c r="O54" s="31"/>
    </row>
    <row r="55" spans="1:15" x14ac:dyDescent="0.25">
      <c r="A55" s="31"/>
      <c r="B55" s="31"/>
      <c r="C55" s="31"/>
      <c r="D55" s="31"/>
      <c r="E55" s="32"/>
      <c r="F55" s="31"/>
      <c r="G55" s="31"/>
      <c r="H55" s="31"/>
      <c r="I55" s="31"/>
      <c r="J55" s="31"/>
      <c r="K55" s="31"/>
      <c r="L55" s="31"/>
      <c r="M55" s="31"/>
      <c r="N55" s="31"/>
      <c r="O55" s="31"/>
    </row>
    <row r="56" spans="1:15" x14ac:dyDescent="0.25">
      <c r="A56" s="31"/>
      <c r="B56" s="31"/>
      <c r="C56" s="31"/>
      <c r="D56" s="31"/>
      <c r="E56" s="32"/>
      <c r="F56" s="31"/>
      <c r="G56" s="31"/>
      <c r="H56" s="31"/>
      <c r="I56" s="31"/>
      <c r="J56" s="31"/>
      <c r="K56" s="31"/>
      <c r="L56" s="31"/>
      <c r="M56" s="31"/>
      <c r="N56" s="31"/>
      <c r="O56" s="31"/>
    </row>
    <row r="57" spans="1:15" x14ac:dyDescent="0.25">
      <c r="A57" s="31"/>
      <c r="B57" s="31"/>
      <c r="C57" s="31"/>
      <c r="D57" s="31"/>
      <c r="E57" s="32"/>
      <c r="F57" s="31"/>
      <c r="G57" s="31"/>
      <c r="H57" s="31"/>
      <c r="I57" s="31"/>
      <c r="J57" s="31"/>
      <c r="K57" s="31"/>
      <c r="L57" s="31"/>
      <c r="M57" s="31"/>
      <c r="N57" s="31"/>
      <c r="O57" s="31"/>
    </row>
    <row r="58" spans="1:15" x14ac:dyDescent="0.25">
      <c r="A58" s="31"/>
      <c r="B58" s="289" t="s">
        <v>1382</v>
      </c>
      <c r="C58" s="31"/>
      <c r="D58" s="289" t="s">
        <v>1382</v>
      </c>
      <c r="E58" s="32"/>
      <c r="F58" s="289" t="s">
        <v>1382</v>
      </c>
      <c r="G58" s="31"/>
      <c r="H58" s="101" t="s">
        <v>1382</v>
      </c>
      <c r="I58" s="31"/>
      <c r="J58" s="101"/>
      <c r="K58" s="31"/>
      <c r="L58" s="101"/>
      <c r="M58" s="31"/>
      <c r="N58" s="101" t="s">
        <v>1364</v>
      </c>
      <c r="O58" s="31"/>
    </row>
    <row r="59" spans="1:15" x14ac:dyDescent="0.25">
      <c r="A59" s="31"/>
      <c r="B59" s="101" t="s">
        <v>553</v>
      </c>
      <c r="C59" s="31"/>
      <c r="D59" s="101" t="s">
        <v>553</v>
      </c>
      <c r="E59" s="32"/>
      <c r="F59" s="101" t="s">
        <v>553</v>
      </c>
      <c r="G59" s="31"/>
      <c r="H59" s="101" t="s">
        <v>553</v>
      </c>
      <c r="I59" s="31"/>
      <c r="J59" s="101"/>
      <c r="K59" s="31"/>
      <c r="L59" s="541"/>
      <c r="M59" s="31"/>
      <c r="N59" s="541" t="s">
        <v>555</v>
      </c>
      <c r="O59" s="31"/>
    </row>
    <row r="60" spans="1:15" x14ac:dyDescent="0.25">
      <c r="A60" s="31"/>
      <c r="B60" s="31"/>
      <c r="C60" s="31"/>
      <c r="D60" s="31"/>
      <c r="E60" s="32"/>
      <c r="F60" s="31"/>
      <c r="G60" s="31"/>
      <c r="H60" s="31"/>
      <c r="I60" s="31"/>
      <c r="J60" s="31"/>
      <c r="K60" s="31"/>
      <c r="L60" s="541"/>
      <c r="M60" s="31"/>
      <c r="N60" s="541"/>
      <c r="O60" s="31"/>
    </row>
    <row r="61" spans="1:15" x14ac:dyDescent="0.25">
      <c r="A61" s="31"/>
      <c r="B61" s="31"/>
      <c r="C61" s="31"/>
      <c r="D61" s="31"/>
      <c r="E61" s="32"/>
      <c r="F61" s="31"/>
      <c r="G61" s="31"/>
      <c r="H61" s="31"/>
      <c r="I61" s="31"/>
      <c r="J61" s="31"/>
      <c r="K61" s="31"/>
      <c r="L61" s="31"/>
      <c r="M61" s="31"/>
      <c r="N61" s="31"/>
      <c r="O61" s="31"/>
    </row>
    <row r="62" spans="1:15" x14ac:dyDescent="0.25">
      <c r="A62" s="31"/>
      <c r="B62" s="31"/>
      <c r="C62" s="31"/>
      <c r="D62" s="31"/>
      <c r="E62" s="541"/>
      <c r="F62" s="31"/>
      <c r="G62" s="158"/>
      <c r="H62" s="31"/>
      <c r="I62" s="238" t="s">
        <v>551</v>
      </c>
      <c r="J62" s="31"/>
      <c r="K62" s="541" t="s">
        <v>1029</v>
      </c>
      <c r="L62" s="541"/>
      <c r="M62" s="31"/>
      <c r="N62" s="31"/>
      <c r="O62" s="31"/>
    </row>
    <row r="63" spans="1:15" x14ac:dyDescent="0.25">
      <c r="A63" s="31"/>
      <c r="B63" s="31"/>
      <c r="C63" s="31"/>
      <c r="D63" s="31"/>
      <c r="E63" s="541"/>
      <c r="F63" s="31"/>
      <c r="G63" s="158"/>
      <c r="H63" s="31"/>
      <c r="I63" s="238" t="s">
        <v>1028</v>
      </c>
      <c r="J63" s="31"/>
      <c r="K63" s="541"/>
      <c r="L63" s="541"/>
      <c r="M63" s="31"/>
      <c r="N63" s="31"/>
      <c r="O63" s="31"/>
    </row>
    <row r="64" spans="1:15" x14ac:dyDescent="0.25">
      <c r="A64" s="31"/>
      <c r="B64" s="152" t="s">
        <v>1367</v>
      </c>
      <c r="C64" s="152" t="s">
        <v>559</v>
      </c>
      <c r="D64" s="31"/>
      <c r="E64" s="543" t="s">
        <v>584</v>
      </c>
      <c r="F64" s="543"/>
      <c r="G64" s="542"/>
      <c r="H64" s="542"/>
      <c r="I64" s="542" t="s">
        <v>1034</v>
      </c>
      <c r="J64" s="542"/>
      <c r="L64" s="543" t="s">
        <v>1035</v>
      </c>
      <c r="M64" s="543"/>
      <c r="N64" s="31"/>
      <c r="O64" s="31"/>
    </row>
    <row r="65" spans="1:15" x14ac:dyDescent="0.25">
      <c r="A65" s="31"/>
      <c r="B65" s="152" t="s">
        <v>1368</v>
      </c>
      <c r="C65" s="152" t="s">
        <v>1030</v>
      </c>
      <c r="D65" s="31"/>
      <c r="E65" s="32"/>
      <c r="F65" s="31"/>
      <c r="G65" s="155"/>
      <c r="H65" s="31"/>
      <c r="I65" s="31"/>
      <c r="J65" s="31"/>
      <c r="K65" s="31"/>
      <c r="L65" s="31"/>
      <c r="M65" s="31"/>
      <c r="N65" s="31"/>
      <c r="O65" s="31"/>
    </row>
    <row r="66" spans="1:15" x14ac:dyDescent="0.25">
      <c r="A66" s="31"/>
      <c r="B66" s="152" t="s">
        <v>1369</v>
      </c>
      <c r="C66" s="152" t="s">
        <v>558</v>
      </c>
      <c r="D66" s="31"/>
      <c r="E66" s="32"/>
      <c r="F66" s="31"/>
      <c r="G66" s="31"/>
      <c r="H66" s="31"/>
      <c r="I66" s="31"/>
      <c r="J66" s="31"/>
      <c r="K66" s="31"/>
      <c r="L66" s="31"/>
      <c r="M66" s="31"/>
      <c r="N66" s="31"/>
      <c r="O66" s="31"/>
    </row>
    <row r="67" spans="1:15" x14ac:dyDescent="0.25">
      <c r="A67" s="31"/>
      <c r="B67" s="152" t="s">
        <v>1370</v>
      </c>
      <c r="C67" s="152" t="s">
        <v>1031</v>
      </c>
      <c r="D67" s="31"/>
      <c r="E67" s="32"/>
      <c r="F67" s="31"/>
      <c r="G67" s="101" t="s">
        <v>1039</v>
      </c>
      <c r="H67" s="101"/>
      <c r="I67" s="31"/>
      <c r="J67" s="101"/>
      <c r="K67" s="101" t="s">
        <v>1037</v>
      </c>
      <c r="L67" s="31"/>
      <c r="M67" s="31"/>
      <c r="N67" s="540" t="s">
        <v>1036</v>
      </c>
      <c r="O67" s="540"/>
    </row>
    <row r="68" spans="1:15" x14ac:dyDescent="0.25">
      <c r="A68" s="31"/>
      <c r="B68" s="152" t="s">
        <v>1365</v>
      </c>
      <c r="C68" s="152" t="s">
        <v>1032</v>
      </c>
      <c r="D68" s="31"/>
      <c r="E68" s="32"/>
      <c r="F68" s="31"/>
      <c r="G68" s="541" t="s">
        <v>560</v>
      </c>
      <c r="H68" s="541"/>
      <c r="I68" s="31"/>
      <c r="K68" s="541" t="s">
        <v>560</v>
      </c>
      <c r="L68" s="31"/>
      <c r="M68" s="31"/>
      <c r="N68" s="541" t="s">
        <v>561</v>
      </c>
      <c r="O68" s="541"/>
    </row>
    <row r="69" spans="1:15" x14ac:dyDescent="0.25">
      <c r="A69" s="31"/>
      <c r="B69" s="152" t="s">
        <v>1366</v>
      </c>
      <c r="C69" s="152" t="s">
        <v>1361</v>
      </c>
      <c r="D69" s="31"/>
      <c r="E69" s="32"/>
      <c r="F69" s="31"/>
      <c r="G69" s="541"/>
      <c r="H69" s="541"/>
      <c r="I69" s="31"/>
      <c r="J69" s="158"/>
      <c r="K69" s="541"/>
      <c r="L69" s="31"/>
      <c r="M69" s="31"/>
      <c r="N69" s="541"/>
      <c r="O69" s="541"/>
    </row>
    <row r="70" spans="1:15" x14ac:dyDescent="0.25">
      <c r="A70" s="31"/>
      <c r="B70" s="152" t="s">
        <v>1363</v>
      </c>
      <c r="C70" s="152" t="s">
        <v>1033</v>
      </c>
      <c r="D70" s="31"/>
      <c r="E70" s="32"/>
      <c r="F70" s="31"/>
      <c r="G70" s="541"/>
      <c r="H70" s="541"/>
      <c r="I70" s="31"/>
      <c r="J70" s="158"/>
      <c r="K70" s="541"/>
      <c r="L70" s="31"/>
      <c r="M70" s="31"/>
      <c r="N70" s="541"/>
      <c r="O70" s="541"/>
    </row>
    <row r="71" spans="1:15" x14ac:dyDescent="0.25">
      <c r="A71" s="31"/>
      <c r="B71" s="152" t="s">
        <v>1364</v>
      </c>
      <c r="C71" s="152" t="s">
        <v>557</v>
      </c>
      <c r="D71" s="31"/>
      <c r="E71" s="32"/>
      <c r="F71" s="31"/>
      <c r="G71" s="541"/>
      <c r="H71" s="541"/>
      <c r="I71" s="31"/>
      <c r="J71" s="158"/>
      <c r="K71" s="541"/>
      <c r="L71" s="31"/>
      <c r="M71" s="31"/>
      <c r="N71" s="541"/>
      <c r="O71" s="541"/>
    </row>
    <row r="72" spans="1:15" x14ac:dyDescent="0.25">
      <c r="A72" s="31"/>
      <c r="B72" s="152" t="s">
        <v>1362</v>
      </c>
      <c r="C72" s="152" t="s">
        <v>556</v>
      </c>
      <c r="D72" s="31"/>
      <c r="E72" s="32"/>
      <c r="F72" s="31"/>
      <c r="G72" s="31"/>
      <c r="H72" s="31"/>
      <c r="I72" s="541" t="s">
        <v>1038</v>
      </c>
      <c r="J72" s="541"/>
      <c r="K72" s="31"/>
      <c r="L72" s="31"/>
      <c r="M72" s="31"/>
      <c r="N72" s="31"/>
      <c r="O72" s="31"/>
    </row>
    <row r="73" spans="1:15" x14ac:dyDescent="0.25">
      <c r="A73" s="31"/>
      <c r="B73" s="31"/>
      <c r="C73" s="31"/>
      <c r="D73" s="31"/>
      <c r="E73" s="32"/>
      <c r="F73" s="31"/>
      <c r="G73" s="31"/>
      <c r="H73" s="31"/>
      <c r="I73" s="541"/>
      <c r="J73" s="541"/>
      <c r="K73" s="31"/>
      <c r="L73" s="31"/>
      <c r="M73" s="31"/>
      <c r="N73" s="31"/>
      <c r="O73" s="31"/>
    </row>
    <row r="75" spans="1:15" x14ac:dyDescent="0.25">
      <c r="A75" s="544" t="s">
        <v>569</v>
      </c>
      <c r="B75" s="544"/>
      <c r="C75" s="544"/>
      <c r="E75" s="48"/>
    </row>
    <row r="76" spans="1:15" x14ac:dyDescent="0.25">
      <c r="A76" s="31"/>
      <c r="B76" s="31"/>
      <c r="C76" s="31"/>
      <c r="D76" s="31"/>
      <c r="E76" s="32"/>
      <c r="F76" s="31"/>
      <c r="G76" s="31"/>
      <c r="H76" s="31"/>
      <c r="I76" s="31"/>
      <c r="J76" s="31"/>
      <c r="K76" s="31"/>
      <c r="L76" s="31"/>
      <c r="M76" s="31"/>
      <c r="N76" s="31"/>
      <c r="O76" s="31"/>
    </row>
    <row r="77" spans="1:15" x14ac:dyDescent="0.25">
      <c r="A77" s="31"/>
      <c r="B77" s="31"/>
      <c r="C77" s="31"/>
      <c r="D77" s="31"/>
      <c r="E77" s="151" t="s">
        <v>944</v>
      </c>
      <c r="F77" s="31"/>
      <c r="G77" s="152" t="s">
        <v>945</v>
      </c>
      <c r="H77" s="31"/>
      <c r="I77" s="31"/>
      <c r="J77" s="31"/>
      <c r="K77" s="31"/>
      <c r="L77" s="31"/>
      <c r="M77" s="31"/>
      <c r="N77" s="31"/>
      <c r="O77" s="31"/>
    </row>
    <row r="78" spans="1:15" x14ac:dyDescent="0.25">
      <c r="A78" s="31"/>
      <c r="B78" s="31"/>
      <c r="C78" s="31"/>
      <c r="D78" s="31"/>
      <c r="E78" s="151" t="s">
        <v>551</v>
      </c>
      <c r="F78" s="31"/>
      <c r="G78" s="152" t="s">
        <v>552</v>
      </c>
      <c r="H78" s="31"/>
      <c r="I78" s="31"/>
      <c r="J78" s="31"/>
      <c r="K78" s="31"/>
      <c r="L78" s="31"/>
      <c r="M78" s="31"/>
      <c r="N78" s="31"/>
      <c r="O78" s="31"/>
    </row>
    <row r="79" spans="1:15" x14ac:dyDescent="0.25">
      <c r="A79" s="31"/>
      <c r="B79" s="210" t="s">
        <v>546</v>
      </c>
      <c r="D79" s="210" t="s">
        <v>547</v>
      </c>
      <c r="E79" s="48"/>
      <c r="F79" s="210" t="s">
        <v>548</v>
      </c>
      <c r="H79" s="210" t="s">
        <v>554</v>
      </c>
      <c r="I79" s="240"/>
      <c r="J79" s="240" t="s">
        <v>571</v>
      </c>
      <c r="K79" s="239"/>
      <c r="L79" s="239" t="s">
        <v>946</v>
      </c>
      <c r="M79" s="545" t="s">
        <v>947</v>
      </c>
      <c r="N79" s="545"/>
      <c r="O79" s="31"/>
    </row>
    <row r="80" spans="1:15" x14ac:dyDescent="0.25">
      <c r="A80" s="31"/>
      <c r="B80" s="31"/>
      <c r="C80" s="31"/>
      <c r="D80" s="31"/>
      <c r="E80" s="32"/>
      <c r="F80" s="31"/>
      <c r="G80" s="31"/>
      <c r="H80" s="31"/>
      <c r="I80" s="31"/>
      <c r="J80" s="31"/>
      <c r="K80" s="31"/>
      <c r="L80" s="31"/>
      <c r="M80" s="31"/>
      <c r="N80" s="31"/>
      <c r="O80" s="31"/>
    </row>
    <row r="81" spans="1:15" x14ac:dyDescent="0.25">
      <c r="A81" s="31"/>
      <c r="B81" s="31"/>
      <c r="C81" s="31"/>
      <c r="D81" s="31"/>
      <c r="E81" s="32"/>
      <c r="F81" s="31"/>
      <c r="G81" s="31"/>
      <c r="H81" s="31"/>
      <c r="I81" s="31"/>
      <c r="J81" s="31"/>
      <c r="K81" s="31"/>
      <c r="L81" s="31"/>
      <c r="M81" s="31"/>
      <c r="N81" s="31"/>
      <c r="O81" s="31"/>
    </row>
    <row r="82" spans="1:15" x14ac:dyDescent="0.25">
      <c r="A82" s="31"/>
      <c r="B82" s="31"/>
      <c r="C82" s="31"/>
      <c r="D82" s="31"/>
      <c r="E82" s="32"/>
      <c r="F82" s="31"/>
      <c r="G82" s="31"/>
      <c r="H82" s="31"/>
      <c r="I82" s="31"/>
      <c r="J82" s="31"/>
      <c r="K82" s="31"/>
      <c r="L82" s="31"/>
      <c r="M82" s="31"/>
      <c r="N82" s="31"/>
      <c r="O82" s="31"/>
    </row>
    <row r="83" spans="1:15" x14ac:dyDescent="0.25">
      <c r="A83" s="101" t="s">
        <v>1385</v>
      </c>
      <c r="B83" s="31"/>
      <c r="C83" s="101" t="s">
        <v>1385</v>
      </c>
      <c r="D83" s="31"/>
      <c r="E83" s="101" t="s">
        <v>1385</v>
      </c>
      <c r="F83" s="31"/>
      <c r="G83" s="101" t="s">
        <v>1385</v>
      </c>
      <c r="H83" s="31"/>
      <c r="I83" s="101" t="s">
        <v>1384</v>
      </c>
      <c r="J83" s="31"/>
      <c r="K83" s="101" t="s">
        <v>1384</v>
      </c>
      <c r="L83" s="101"/>
      <c r="M83" s="152" t="s">
        <v>1384</v>
      </c>
      <c r="N83" s="31"/>
      <c r="O83" s="101" t="s">
        <v>1373</v>
      </c>
    </row>
    <row r="84" spans="1:15" x14ac:dyDescent="0.25">
      <c r="A84" s="101" t="s">
        <v>570</v>
      </c>
      <c r="B84" s="31"/>
      <c r="C84" s="101" t="s">
        <v>570</v>
      </c>
      <c r="D84" s="31"/>
      <c r="E84" s="101" t="s">
        <v>570</v>
      </c>
      <c r="F84" s="31"/>
      <c r="G84" s="101" t="s">
        <v>570</v>
      </c>
      <c r="H84" s="31"/>
      <c r="I84" s="101" t="s">
        <v>570</v>
      </c>
      <c r="J84" s="31"/>
      <c r="K84" s="101" t="s">
        <v>570</v>
      </c>
      <c r="L84" s="541"/>
      <c r="M84" s="546" t="s">
        <v>1050</v>
      </c>
      <c r="N84" s="31"/>
      <c r="O84" s="541" t="s">
        <v>1049</v>
      </c>
    </row>
    <row r="85" spans="1:15" x14ac:dyDescent="0.25">
      <c r="A85" s="31"/>
      <c r="B85" s="31"/>
      <c r="C85" s="31"/>
      <c r="D85" s="31"/>
      <c r="E85" s="32"/>
      <c r="F85" s="31"/>
      <c r="G85" s="31"/>
      <c r="H85" s="31"/>
      <c r="I85" s="31"/>
      <c r="J85" s="31"/>
      <c r="K85" s="31"/>
      <c r="L85" s="541"/>
      <c r="M85" s="546"/>
      <c r="N85" s="31"/>
      <c r="O85" s="541"/>
    </row>
    <row r="86" spans="1:15" x14ac:dyDescent="0.25">
      <c r="A86" s="31"/>
      <c r="B86" s="31"/>
      <c r="C86" s="31"/>
      <c r="D86" s="31"/>
      <c r="E86" s="32"/>
      <c r="F86" s="31"/>
      <c r="G86" s="31"/>
      <c r="H86" s="31"/>
      <c r="I86" s="31"/>
      <c r="J86" s="31"/>
      <c r="K86" s="31"/>
      <c r="L86" s="31"/>
      <c r="M86" s="31"/>
      <c r="N86" s="31"/>
      <c r="O86" s="31"/>
    </row>
    <row r="87" spans="1:15" x14ac:dyDescent="0.25">
      <c r="A87" s="31"/>
      <c r="B87" s="31"/>
      <c r="C87" s="31"/>
      <c r="D87" s="31"/>
      <c r="E87" s="31"/>
      <c r="F87" s="31"/>
      <c r="G87" s="31"/>
      <c r="H87" s="546" t="s">
        <v>951</v>
      </c>
      <c r="I87" s="546"/>
      <c r="J87" s="31"/>
      <c r="K87" s="541"/>
      <c r="L87" s="31"/>
      <c r="M87" s="31"/>
      <c r="N87" s="546" t="s">
        <v>1051</v>
      </c>
      <c r="O87" s="546"/>
    </row>
    <row r="88" spans="1:15" x14ac:dyDescent="0.25">
      <c r="A88" s="31"/>
      <c r="B88" s="31"/>
      <c r="C88" s="31"/>
      <c r="D88" s="31"/>
      <c r="E88" s="31"/>
      <c r="F88" s="31"/>
      <c r="G88" s="31"/>
      <c r="H88" s="546"/>
      <c r="I88" s="546"/>
      <c r="J88" s="31"/>
      <c r="K88" s="541"/>
      <c r="L88" s="31"/>
      <c r="M88" s="31"/>
      <c r="N88" s="546"/>
      <c r="O88" s="546"/>
    </row>
    <row r="89" spans="1:15" x14ac:dyDescent="0.25">
      <c r="A89" s="31"/>
      <c r="B89" s="31"/>
      <c r="C89" s="31"/>
      <c r="D89" s="31"/>
      <c r="E89" s="32"/>
      <c r="F89" s="151" t="s">
        <v>944</v>
      </c>
      <c r="G89" s="31"/>
      <c r="H89" s="152" t="s">
        <v>945</v>
      </c>
      <c r="I89" s="31"/>
      <c r="J89" s="31"/>
      <c r="K89" s="31"/>
      <c r="L89" s="31"/>
      <c r="M89" s="31"/>
      <c r="N89" s="31"/>
      <c r="O89" s="31"/>
    </row>
    <row r="90" spans="1:15" x14ac:dyDescent="0.25">
      <c r="A90" s="31"/>
      <c r="B90" s="31"/>
      <c r="C90" s="31"/>
      <c r="D90" s="31"/>
      <c r="E90" s="32"/>
      <c r="F90" s="151" t="s">
        <v>551</v>
      </c>
      <c r="G90" s="31"/>
      <c r="H90" s="152" t="s">
        <v>552</v>
      </c>
      <c r="I90" s="31"/>
      <c r="J90" s="31"/>
      <c r="K90" s="31"/>
      <c r="L90" s="31"/>
      <c r="M90" s="31"/>
      <c r="N90" s="31"/>
      <c r="O90" s="31"/>
    </row>
    <row r="91" spans="1:15" x14ac:dyDescent="0.25">
      <c r="A91" s="31"/>
      <c r="B91" s="31"/>
      <c r="C91" s="210" t="s">
        <v>572</v>
      </c>
      <c r="D91" s="31"/>
      <c r="E91" s="210" t="s">
        <v>573</v>
      </c>
      <c r="F91" s="31"/>
      <c r="G91" s="210" t="s">
        <v>574</v>
      </c>
      <c r="H91" s="31"/>
      <c r="I91" s="31"/>
      <c r="J91" s="31"/>
      <c r="K91" s="542" t="s">
        <v>575</v>
      </c>
      <c r="L91" s="542"/>
      <c r="M91" s="210"/>
      <c r="N91" s="31"/>
      <c r="O91" s="31"/>
    </row>
    <row r="92" spans="1:15" x14ac:dyDescent="0.25">
      <c r="A92" s="31"/>
      <c r="B92" s="31"/>
      <c r="C92" s="31"/>
      <c r="D92" s="31"/>
      <c r="E92" s="32"/>
      <c r="F92" s="31"/>
      <c r="G92" s="31"/>
      <c r="H92" s="31"/>
      <c r="I92" s="31"/>
      <c r="J92" s="31"/>
      <c r="K92" s="31"/>
      <c r="L92" s="31"/>
      <c r="M92" s="31"/>
      <c r="N92" s="31"/>
      <c r="O92" s="31"/>
    </row>
    <row r="93" spans="1:15" x14ac:dyDescent="0.25">
      <c r="A93" s="31"/>
      <c r="B93" s="31"/>
      <c r="C93" s="31"/>
      <c r="D93" s="31"/>
      <c r="E93" s="32"/>
      <c r="F93" s="31"/>
      <c r="G93" s="31"/>
      <c r="H93" s="31"/>
      <c r="I93" s="31"/>
      <c r="J93" s="31"/>
      <c r="K93" s="31"/>
      <c r="L93" s="31"/>
      <c r="M93" s="31"/>
      <c r="N93" s="31"/>
      <c r="O93" s="31"/>
    </row>
    <row r="94" spans="1:15" x14ac:dyDescent="0.25">
      <c r="A94" s="31"/>
      <c r="B94" s="31"/>
      <c r="C94" s="31"/>
      <c r="D94" s="31"/>
      <c r="E94" s="32"/>
      <c r="F94" s="31"/>
      <c r="G94" s="31"/>
      <c r="H94" s="31"/>
      <c r="I94" s="31"/>
      <c r="J94" s="31"/>
      <c r="K94" s="31"/>
      <c r="L94" s="31"/>
      <c r="M94" s="31"/>
      <c r="N94" s="31"/>
      <c r="O94" s="31"/>
    </row>
    <row r="95" spans="1:15" x14ac:dyDescent="0.25">
      <c r="A95" s="31"/>
      <c r="B95" s="289" t="s">
        <v>1381</v>
      </c>
      <c r="C95" s="31"/>
      <c r="D95" s="289" t="s">
        <v>1381</v>
      </c>
      <c r="E95" s="32"/>
      <c r="F95" s="289" t="s">
        <v>1381</v>
      </c>
      <c r="G95" s="31"/>
      <c r="H95" s="101" t="s">
        <v>1381</v>
      </c>
      <c r="I95" s="31"/>
      <c r="J95" s="101"/>
      <c r="K95" s="31"/>
      <c r="L95" s="101"/>
      <c r="M95" s="31"/>
      <c r="N95" s="101" t="s">
        <v>1375</v>
      </c>
      <c r="O95" s="31"/>
    </row>
    <row r="96" spans="1:15" x14ac:dyDescent="0.25">
      <c r="A96" s="31"/>
      <c r="B96" s="101" t="s">
        <v>553</v>
      </c>
      <c r="C96" s="31"/>
      <c r="D96" s="101" t="s">
        <v>553</v>
      </c>
      <c r="E96" s="32"/>
      <c r="F96" s="101" t="s">
        <v>553</v>
      </c>
      <c r="G96" s="31"/>
      <c r="H96" s="101" t="s">
        <v>553</v>
      </c>
      <c r="I96" s="31"/>
      <c r="J96" s="101"/>
      <c r="K96" s="31"/>
      <c r="L96" s="541"/>
      <c r="M96" s="31"/>
      <c r="N96" s="541" t="s">
        <v>555</v>
      </c>
      <c r="O96" s="31"/>
    </row>
    <row r="97" spans="1:15" x14ac:dyDescent="0.25">
      <c r="A97" s="31"/>
      <c r="B97" s="31"/>
      <c r="C97" s="31"/>
      <c r="D97" s="31"/>
      <c r="E97" s="32"/>
      <c r="F97" s="31"/>
      <c r="G97" s="31"/>
      <c r="H97" s="31"/>
      <c r="I97" s="31"/>
      <c r="J97" s="31"/>
      <c r="K97" s="31"/>
      <c r="L97" s="541"/>
      <c r="M97" s="31"/>
      <c r="N97" s="541"/>
      <c r="O97" s="31"/>
    </row>
    <row r="98" spans="1:15" x14ac:dyDescent="0.25">
      <c r="A98" s="31"/>
      <c r="B98" s="31"/>
      <c r="C98" s="31"/>
      <c r="D98" s="31"/>
      <c r="E98" s="32"/>
      <c r="F98" s="31"/>
      <c r="G98" s="31"/>
      <c r="H98" s="31"/>
      <c r="I98" s="31"/>
      <c r="J98" s="31"/>
      <c r="K98" s="31"/>
      <c r="L98" s="31"/>
      <c r="M98" s="31"/>
      <c r="N98" s="31"/>
      <c r="O98" s="31"/>
    </row>
    <row r="99" spans="1:15" x14ac:dyDescent="0.25">
      <c r="A99" s="31"/>
      <c r="B99" s="31"/>
      <c r="C99" s="31"/>
      <c r="D99" s="31"/>
      <c r="E99" s="541"/>
      <c r="F99" s="31"/>
      <c r="G99" s="158"/>
      <c r="H99" s="31"/>
      <c r="I99" s="238" t="s">
        <v>551</v>
      </c>
      <c r="J99" s="31"/>
      <c r="K99" s="541" t="s">
        <v>1029</v>
      </c>
      <c r="L99" s="541"/>
      <c r="M99" s="31"/>
      <c r="N99" s="31"/>
      <c r="O99" s="31"/>
    </row>
    <row r="100" spans="1:15" x14ac:dyDescent="0.25">
      <c r="A100" s="31"/>
      <c r="B100" s="31"/>
      <c r="C100" s="31"/>
      <c r="D100" s="31"/>
      <c r="E100" s="541"/>
      <c r="F100" s="31"/>
      <c r="G100" s="158"/>
      <c r="H100" s="31"/>
      <c r="I100" s="238" t="s">
        <v>1028</v>
      </c>
      <c r="J100" s="31"/>
      <c r="K100" s="541"/>
      <c r="L100" s="541"/>
      <c r="M100" s="31"/>
      <c r="N100" s="31"/>
      <c r="O100" s="31"/>
    </row>
    <row r="101" spans="1:15" x14ac:dyDescent="0.25">
      <c r="A101" s="31"/>
      <c r="B101" s="152" t="s">
        <v>1378</v>
      </c>
      <c r="C101" s="152" t="s">
        <v>559</v>
      </c>
      <c r="D101" s="31"/>
      <c r="E101" s="543" t="s">
        <v>584</v>
      </c>
      <c r="F101" s="543"/>
      <c r="G101" s="542"/>
      <c r="H101" s="542"/>
      <c r="I101" s="542" t="s">
        <v>1034</v>
      </c>
      <c r="J101" s="542"/>
      <c r="L101" s="543" t="s">
        <v>1035</v>
      </c>
      <c r="M101" s="543"/>
      <c r="N101" s="31"/>
      <c r="O101" s="31"/>
    </row>
    <row r="102" spans="1:15" x14ac:dyDescent="0.25">
      <c r="A102" s="31"/>
      <c r="B102" s="152" t="s">
        <v>1379</v>
      </c>
      <c r="C102" s="152" t="s">
        <v>1030</v>
      </c>
      <c r="D102" s="31"/>
      <c r="E102" s="32"/>
      <c r="F102" s="31"/>
      <c r="G102" s="155"/>
      <c r="H102" s="31"/>
      <c r="I102" s="31"/>
      <c r="J102" s="31"/>
      <c r="K102" s="31"/>
      <c r="L102" s="31"/>
      <c r="M102" s="31"/>
      <c r="N102" s="31"/>
      <c r="O102" s="31"/>
    </row>
    <row r="103" spans="1:15" x14ac:dyDescent="0.25">
      <c r="A103" s="31"/>
      <c r="B103" s="152" t="s">
        <v>1380</v>
      </c>
      <c r="C103" s="152" t="s">
        <v>558</v>
      </c>
      <c r="D103" s="31"/>
      <c r="E103" s="32"/>
      <c r="F103" s="31"/>
      <c r="G103" s="31"/>
      <c r="H103" s="31"/>
      <c r="I103" s="31"/>
      <c r="J103" s="31"/>
      <c r="K103" s="31"/>
      <c r="L103" s="31"/>
      <c r="M103" s="31"/>
      <c r="N103" s="31"/>
      <c r="O103" s="31"/>
    </row>
    <row r="104" spans="1:15" x14ac:dyDescent="0.25">
      <c r="A104" s="31"/>
      <c r="B104" s="152" t="s">
        <v>1379</v>
      </c>
      <c r="C104" s="152" t="s">
        <v>1031</v>
      </c>
      <c r="D104" s="31"/>
      <c r="E104" s="32"/>
      <c r="F104" s="31"/>
      <c r="G104" s="101" t="s">
        <v>1039</v>
      </c>
      <c r="H104" s="101"/>
      <c r="I104" s="31"/>
      <c r="J104" s="101"/>
      <c r="K104" s="101" t="s">
        <v>1037</v>
      </c>
      <c r="L104" s="31"/>
      <c r="M104" s="31"/>
      <c r="N104" s="540" t="s">
        <v>1036</v>
      </c>
      <c r="O104" s="540"/>
    </row>
    <row r="105" spans="1:15" x14ac:dyDescent="0.25">
      <c r="A105" s="31"/>
      <c r="B105" s="152" t="s">
        <v>1376</v>
      </c>
      <c r="C105" s="152" t="s">
        <v>1032</v>
      </c>
      <c r="D105" s="31"/>
      <c r="E105" s="32"/>
      <c r="F105" s="31"/>
      <c r="G105" s="541" t="s">
        <v>577</v>
      </c>
      <c r="H105" s="541"/>
      <c r="I105" s="31"/>
      <c r="K105" s="541" t="s">
        <v>577</v>
      </c>
      <c r="L105" s="31"/>
      <c r="M105" s="31"/>
      <c r="N105" s="541" t="s">
        <v>578</v>
      </c>
      <c r="O105" s="541"/>
    </row>
    <row r="106" spans="1:15" x14ac:dyDescent="0.25">
      <c r="A106" s="31"/>
      <c r="B106" s="152" t="s">
        <v>1377</v>
      </c>
      <c r="C106" s="152" t="s">
        <v>1361</v>
      </c>
      <c r="D106" s="31"/>
      <c r="E106" s="32"/>
      <c r="F106" s="31"/>
      <c r="G106" s="541"/>
      <c r="H106" s="541"/>
      <c r="I106" s="31"/>
      <c r="J106" s="158"/>
      <c r="K106" s="541"/>
      <c r="L106" s="31"/>
      <c r="M106" s="31"/>
      <c r="N106" s="541"/>
      <c r="O106" s="541"/>
    </row>
    <row r="107" spans="1:15" x14ac:dyDescent="0.25">
      <c r="A107" s="31"/>
      <c r="B107" s="152" t="s">
        <v>1374</v>
      </c>
      <c r="C107" s="152" t="s">
        <v>1033</v>
      </c>
      <c r="D107" s="31"/>
      <c r="E107" s="32"/>
      <c r="F107" s="31"/>
      <c r="G107" s="541"/>
      <c r="H107" s="541"/>
      <c r="I107" s="31"/>
      <c r="J107" s="158"/>
      <c r="K107" s="541"/>
      <c r="L107" s="31"/>
      <c r="M107" s="31"/>
      <c r="N107" s="541"/>
      <c r="O107" s="541"/>
    </row>
    <row r="108" spans="1:15" x14ac:dyDescent="0.25">
      <c r="A108" s="31"/>
      <c r="B108" s="152" t="s">
        <v>1375</v>
      </c>
      <c r="C108" s="152" t="s">
        <v>557</v>
      </c>
      <c r="D108" s="31"/>
      <c r="E108" s="32"/>
      <c r="F108" s="31"/>
      <c r="G108" s="541"/>
      <c r="H108" s="541"/>
      <c r="I108" s="31"/>
      <c r="J108" s="158"/>
      <c r="K108" s="541"/>
      <c r="L108" s="31"/>
      <c r="M108" s="31"/>
      <c r="N108" s="541"/>
      <c r="O108" s="541"/>
    </row>
    <row r="109" spans="1:15" x14ac:dyDescent="0.25">
      <c r="A109" s="31"/>
      <c r="B109" s="152" t="s">
        <v>1373</v>
      </c>
      <c r="C109" s="152" t="s">
        <v>576</v>
      </c>
      <c r="D109" s="31"/>
      <c r="E109" s="32"/>
      <c r="F109" s="31"/>
      <c r="G109" s="31"/>
      <c r="H109" s="31"/>
      <c r="I109" s="541" t="s">
        <v>1038</v>
      </c>
      <c r="J109" s="541"/>
      <c r="K109" s="31"/>
      <c r="L109" s="31"/>
      <c r="M109" s="31"/>
      <c r="N109" s="31"/>
      <c r="O109" s="31"/>
    </row>
    <row r="110" spans="1:15" x14ac:dyDescent="0.25">
      <c r="A110" s="31"/>
      <c r="B110" s="31"/>
      <c r="C110" s="31"/>
      <c r="D110" s="31"/>
      <c r="E110" s="32"/>
      <c r="F110" s="31"/>
      <c r="G110" s="31"/>
      <c r="H110" s="31"/>
      <c r="I110" s="541"/>
      <c r="J110" s="541"/>
      <c r="K110" s="31"/>
      <c r="L110" s="31"/>
      <c r="M110" s="31"/>
      <c r="N110" s="31"/>
      <c r="O110" s="31"/>
    </row>
    <row r="112" spans="1:15" x14ac:dyDescent="0.25">
      <c r="A112" s="544" t="s">
        <v>579</v>
      </c>
      <c r="B112" s="544"/>
      <c r="C112" s="544"/>
      <c r="E112" s="48"/>
    </row>
    <row r="113" spans="1:15" x14ac:dyDescent="0.25">
      <c r="A113" s="31"/>
      <c r="B113" s="31"/>
      <c r="C113" s="31"/>
      <c r="D113" s="31"/>
      <c r="E113" s="32"/>
      <c r="F113" s="31"/>
      <c r="G113" s="31"/>
      <c r="H113" s="31"/>
      <c r="I113" s="31"/>
      <c r="J113" s="31"/>
      <c r="K113" s="31"/>
      <c r="L113" s="31"/>
      <c r="M113" s="31"/>
      <c r="N113" s="31"/>
      <c r="O113" s="31"/>
    </row>
    <row r="114" spans="1:15" x14ac:dyDescent="0.25">
      <c r="A114" s="31"/>
      <c r="B114" s="31"/>
      <c r="C114" s="31"/>
      <c r="D114" s="31"/>
      <c r="E114" s="151" t="s">
        <v>944</v>
      </c>
      <c r="F114" s="31"/>
      <c r="G114" s="152" t="s">
        <v>945</v>
      </c>
      <c r="H114" s="31"/>
      <c r="I114" s="31"/>
      <c r="J114" s="31"/>
      <c r="K114" s="31"/>
      <c r="L114" s="31"/>
      <c r="M114" s="31"/>
      <c r="N114" s="31"/>
      <c r="O114" s="31"/>
    </row>
    <row r="115" spans="1:15" x14ac:dyDescent="0.25">
      <c r="A115" s="31"/>
      <c r="B115" s="31"/>
      <c r="C115" s="31"/>
      <c r="D115" s="31"/>
      <c r="E115" s="151" t="s">
        <v>551</v>
      </c>
      <c r="F115" s="31"/>
      <c r="G115" s="152" t="s">
        <v>552</v>
      </c>
      <c r="H115" s="31"/>
      <c r="I115" s="31"/>
      <c r="J115" s="31"/>
      <c r="K115" s="31"/>
      <c r="L115" s="31"/>
      <c r="M115" s="31"/>
      <c r="N115" s="31"/>
      <c r="O115" s="31"/>
    </row>
    <row r="116" spans="1:15" x14ac:dyDescent="0.25">
      <c r="A116" s="31"/>
      <c r="B116" s="210" t="s">
        <v>546</v>
      </c>
      <c r="D116" s="210" t="s">
        <v>547</v>
      </c>
      <c r="E116" s="48"/>
      <c r="F116" s="210" t="s">
        <v>548</v>
      </c>
      <c r="H116" s="210" t="s">
        <v>549</v>
      </c>
      <c r="I116" s="240"/>
      <c r="J116" s="240" t="s">
        <v>952</v>
      </c>
      <c r="K116" s="239"/>
      <c r="L116" s="239" t="s">
        <v>946</v>
      </c>
      <c r="M116" s="545" t="s">
        <v>947</v>
      </c>
      <c r="N116" s="545"/>
      <c r="O116" s="31"/>
    </row>
    <row r="117" spans="1:15" x14ac:dyDescent="0.25">
      <c r="A117" s="31"/>
      <c r="B117" s="31"/>
      <c r="C117" s="31"/>
      <c r="D117" s="31"/>
      <c r="E117" s="32"/>
      <c r="F117" s="31"/>
      <c r="G117" s="31"/>
      <c r="H117" s="31"/>
      <c r="I117" s="31"/>
      <c r="J117" s="31"/>
      <c r="K117" s="31"/>
      <c r="L117" s="31"/>
      <c r="M117" s="31"/>
      <c r="N117" s="31"/>
      <c r="O117" s="31"/>
    </row>
    <row r="118" spans="1:15" x14ac:dyDescent="0.25">
      <c r="A118" s="31"/>
      <c r="B118" s="31"/>
      <c r="C118" s="31"/>
      <c r="D118" s="31"/>
      <c r="E118" s="32"/>
      <c r="F118" s="31"/>
      <c r="G118" s="31"/>
      <c r="H118" s="31"/>
      <c r="I118" s="31"/>
      <c r="J118" s="31"/>
      <c r="K118" s="31"/>
      <c r="L118" s="31"/>
      <c r="M118" s="31"/>
      <c r="N118" s="31"/>
      <c r="O118" s="31"/>
    </row>
    <row r="119" spans="1:15" x14ac:dyDescent="0.25">
      <c r="A119" s="31"/>
      <c r="B119" s="31"/>
      <c r="C119" s="31"/>
      <c r="D119" s="31"/>
      <c r="E119" s="32"/>
      <c r="F119" s="31"/>
      <c r="G119" s="31"/>
      <c r="H119" s="31"/>
      <c r="I119" s="31"/>
      <c r="J119" s="31"/>
      <c r="K119" s="31"/>
      <c r="L119" s="31"/>
      <c r="M119" s="31"/>
      <c r="N119" s="31"/>
      <c r="O119" s="31"/>
    </row>
    <row r="120" spans="1:15" x14ac:dyDescent="0.25">
      <c r="A120" s="101" t="s">
        <v>1396</v>
      </c>
      <c r="B120" s="31"/>
      <c r="C120" s="101" t="s">
        <v>1396</v>
      </c>
      <c r="D120" s="31"/>
      <c r="E120" s="101" t="s">
        <v>1396</v>
      </c>
      <c r="F120" s="31"/>
      <c r="G120" s="101" t="s">
        <v>1396</v>
      </c>
      <c r="H120" s="31"/>
      <c r="I120" s="101" t="s">
        <v>1396</v>
      </c>
      <c r="J120" s="31"/>
      <c r="K120" s="101" t="s">
        <v>1395</v>
      </c>
      <c r="L120" s="101"/>
      <c r="M120" s="152" t="s">
        <v>1395</v>
      </c>
      <c r="N120" s="31"/>
      <c r="O120" s="101" t="s">
        <v>1386</v>
      </c>
    </row>
    <row r="121" spans="1:15" x14ac:dyDescent="0.25">
      <c r="A121" s="101" t="s">
        <v>580</v>
      </c>
      <c r="B121" s="31"/>
      <c r="C121" s="101" t="s">
        <v>580</v>
      </c>
      <c r="D121" s="31"/>
      <c r="E121" s="101" t="s">
        <v>580</v>
      </c>
      <c r="F121" s="31"/>
      <c r="G121" s="101" t="s">
        <v>580</v>
      </c>
      <c r="H121" s="31"/>
      <c r="I121" s="101" t="s">
        <v>580</v>
      </c>
      <c r="J121" s="31"/>
      <c r="K121" s="101" t="s">
        <v>580</v>
      </c>
      <c r="L121" s="541"/>
      <c r="M121" s="546" t="s">
        <v>1053</v>
      </c>
      <c r="N121" s="31"/>
      <c r="O121" s="541" t="s">
        <v>1054</v>
      </c>
    </row>
    <row r="122" spans="1:15" x14ac:dyDescent="0.25">
      <c r="A122" s="31"/>
      <c r="B122" s="31"/>
      <c r="C122" s="31"/>
      <c r="D122" s="31"/>
      <c r="E122" s="32"/>
      <c r="F122" s="31"/>
      <c r="G122" s="31"/>
      <c r="H122" s="31"/>
      <c r="I122" s="31"/>
      <c r="J122" s="31"/>
      <c r="K122" s="31"/>
      <c r="L122" s="541"/>
      <c r="M122" s="546"/>
      <c r="N122" s="31"/>
      <c r="O122" s="541"/>
    </row>
    <row r="123" spans="1:15" x14ac:dyDescent="0.25">
      <c r="A123" s="31"/>
      <c r="B123" s="31"/>
      <c r="C123" s="31"/>
      <c r="D123" s="31"/>
      <c r="E123" s="32"/>
      <c r="F123" s="31"/>
      <c r="G123" s="31"/>
      <c r="H123" s="31"/>
      <c r="I123" s="31"/>
      <c r="J123" s="31"/>
      <c r="K123" s="31"/>
      <c r="L123" s="31"/>
      <c r="M123" s="31"/>
      <c r="N123" s="31"/>
      <c r="O123" s="31"/>
    </row>
    <row r="124" spans="1:15" x14ac:dyDescent="0.25">
      <c r="A124" s="31"/>
      <c r="B124" s="31"/>
      <c r="C124" s="31"/>
      <c r="D124" s="31"/>
      <c r="E124" s="31"/>
      <c r="F124" s="31"/>
      <c r="G124" s="31"/>
      <c r="H124" s="31"/>
      <c r="I124" s="31"/>
      <c r="J124" s="546" t="s">
        <v>1055</v>
      </c>
      <c r="K124" s="546"/>
      <c r="L124" s="31"/>
      <c r="M124" s="31"/>
      <c r="N124" s="546" t="s">
        <v>1056</v>
      </c>
      <c r="O124" s="546"/>
    </row>
    <row r="125" spans="1:15" x14ac:dyDescent="0.25">
      <c r="A125" s="31"/>
      <c r="B125" s="31"/>
      <c r="C125" s="31"/>
      <c r="D125" s="31"/>
      <c r="E125" s="31"/>
      <c r="F125" s="31"/>
      <c r="G125" s="31"/>
      <c r="H125" s="31"/>
      <c r="I125" s="31"/>
      <c r="J125" s="546"/>
      <c r="K125" s="546"/>
      <c r="L125" s="31"/>
      <c r="M125" s="31"/>
      <c r="N125" s="546"/>
      <c r="O125" s="546"/>
    </row>
    <row r="126" spans="1:15" x14ac:dyDescent="0.25">
      <c r="A126" s="31"/>
      <c r="B126" s="31"/>
      <c r="C126" s="31"/>
      <c r="D126" s="31"/>
      <c r="E126" s="32"/>
      <c r="F126" s="151" t="s">
        <v>944</v>
      </c>
      <c r="G126" s="31"/>
      <c r="H126" s="152" t="s">
        <v>945</v>
      </c>
      <c r="I126" s="31"/>
      <c r="J126" s="31"/>
      <c r="K126" s="31"/>
      <c r="L126" s="31"/>
      <c r="M126" s="31"/>
      <c r="N126" s="31"/>
      <c r="O126" s="31"/>
    </row>
    <row r="127" spans="1:15" x14ac:dyDescent="0.25">
      <c r="A127" s="31"/>
      <c r="B127" s="31"/>
      <c r="C127" s="31"/>
      <c r="D127" s="31"/>
      <c r="E127" s="32"/>
      <c r="F127" s="151" t="s">
        <v>551</v>
      </c>
      <c r="G127" s="31"/>
      <c r="H127" s="152" t="s">
        <v>552</v>
      </c>
      <c r="I127" s="31"/>
      <c r="J127" s="31"/>
      <c r="K127" s="31"/>
      <c r="L127" s="31"/>
      <c r="M127" s="31"/>
      <c r="N127" s="31"/>
      <c r="O127" s="31"/>
    </row>
    <row r="128" spans="1:15" x14ac:dyDescent="0.25">
      <c r="A128" s="31"/>
      <c r="B128" s="31"/>
      <c r="C128" s="210" t="s">
        <v>572</v>
      </c>
      <c r="D128" s="31"/>
      <c r="E128" s="210" t="s">
        <v>573</v>
      </c>
      <c r="F128" s="31"/>
      <c r="G128" s="210" t="s">
        <v>574</v>
      </c>
      <c r="H128" s="31"/>
      <c r="I128" s="31"/>
      <c r="J128" s="31"/>
      <c r="K128" s="542" t="s">
        <v>575</v>
      </c>
      <c r="L128" s="542"/>
      <c r="M128" s="210"/>
      <c r="N128" s="31"/>
      <c r="O128" s="31"/>
    </row>
    <row r="129" spans="1:15" x14ac:dyDescent="0.25">
      <c r="A129" s="31"/>
      <c r="B129" s="31"/>
      <c r="C129" s="31"/>
      <c r="D129" s="31"/>
      <c r="E129" s="32"/>
      <c r="F129" s="31"/>
      <c r="G129" s="31"/>
      <c r="H129" s="31"/>
      <c r="I129" s="31"/>
      <c r="J129" s="31"/>
      <c r="K129" s="31"/>
      <c r="L129" s="31"/>
      <c r="M129" s="31"/>
      <c r="N129" s="31"/>
      <c r="O129" s="31"/>
    </row>
    <row r="130" spans="1:15" x14ac:dyDescent="0.25">
      <c r="A130" s="31"/>
      <c r="B130" s="31"/>
      <c r="C130" s="31"/>
      <c r="D130" s="31"/>
      <c r="E130" s="32"/>
      <c r="F130" s="31"/>
      <c r="G130" s="31"/>
      <c r="H130" s="31"/>
      <c r="I130" s="31"/>
      <c r="J130" s="31"/>
      <c r="K130" s="31"/>
      <c r="L130" s="31"/>
      <c r="M130" s="31"/>
      <c r="N130" s="31"/>
      <c r="O130" s="31"/>
    </row>
    <row r="131" spans="1:15" x14ac:dyDescent="0.25">
      <c r="A131" s="31"/>
      <c r="B131" s="31"/>
      <c r="C131" s="31"/>
      <c r="D131" s="31"/>
      <c r="E131" s="32"/>
      <c r="F131" s="31"/>
      <c r="G131" s="31"/>
      <c r="H131" s="31"/>
      <c r="I131" s="31"/>
      <c r="J131" s="31"/>
      <c r="K131" s="31"/>
      <c r="L131" s="31"/>
      <c r="M131" s="31"/>
      <c r="N131" s="31"/>
      <c r="O131" s="31"/>
    </row>
    <row r="132" spans="1:15" x14ac:dyDescent="0.25">
      <c r="A132" s="31"/>
      <c r="B132" s="101" t="s">
        <v>1394</v>
      </c>
      <c r="C132" s="31"/>
      <c r="D132" s="101" t="s">
        <v>1394</v>
      </c>
      <c r="E132" s="32"/>
      <c r="F132" s="101" t="s">
        <v>1394</v>
      </c>
      <c r="G132" s="31"/>
      <c r="H132" s="101" t="s">
        <v>1394</v>
      </c>
      <c r="I132" s="31"/>
      <c r="J132" s="101"/>
      <c r="K132" s="31"/>
      <c r="L132" s="101"/>
      <c r="M132" s="31"/>
      <c r="N132" s="101" t="s">
        <v>1388</v>
      </c>
      <c r="O132" s="31"/>
    </row>
    <row r="133" spans="1:15" x14ac:dyDescent="0.25">
      <c r="A133" s="31"/>
      <c r="B133" s="101" t="s">
        <v>553</v>
      </c>
      <c r="C133" s="31"/>
      <c r="D133" s="101" t="s">
        <v>553</v>
      </c>
      <c r="E133" s="32"/>
      <c r="F133" s="101" t="s">
        <v>553</v>
      </c>
      <c r="G133" s="31"/>
      <c r="H133" s="101" t="s">
        <v>553</v>
      </c>
      <c r="I133" s="31"/>
      <c r="J133" s="101"/>
      <c r="K133" s="31"/>
      <c r="L133" s="541"/>
      <c r="M133" s="31"/>
      <c r="N133" s="541" t="s">
        <v>555</v>
      </c>
      <c r="O133" s="31"/>
    </row>
    <row r="134" spans="1:15" x14ac:dyDescent="0.25">
      <c r="A134" s="31"/>
      <c r="B134" s="31"/>
      <c r="C134" s="31"/>
      <c r="D134" s="31"/>
      <c r="E134" s="32"/>
      <c r="F134" s="31"/>
      <c r="G134" s="31"/>
      <c r="H134" s="31"/>
      <c r="I134" s="31"/>
      <c r="J134" s="31"/>
      <c r="K134" s="31"/>
      <c r="L134" s="541"/>
      <c r="M134" s="31"/>
      <c r="N134" s="541"/>
      <c r="O134" s="31"/>
    </row>
    <row r="135" spans="1:15" x14ac:dyDescent="0.25">
      <c r="A135" s="31"/>
      <c r="B135" s="31"/>
      <c r="C135" s="31"/>
      <c r="D135" s="31"/>
      <c r="E135" s="32"/>
      <c r="F135" s="31"/>
      <c r="G135" s="31"/>
      <c r="H135" s="31"/>
      <c r="I135" s="31"/>
      <c r="J135" s="31"/>
      <c r="K135" s="31"/>
      <c r="L135" s="31"/>
      <c r="M135" s="31"/>
      <c r="N135" s="31"/>
      <c r="O135" s="31"/>
    </row>
    <row r="136" spans="1:15" x14ac:dyDescent="0.25">
      <c r="A136" s="31"/>
      <c r="B136" s="31"/>
      <c r="C136" s="31"/>
      <c r="D136" s="31"/>
      <c r="E136" s="541"/>
      <c r="F136" s="31"/>
      <c r="G136" s="158"/>
      <c r="H136" s="31"/>
      <c r="I136" s="238" t="s">
        <v>551</v>
      </c>
      <c r="J136" s="31"/>
      <c r="K136" s="541" t="s">
        <v>1029</v>
      </c>
      <c r="L136" s="541"/>
      <c r="M136" s="31"/>
      <c r="N136" s="31"/>
      <c r="O136" s="31"/>
    </row>
    <row r="137" spans="1:15" x14ac:dyDescent="0.25">
      <c r="A137" s="31"/>
      <c r="B137" s="31"/>
      <c r="C137" s="31"/>
      <c r="D137" s="31"/>
      <c r="E137" s="541"/>
      <c r="F137" s="31"/>
      <c r="G137" s="158"/>
      <c r="H137" s="31"/>
      <c r="I137" s="238" t="s">
        <v>1028</v>
      </c>
      <c r="J137" s="31"/>
      <c r="K137" s="541"/>
      <c r="L137" s="541"/>
      <c r="M137" s="31"/>
      <c r="N137" s="31"/>
      <c r="O137" s="31"/>
    </row>
    <row r="138" spans="1:15" x14ac:dyDescent="0.25">
      <c r="A138" s="31"/>
      <c r="B138" s="152" t="s">
        <v>1391</v>
      </c>
      <c r="C138" s="152" t="s">
        <v>559</v>
      </c>
      <c r="D138" s="31"/>
      <c r="E138" s="543" t="s">
        <v>584</v>
      </c>
      <c r="F138" s="543"/>
      <c r="G138" s="542"/>
      <c r="H138" s="542"/>
      <c r="I138" s="542" t="s">
        <v>1034</v>
      </c>
      <c r="J138" s="542"/>
      <c r="L138" s="543" t="s">
        <v>1035</v>
      </c>
      <c r="M138" s="543"/>
      <c r="N138" s="31"/>
      <c r="O138" s="31"/>
    </row>
    <row r="139" spans="1:15" x14ac:dyDescent="0.25">
      <c r="A139" s="31"/>
      <c r="B139" s="152" t="s">
        <v>1392</v>
      </c>
      <c r="C139" s="152" t="s">
        <v>1030</v>
      </c>
      <c r="D139" s="31"/>
      <c r="E139" s="32"/>
      <c r="F139" s="31"/>
      <c r="G139" s="155"/>
      <c r="H139" s="31"/>
      <c r="I139" s="31"/>
      <c r="J139" s="31"/>
      <c r="K139" s="31"/>
      <c r="L139" s="31"/>
      <c r="M139" s="31"/>
      <c r="N139" s="31"/>
      <c r="O139" s="31"/>
    </row>
    <row r="140" spans="1:15" x14ac:dyDescent="0.25">
      <c r="A140" s="31"/>
      <c r="B140" s="152" t="s">
        <v>1393</v>
      </c>
      <c r="C140" s="152" t="s">
        <v>558</v>
      </c>
      <c r="D140" s="31"/>
      <c r="E140" s="32"/>
      <c r="F140" s="31"/>
      <c r="G140" s="31"/>
      <c r="H140" s="31"/>
      <c r="I140" s="31"/>
      <c r="J140" s="31"/>
      <c r="K140" s="31"/>
      <c r="L140" s="31"/>
      <c r="M140" s="31"/>
      <c r="N140" s="31"/>
      <c r="O140" s="31"/>
    </row>
    <row r="141" spans="1:15" x14ac:dyDescent="0.25">
      <c r="A141" s="31"/>
      <c r="B141" s="152" t="s">
        <v>1392</v>
      </c>
      <c r="C141" s="152" t="s">
        <v>1031</v>
      </c>
      <c r="D141" s="31"/>
      <c r="E141" s="32"/>
      <c r="F141" s="31"/>
      <c r="G141" s="101" t="s">
        <v>1039</v>
      </c>
      <c r="H141" s="101"/>
      <c r="I141" s="31"/>
      <c r="J141" s="101"/>
      <c r="K141" s="101" t="s">
        <v>1037</v>
      </c>
      <c r="L141" s="31"/>
      <c r="M141" s="31"/>
      <c r="N141" s="540" t="s">
        <v>1036</v>
      </c>
      <c r="O141" s="540"/>
    </row>
    <row r="142" spans="1:15" x14ac:dyDescent="0.25">
      <c r="A142" s="31"/>
      <c r="B142" s="152" t="s">
        <v>1389</v>
      </c>
      <c r="C142" s="152" t="s">
        <v>1032</v>
      </c>
      <c r="D142" s="31"/>
      <c r="E142" s="32"/>
      <c r="F142" s="31"/>
      <c r="G142" s="541" t="s">
        <v>582</v>
      </c>
      <c r="H142" s="541"/>
      <c r="I142" s="31"/>
      <c r="K142" s="541" t="s">
        <v>582</v>
      </c>
      <c r="L142" s="31"/>
      <c r="M142" s="31"/>
      <c r="N142" s="541" t="s">
        <v>583</v>
      </c>
      <c r="O142" s="541"/>
    </row>
    <row r="143" spans="1:15" x14ac:dyDescent="0.25">
      <c r="A143" s="31"/>
      <c r="B143" s="152" t="s">
        <v>1390</v>
      </c>
      <c r="C143" s="152" t="s">
        <v>1361</v>
      </c>
      <c r="D143" s="31"/>
      <c r="E143" s="32"/>
      <c r="F143" s="31"/>
      <c r="G143" s="541"/>
      <c r="H143" s="541"/>
      <c r="I143" s="31"/>
      <c r="J143" s="158"/>
      <c r="K143" s="541"/>
      <c r="L143" s="31"/>
      <c r="M143" s="31"/>
      <c r="N143" s="541"/>
      <c r="O143" s="541"/>
    </row>
    <row r="144" spans="1:15" x14ac:dyDescent="0.25">
      <c r="A144" s="31"/>
      <c r="B144" s="152" t="s">
        <v>1387</v>
      </c>
      <c r="C144" s="152" t="s">
        <v>1033</v>
      </c>
      <c r="D144" s="31"/>
      <c r="E144" s="32"/>
      <c r="F144" s="31"/>
      <c r="G144" s="541"/>
      <c r="H144" s="541"/>
      <c r="I144" s="31"/>
      <c r="J144" s="158"/>
      <c r="K144" s="541"/>
      <c r="L144" s="31"/>
      <c r="M144" s="31"/>
      <c r="N144" s="541"/>
      <c r="O144" s="541"/>
    </row>
    <row r="145" spans="1:15" x14ac:dyDescent="0.25">
      <c r="A145" s="31"/>
      <c r="B145" s="152" t="s">
        <v>1388</v>
      </c>
      <c r="C145" s="152" t="s">
        <v>557</v>
      </c>
      <c r="D145" s="31"/>
      <c r="E145" s="32"/>
      <c r="F145" s="31"/>
      <c r="G145" s="541"/>
      <c r="H145" s="541"/>
      <c r="I145" s="31"/>
      <c r="J145" s="158"/>
      <c r="K145" s="541"/>
      <c r="L145" s="31"/>
      <c r="M145" s="31"/>
      <c r="N145" s="541"/>
      <c r="O145" s="541"/>
    </row>
    <row r="146" spans="1:15" x14ac:dyDescent="0.25">
      <c r="A146" s="31"/>
      <c r="B146" s="152" t="s">
        <v>1386</v>
      </c>
      <c r="C146" s="152" t="s">
        <v>581</v>
      </c>
      <c r="D146" s="31"/>
      <c r="E146" s="32"/>
      <c r="F146" s="31"/>
      <c r="G146" s="31"/>
      <c r="H146" s="31"/>
      <c r="I146" s="541" t="s">
        <v>1038</v>
      </c>
      <c r="J146" s="541"/>
      <c r="K146" s="31"/>
      <c r="L146" s="31"/>
      <c r="M146" s="31"/>
      <c r="N146" s="31"/>
      <c r="O146" s="31"/>
    </row>
    <row r="147" spans="1:15" x14ac:dyDescent="0.25">
      <c r="A147" s="31"/>
      <c r="B147" s="31"/>
      <c r="C147" s="31"/>
      <c r="D147" s="31"/>
      <c r="E147" s="32"/>
      <c r="F147" s="31"/>
      <c r="G147" s="31"/>
      <c r="H147" s="31"/>
      <c r="I147" s="541"/>
      <c r="J147" s="541"/>
      <c r="K147" s="31"/>
      <c r="L147" s="31"/>
      <c r="M147" s="31"/>
      <c r="N147" s="31"/>
      <c r="O147" s="31"/>
    </row>
  </sheetData>
  <mergeCells count="118">
    <mergeCell ref="S33:U33"/>
    <mergeCell ref="S34:S35"/>
    <mergeCell ref="T34:T35"/>
    <mergeCell ref="U34:U35"/>
    <mergeCell ref="S9:U9"/>
    <mergeCell ref="S17:U17"/>
    <mergeCell ref="S18:S19"/>
    <mergeCell ref="T18:T19"/>
    <mergeCell ref="U18:U19"/>
    <mergeCell ref="S25:U25"/>
    <mergeCell ref="S26:S27"/>
    <mergeCell ref="T26:T27"/>
    <mergeCell ref="U26:U27"/>
    <mergeCell ref="S10:S11"/>
    <mergeCell ref="T10:T11"/>
    <mergeCell ref="U10:U11"/>
    <mergeCell ref="A1:C1"/>
    <mergeCell ref="A38:C38"/>
    <mergeCell ref="M42:N42"/>
    <mergeCell ref="N22:N23"/>
    <mergeCell ref="E25:E26"/>
    <mergeCell ref="L10:L11"/>
    <mergeCell ref="K13:K14"/>
    <mergeCell ref="M5:N5"/>
    <mergeCell ref="M10:M11"/>
    <mergeCell ref="I35:J36"/>
    <mergeCell ref="G27:H27"/>
    <mergeCell ref="I27:J27"/>
    <mergeCell ref="G31:G34"/>
    <mergeCell ref="H31:H34"/>
    <mergeCell ref="K17:L17"/>
    <mergeCell ref="L22:L23"/>
    <mergeCell ref="K25:L26"/>
    <mergeCell ref="E27:F27"/>
    <mergeCell ref="L27:M27"/>
    <mergeCell ref="N31:O34"/>
    <mergeCell ref="N30:O30"/>
    <mergeCell ref="K31:K34"/>
    <mergeCell ref="L47:L48"/>
    <mergeCell ref="M47:M48"/>
    <mergeCell ref="O47:O48"/>
    <mergeCell ref="H50:I51"/>
    <mergeCell ref="K50:K51"/>
    <mergeCell ref="N50:O51"/>
    <mergeCell ref="O10:O11"/>
    <mergeCell ref="H13:I14"/>
    <mergeCell ref="N13:O14"/>
    <mergeCell ref="G68:G71"/>
    <mergeCell ref="H68:H71"/>
    <mergeCell ref="K68:K71"/>
    <mergeCell ref="N68:O71"/>
    <mergeCell ref="I72:J73"/>
    <mergeCell ref="K54:L54"/>
    <mergeCell ref="L59:L60"/>
    <mergeCell ref="N59:N60"/>
    <mergeCell ref="E62:E63"/>
    <mergeCell ref="K62:L63"/>
    <mergeCell ref="E64:F64"/>
    <mergeCell ref="G64:H64"/>
    <mergeCell ref="I64:J64"/>
    <mergeCell ref="L64:M64"/>
    <mergeCell ref="N67:O67"/>
    <mergeCell ref="E99:E100"/>
    <mergeCell ref="K99:L100"/>
    <mergeCell ref="E101:F101"/>
    <mergeCell ref="G101:H101"/>
    <mergeCell ref="I101:J101"/>
    <mergeCell ref="L101:M101"/>
    <mergeCell ref="A75:C75"/>
    <mergeCell ref="M79:N79"/>
    <mergeCell ref="L84:L85"/>
    <mergeCell ref="M84:M85"/>
    <mergeCell ref="H87:I88"/>
    <mergeCell ref="K87:K88"/>
    <mergeCell ref="N87:O88"/>
    <mergeCell ref="O84:O85"/>
    <mergeCell ref="E136:E137"/>
    <mergeCell ref="K136:L137"/>
    <mergeCell ref="E138:F138"/>
    <mergeCell ref="G138:H138"/>
    <mergeCell ref="I138:J138"/>
    <mergeCell ref="L138:M138"/>
    <mergeCell ref="A112:C112"/>
    <mergeCell ref="M116:N116"/>
    <mergeCell ref="L121:L122"/>
    <mergeCell ref="M121:M122"/>
    <mergeCell ref="J124:K125"/>
    <mergeCell ref="N124:O125"/>
    <mergeCell ref="O121:O122"/>
    <mergeCell ref="N141:O141"/>
    <mergeCell ref="G142:G145"/>
    <mergeCell ref="H142:H145"/>
    <mergeCell ref="K142:K145"/>
    <mergeCell ref="N142:O145"/>
    <mergeCell ref="I146:J147"/>
    <mergeCell ref="K128:L128"/>
    <mergeCell ref="L133:L134"/>
    <mergeCell ref="N133:N134"/>
    <mergeCell ref="N104:O104"/>
    <mergeCell ref="G105:G108"/>
    <mergeCell ref="H105:H108"/>
    <mergeCell ref="K105:K108"/>
    <mergeCell ref="N105:O108"/>
    <mergeCell ref="I109:J110"/>
    <mergeCell ref="K91:L91"/>
    <mergeCell ref="L96:L97"/>
    <mergeCell ref="N96:N97"/>
    <mergeCell ref="AB2:AB3"/>
    <mergeCell ref="AC2:AC3"/>
    <mergeCell ref="X2:X4"/>
    <mergeCell ref="Y2:Y3"/>
    <mergeCell ref="Z2:Z3"/>
    <mergeCell ref="AA2:AA3"/>
    <mergeCell ref="Q2:Q3"/>
    <mergeCell ref="S2:S3"/>
    <mergeCell ref="T2:T3"/>
    <mergeCell ref="U2:U3"/>
    <mergeCell ref="V2:V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87"/>
  <sheetViews>
    <sheetView workbookViewId="0">
      <selection activeCell="C9" sqref="C3:C9"/>
    </sheetView>
  </sheetViews>
  <sheetFormatPr baseColWidth="10" defaultColWidth="10.85546875" defaultRowHeight="15" x14ac:dyDescent="0.25"/>
  <cols>
    <col min="1" max="2" width="20.7109375" bestFit="1" customWidth="1"/>
    <col min="3" max="3" width="20.7109375" customWidth="1"/>
    <col min="4" max="5" width="17.28515625" customWidth="1"/>
  </cols>
  <sheetData>
    <row r="2" spans="1:5" ht="15" customHeight="1" x14ac:dyDescent="0.25">
      <c r="A2" s="263" t="s">
        <v>1064</v>
      </c>
      <c r="B2" s="264" t="s">
        <v>1069</v>
      </c>
      <c r="C2" s="48" t="s">
        <v>1063</v>
      </c>
      <c r="D2" s="48" t="s">
        <v>1062</v>
      </c>
      <c r="E2" s="549" t="s">
        <v>1071</v>
      </c>
    </row>
    <row r="3" spans="1:5" x14ac:dyDescent="0.25">
      <c r="A3" s="48" t="s">
        <v>1059</v>
      </c>
      <c r="B3" s="48">
        <v>10</v>
      </c>
      <c r="C3" s="48">
        <v>8</v>
      </c>
      <c r="D3" s="265"/>
      <c r="E3" s="549"/>
    </row>
    <row r="4" spans="1:5" x14ac:dyDescent="0.25">
      <c r="A4" s="48" t="s">
        <v>1060</v>
      </c>
      <c r="B4" s="48">
        <v>10</v>
      </c>
      <c r="C4" s="48">
        <v>8</v>
      </c>
      <c r="D4" s="265"/>
      <c r="E4" s="549"/>
    </row>
    <row r="5" spans="1:5" x14ac:dyDescent="0.25">
      <c r="A5" s="48" t="s">
        <v>1070</v>
      </c>
      <c r="B5" s="48">
        <v>110</v>
      </c>
      <c r="C5" s="48">
        <v>1</v>
      </c>
      <c r="D5" s="48">
        <v>1</v>
      </c>
      <c r="E5" s="549"/>
    </row>
    <row r="6" spans="1:5" x14ac:dyDescent="0.25">
      <c r="A6" s="48" t="s">
        <v>773</v>
      </c>
      <c r="B6" s="48">
        <v>150</v>
      </c>
      <c r="C6" s="48">
        <v>8</v>
      </c>
      <c r="D6" s="265"/>
      <c r="E6" s="549"/>
    </row>
    <row r="7" spans="1:5" x14ac:dyDescent="0.25">
      <c r="A7" s="48" t="s">
        <v>774</v>
      </c>
      <c r="B7" s="48">
        <v>10</v>
      </c>
      <c r="C7" s="48">
        <v>1</v>
      </c>
      <c r="D7" s="48">
        <v>1</v>
      </c>
      <c r="E7" s="549"/>
    </row>
    <row r="8" spans="1:5" x14ac:dyDescent="0.25">
      <c r="A8" s="48" t="s">
        <v>1061</v>
      </c>
      <c r="B8" s="48">
        <v>10</v>
      </c>
      <c r="C8" s="48">
        <v>1</v>
      </c>
      <c r="D8" s="48">
        <v>1</v>
      </c>
      <c r="E8" s="549"/>
    </row>
    <row r="9" spans="1:5" x14ac:dyDescent="0.25">
      <c r="A9" s="48" t="s">
        <v>775</v>
      </c>
      <c r="B9" s="48">
        <v>40</v>
      </c>
      <c r="C9" s="48">
        <v>1</v>
      </c>
      <c r="D9" s="48">
        <v>1</v>
      </c>
      <c r="E9" s="549"/>
    </row>
    <row r="11" spans="1:5" x14ac:dyDescent="0.25">
      <c r="A11" s="263" t="s">
        <v>1067</v>
      </c>
      <c r="B11" s="264" t="s">
        <v>1066</v>
      </c>
      <c r="C11" s="48" t="s">
        <v>1063</v>
      </c>
      <c r="D11" s="48" t="s">
        <v>1062</v>
      </c>
    </row>
    <row r="12" spans="1:5" x14ac:dyDescent="0.25">
      <c r="A12" s="48" t="s">
        <v>1059</v>
      </c>
      <c r="B12" s="264">
        <v>10</v>
      </c>
      <c r="C12" s="48">
        <v>8</v>
      </c>
      <c r="D12" s="265"/>
    </row>
    <row r="13" spans="1:5" x14ac:dyDescent="0.25">
      <c r="A13" s="48" t="s">
        <v>1060</v>
      </c>
      <c r="B13" s="264">
        <v>10</v>
      </c>
      <c r="C13" s="48">
        <v>8</v>
      </c>
      <c r="D13" s="265"/>
    </row>
    <row r="14" spans="1:5" x14ac:dyDescent="0.25">
      <c r="A14" s="48" t="s">
        <v>1070</v>
      </c>
      <c r="B14" s="48">
        <v>110</v>
      </c>
      <c r="C14" s="48">
        <v>1</v>
      </c>
      <c r="D14" s="48">
        <v>1</v>
      </c>
    </row>
    <row r="15" spans="1:5" x14ac:dyDescent="0.25">
      <c r="A15" s="48" t="s">
        <v>773</v>
      </c>
      <c r="B15" s="48">
        <v>150</v>
      </c>
      <c r="C15" s="48">
        <v>8</v>
      </c>
      <c r="D15" s="265"/>
    </row>
    <row r="16" spans="1:5" x14ac:dyDescent="0.25">
      <c r="B16" s="48"/>
      <c r="C16" s="48"/>
    </row>
    <row r="17" spans="1:5" x14ac:dyDescent="0.25">
      <c r="A17" s="263" t="s">
        <v>1068</v>
      </c>
      <c r="B17" s="264" t="s">
        <v>1066</v>
      </c>
      <c r="C17" s="48" t="s">
        <v>1063</v>
      </c>
      <c r="D17" s="48" t="s">
        <v>1062</v>
      </c>
      <c r="E17" s="48"/>
    </row>
    <row r="18" spans="1:5" x14ac:dyDescent="0.25">
      <c r="A18" s="48" t="s">
        <v>776</v>
      </c>
      <c r="B18" s="264">
        <v>20</v>
      </c>
      <c r="C18" s="48">
        <v>1</v>
      </c>
      <c r="D18" s="265"/>
      <c r="E18" s="48"/>
    </row>
    <row r="19" spans="1:5" x14ac:dyDescent="0.25">
      <c r="A19" s="48" t="s">
        <v>777</v>
      </c>
      <c r="B19" s="264">
        <v>40</v>
      </c>
      <c r="C19" s="48">
        <v>1</v>
      </c>
      <c r="D19" s="48">
        <v>1</v>
      </c>
      <c r="E19" s="48"/>
    </row>
    <row r="20" spans="1:5" x14ac:dyDescent="0.25">
      <c r="A20" s="48" t="s">
        <v>778</v>
      </c>
      <c r="B20" s="264">
        <v>50</v>
      </c>
      <c r="C20" s="48">
        <v>1</v>
      </c>
      <c r="D20" s="48">
        <v>1</v>
      </c>
      <c r="E20" s="48"/>
    </row>
    <row r="21" spans="1:5" x14ac:dyDescent="0.25">
      <c r="A21" s="48" t="s">
        <v>780</v>
      </c>
      <c r="B21" s="264">
        <v>40</v>
      </c>
      <c r="C21" s="48">
        <v>4</v>
      </c>
      <c r="D21" s="48">
        <v>4</v>
      </c>
    </row>
    <row r="22" spans="1:5" s="31" customFormat="1" x14ac:dyDescent="0.25"/>
    <row r="23" spans="1:5" s="31" customFormat="1" x14ac:dyDescent="0.25"/>
    <row r="24" spans="1:5" x14ac:dyDescent="0.25">
      <c r="A24" s="263" t="s">
        <v>1072</v>
      </c>
      <c r="B24" s="264" t="s">
        <v>1069</v>
      </c>
      <c r="C24" s="48" t="s">
        <v>1063</v>
      </c>
      <c r="D24" s="48" t="s">
        <v>1062</v>
      </c>
      <c r="E24" s="549" t="s">
        <v>1073</v>
      </c>
    </row>
    <row r="25" spans="1:5" x14ac:dyDescent="0.25">
      <c r="A25" s="48" t="s">
        <v>1059</v>
      </c>
      <c r="B25" s="48">
        <v>10</v>
      </c>
      <c r="C25" s="48">
        <v>8</v>
      </c>
      <c r="D25" s="265"/>
      <c r="E25" s="549"/>
    </row>
    <row r="26" spans="1:5" x14ac:dyDescent="0.25">
      <c r="A26" s="48" t="s">
        <v>1060</v>
      </c>
      <c r="B26" s="48">
        <v>10</v>
      </c>
      <c r="C26" s="48">
        <v>8</v>
      </c>
      <c r="D26" s="265"/>
      <c r="E26" s="549"/>
    </row>
    <row r="27" spans="1:5" x14ac:dyDescent="0.25">
      <c r="A27" s="48" t="s">
        <v>1070</v>
      </c>
      <c r="B27" s="48">
        <v>110</v>
      </c>
      <c r="C27" s="48">
        <v>1</v>
      </c>
      <c r="D27" s="48">
        <v>1</v>
      </c>
      <c r="E27" s="549"/>
    </row>
    <row r="28" spans="1:5" x14ac:dyDescent="0.25">
      <c r="A28" s="48" t="s">
        <v>773</v>
      </c>
      <c r="B28" s="48">
        <v>150</v>
      </c>
      <c r="C28" s="48">
        <v>4</v>
      </c>
      <c r="D28" s="265"/>
      <c r="E28" s="549"/>
    </row>
    <row r="29" spans="1:5" x14ac:dyDescent="0.25">
      <c r="A29" s="48" t="s">
        <v>774</v>
      </c>
      <c r="B29" s="48">
        <v>10</v>
      </c>
      <c r="C29" s="48">
        <v>1</v>
      </c>
      <c r="D29" s="48">
        <v>1</v>
      </c>
      <c r="E29" s="549"/>
    </row>
    <row r="30" spans="1:5" x14ac:dyDescent="0.25">
      <c r="A30" s="48" t="s">
        <v>1061</v>
      </c>
      <c r="B30" s="48">
        <v>10</v>
      </c>
      <c r="C30" s="48">
        <v>1</v>
      </c>
      <c r="D30" s="48">
        <v>1</v>
      </c>
      <c r="E30" s="549"/>
    </row>
    <row r="31" spans="1:5" x14ac:dyDescent="0.25">
      <c r="A31" s="48" t="s">
        <v>775</v>
      </c>
      <c r="B31" s="48">
        <v>40</v>
      </c>
      <c r="C31" s="48">
        <v>1</v>
      </c>
      <c r="D31" s="48">
        <v>1</v>
      </c>
      <c r="E31" s="549"/>
    </row>
    <row r="33" spans="1:5" x14ac:dyDescent="0.25">
      <c r="A33" s="263" t="s">
        <v>1067</v>
      </c>
      <c r="B33" s="264" t="s">
        <v>1066</v>
      </c>
      <c r="C33" s="48" t="s">
        <v>1063</v>
      </c>
      <c r="D33" s="48" t="s">
        <v>1062</v>
      </c>
    </row>
    <row r="34" spans="1:5" x14ac:dyDescent="0.25">
      <c r="A34" s="48" t="s">
        <v>1059</v>
      </c>
      <c r="B34" s="264">
        <v>10</v>
      </c>
      <c r="C34" s="48">
        <v>8</v>
      </c>
      <c r="D34" s="265"/>
    </row>
    <row r="35" spans="1:5" x14ac:dyDescent="0.25">
      <c r="A35" s="48" t="s">
        <v>1060</v>
      </c>
      <c r="B35" s="264">
        <v>10</v>
      </c>
      <c r="C35" s="48">
        <v>8</v>
      </c>
      <c r="D35" s="265"/>
    </row>
    <row r="36" spans="1:5" x14ac:dyDescent="0.25">
      <c r="A36" s="48" t="s">
        <v>1070</v>
      </c>
      <c r="B36" s="48">
        <v>110</v>
      </c>
      <c r="C36" s="48">
        <v>1</v>
      </c>
      <c r="D36" s="48">
        <v>1</v>
      </c>
    </row>
    <row r="37" spans="1:5" x14ac:dyDescent="0.25">
      <c r="A37" s="48" t="s">
        <v>773</v>
      </c>
      <c r="B37" s="48">
        <v>150</v>
      </c>
      <c r="C37" s="48">
        <v>8</v>
      </c>
      <c r="D37" s="265"/>
    </row>
    <row r="38" spans="1:5" x14ac:dyDescent="0.25">
      <c r="B38" s="48"/>
      <c r="C38" s="48"/>
    </row>
    <row r="39" spans="1:5" x14ac:dyDescent="0.25">
      <c r="A39" s="263" t="s">
        <v>1068</v>
      </c>
      <c r="B39" s="264" t="s">
        <v>1066</v>
      </c>
      <c r="C39" s="48" t="s">
        <v>1063</v>
      </c>
      <c r="D39" s="48" t="s">
        <v>1062</v>
      </c>
      <c r="E39" s="48"/>
    </row>
    <row r="40" spans="1:5" x14ac:dyDescent="0.25">
      <c r="A40" s="48" t="s">
        <v>776</v>
      </c>
      <c r="B40" s="264">
        <v>20</v>
      </c>
      <c r="C40" s="48">
        <v>1</v>
      </c>
      <c r="D40" s="265"/>
      <c r="E40" s="48"/>
    </row>
    <row r="41" spans="1:5" x14ac:dyDescent="0.25">
      <c r="A41" s="48" t="s">
        <v>777</v>
      </c>
      <c r="B41" s="264">
        <v>40</v>
      </c>
      <c r="C41" s="48">
        <v>1</v>
      </c>
      <c r="D41" s="48">
        <v>1</v>
      </c>
      <c r="E41" s="48"/>
    </row>
    <row r="42" spans="1:5" x14ac:dyDescent="0.25">
      <c r="A42" s="48" t="s">
        <v>778</v>
      </c>
      <c r="B42" s="264">
        <v>50</v>
      </c>
      <c r="C42" s="48">
        <v>1</v>
      </c>
      <c r="D42" s="48">
        <v>1</v>
      </c>
      <c r="E42" s="48"/>
    </row>
    <row r="43" spans="1:5" x14ac:dyDescent="0.25">
      <c r="A43" s="48" t="s">
        <v>780</v>
      </c>
      <c r="B43" s="264">
        <v>40</v>
      </c>
      <c r="C43" s="48">
        <v>4</v>
      </c>
      <c r="D43" s="48">
        <v>4</v>
      </c>
    </row>
    <row r="44" spans="1:5" s="31" customFormat="1" x14ac:dyDescent="0.25"/>
    <row r="45" spans="1:5" s="31" customFormat="1" x14ac:dyDescent="0.25"/>
    <row r="46" spans="1:5" x14ac:dyDescent="0.25">
      <c r="A46" s="263" t="s">
        <v>1074</v>
      </c>
      <c r="B46" s="264" t="s">
        <v>1069</v>
      </c>
      <c r="C46" s="48" t="s">
        <v>1063</v>
      </c>
      <c r="D46" s="48" t="s">
        <v>1062</v>
      </c>
      <c r="E46" s="549" t="s">
        <v>1075</v>
      </c>
    </row>
    <row r="47" spans="1:5" x14ac:dyDescent="0.25">
      <c r="A47" s="48" t="s">
        <v>1059</v>
      </c>
      <c r="B47" s="48">
        <v>10</v>
      </c>
      <c r="C47" s="48">
        <v>8</v>
      </c>
      <c r="D47" s="265"/>
      <c r="E47" s="549"/>
    </row>
    <row r="48" spans="1:5" x14ac:dyDescent="0.25">
      <c r="A48" s="48" t="s">
        <v>1060</v>
      </c>
      <c r="B48" s="48">
        <v>10</v>
      </c>
      <c r="C48" s="48">
        <v>8</v>
      </c>
      <c r="D48" s="265"/>
      <c r="E48" s="549"/>
    </row>
    <row r="49" spans="1:5" x14ac:dyDescent="0.25">
      <c r="A49" s="48" t="s">
        <v>1070</v>
      </c>
      <c r="B49" s="48">
        <v>110</v>
      </c>
      <c r="C49" s="48">
        <v>1</v>
      </c>
      <c r="D49" s="48">
        <v>1</v>
      </c>
      <c r="E49" s="549"/>
    </row>
    <row r="50" spans="1:5" x14ac:dyDescent="0.25">
      <c r="A50" s="48" t="s">
        <v>773</v>
      </c>
      <c r="B50" s="48">
        <v>150</v>
      </c>
      <c r="C50" s="48">
        <v>2</v>
      </c>
      <c r="D50" s="265"/>
      <c r="E50" s="549"/>
    </row>
    <row r="51" spans="1:5" x14ac:dyDescent="0.25">
      <c r="A51" s="48" t="s">
        <v>774</v>
      </c>
      <c r="B51" s="48">
        <v>10</v>
      </c>
      <c r="C51" s="48">
        <v>1</v>
      </c>
      <c r="D51" s="48">
        <v>1</v>
      </c>
      <c r="E51" s="549"/>
    </row>
    <row r="52" spans="1:5" x14ac:dyDescent="0.25">
      <c r="A52" s="48" t="s">
        <v>1061</v>
      </c>
      <c r="B52" s="48">
        <v>10</v>
      </c>
      <c r="C52" s="48">
        <v>1</v>
      </c>
      <c r="D52" s="48">
        <v>1</v>
      </c>
      <c r="E52" s="549"/>
    </row>
    <row r="53" spans="1:5" x14ac:dyDescent="0.25">
      <c r="A53" s="48" t="s">
        <v>775</v>
      </c>
      <c r="B53" s="48">
        <v>40</v>
      </c>
      <c r="C53" s="48">
        <v>1</v>
      </c>
      <c r="D53" s="48">
        <v>1</v>
      </c>
      <c r="E53" s="549"/>
    </row>
    <row r="55" spans="1:5" x14ac:dyDescent="0.25">
      <c r="A55" s="263" t="s">
        <v>1067</v>
      </c>
      <c r="B55" s="264" t="s">
        <v>1066</v>
      </c>
      <c r="C55" s="48" t="s">
        <v>1063</v>
      </c>
      <c r="D55" s="48" t="s">
        <v>1062</v>
      </c>
    </row>
    <row r="56" spans="1:5" x14ac:dyDescent="0.25">
      <c r="A56" s="48" t="s">
        <v>1059</v>
      </c>
      <c r="B56" s="264">
        <v>10</v>
      </c>
      <c r="C56" s="48">
        <v>8</v>
      </c>
      <c r="D56" s="265"/>
    </row>
    <row r="57" spans="1:5" x14ac:dyDescent="0.25">
      <c r="A57" s="48" t="s">
        <v>1060</v>
      </c>
      <c r="B57" s="264">
        <v>10</v>
      </c>
      <c r="C57" s="48">
        <v>8</v>
      </c>
      <c r="D57" s="265"/>
    </row>
    <row r="58" spans="1:5" x14ac:dyDescent="0.25">
      <c r="A58" s="48" t="s">
        <v>1070</v>
      </c>
      <c r="B58" s="48">
        <v>110</v>
      </c>
      <c r="C58" s="48">
        <v>1</v>
      </c>
      <c r="D58" s="48">
        <v>1</v>
      </c>
    </row>
    <row r="59" spans="1:5" x14ac:dyDescent="0.25">
      <c r="A59" s="48" t="s">
        <v>773</v>
      </c>
      <c r="B59" s="48">
        <v>150</v>
      </c>
      <c r="C59" s="48">
        <v>8</v>
      </c>
      <c r="D59" s="265"/>
    </row>
    <row r="60" spans="1:5" x14ac:dyDescent="0.25">
      <c r="B60" s="48"/>
      <c r="C60" s="48"/>
    </row>
    <row r="61" spans="1:5" x14ac:dyDescent="0.25">
      <c r="A61" s="263" t="s">
        <v>1068</v>
      </c>
      <c r="B61" s="264" t="s">
        <v>1066</v>
      </c>
      <c r="C61" s="48" t="s">
        <v>1063</v>
      </c>
      <c r="D61" s="48" t="s">
        <v>1062</v>
      </c>
      <c r="E61" s="48"/>
    </row>
    <row r="62" spans="1:5" x14ac:dyDescent="0.25">
      <c r="A62" s="48" t="s">
        <v>776</v>
      </c>
      <c r="B62" s="264">
        <v>20</v>
      </c>
      <c r="C62" s="48">
        <v>1</v>
      </c>
      <c r="D62" s="265"/>
      <c r="E62" s="48"/>
    </row>
    <row r="63" spans="1:5" x14ac:dyDescent="0.25">
      <c r="A63" s="48" t="s">
        <v>777</v>
      </c>
      <c r="B63" s="264">
        <v>40</v>
      </c>
      <c r="C63" s="48">
        <v>1</v>
      </c>
      <c r="D63" s="48">
        <v>1</v>
      </c>
      <c r="E63" s="48"/>
    </row>
    <row r="64" spans="1:5" x14ac:dyDescent="0.25">
      <c r="A64" s="48" t="s">
        <v>778</v>
      </c>
      <c r="B64" s="264">
        <v>50</v>
      </c>
      <c r="C64" s="48">
        <v>1</v>
      </c>
      <c r="D64" s="48">
        <v>1</v>
      </c>
      <c r="E64" s="48"/>
    </row>
    <row r="65" spans="1:5" x14ac:dyDescent="0.25">
      <c r="A65" s="48" t="s">
        <v>780</v>
      </c>
      <c r="B65" s="264">
        <v>40</v>
      </c>
      <c r="C65" s="48">
        <v>4</v>
      </c>
      <c r="D65" s="48">
        <v>4</v>
      </c>
    </row>
    <row r="66" spans="1:5" s="31" customFormat="1" x14ac:dyDescent="0.25"/>
    <row r="67" spans="1:5" s="31" customFormat="1" x14ac:dyDescent="0.25"/>
    <row r="68" spans="1:5" x14ac:dyDescent="0.25">
      <c r="A68" s="263" t="s">
        <v>1076</v>
      </c>
      <c r="B68" s="264" t="s">
        <v>1069</v>
      </c>
      <c r="C68" s="48" t="s">
        <v>1063</v>
      </c>
      <c r="D68" s="48" t="s">
        <v>1062</v>
      </c>
      <c r="E68" s="549" t="s">
        <v>1077</v>
      </c>
    </row>
    <row r="69" spans="1:5" x14ac:dyDescent="0.25">
      <c r="A69" s="48" t="s">
        <v>1059</v>
      </c>
      <c r="B69" s="48">
        <v>10</v>
      </c>
      <c r="C69" s="48">
        <v>8</v>
      </c>
      <c r="D69" s="265"/>
      <c r="E69" s="549"/>
    </row>
    <row r="70" spans="1:5" x14ac:dyDescent="0.25">
      <c r="A70" s="48" t="s">
        <v>1060</v>
      </c>
      <c r="B70" s="48">
        <v>10</v>
      </c>
      <c r="C70" s="48">
        <v>8</v>
      </c>
      <c r="D70" s="265"/>
      <c r="E70" s="549"/>
    </row>
    <row r="71" spans="1:5" x14ac:dyDescent="0.25">
      <c r="A71" s="48" t="s">
        <v>1070</v>
      </c>
      <c r="B71" s="48">
        <v>110</v>
      </c>
      <c r="C71" s="48">
        <v>1</v>
      </c>
      <c r="D71" s="48">
        <v>1</v>
      </c>
      <c r="E71" s="549"/>
    </row>
    <row r="72" spans="1:5" x14ac:dyDescent="0.25">
      <c r="A72" s="48" t="s">
        <v>773</v>
      </c>
      <c r="B72" s="48">
        <v>150</v>
      </c>
      <c r="C72" s="48">
        <v>4</v>
      </c>
      <c r="D72" s="265"/>
      <c r="E72" s="549"/>
    </row>
    <row r="73" spans="1:5" x14ac:dyDescent="0.25">
      <c r="A73" s="48" t="s">
        <v>774</v>
      </c>
      <c r="B73" s="48">
        <v>10</v>
      </c>
      <c r="C73" s="48">
        <v>1</v>
      </c>
      <c r="D73" s="48">
        <v>1</v>
      </c>
      <c r="E73" s="549"/>
    </row>
    <row r="74" spans="1:5" x14ac:dyDescent="0.25">
      <c r="A74" s="48" t="s">
        <v>1061</v>
      </c>
      <c r="B74" s="48">
        <v>10</v>
      </c>
      <c r="C74" s="48">
        <v>1</v>
      </c>
      <c r="D74" s="48">
        <v>1</v>
      </c>
      <c r="E74" s="549"/>
    </row>
    <row r="75" spans="1:5" x14ac:dyDescent="0.25">
      <c r="A75" s="48" t="s">
        <v>775</v>
      </c>
      <c r="B75" s="48">
        <v>40</v>
      </c>
      <c r="C75" s="48">
        <v>1</v>
      </c>
      <c r="D75" s="48">
        <v>1</v>
      </c>
      <c r="E75" s="549"/>
    </row>
    <row r="77" spans="1:5" x14ac:dyDescent="0.25">
      <c r="A77" s="263" t="s">
        <v>1067</v>
      </c>
      <c r="B77" s="264" t="s">
        <v>1066</v>
      </c>
      <c r="C77" s="48" t="s">
        <v>1063</v>
      </c>
      <c r="D77" s="48" t="s">
        <v>1062</v>
      </c>
    </row>
    <row r="78" spans="1:5" x14ac:dyDescent="0.25">
      <c r="A78" s="48" t="s">
        <v>1059</v>
      </c>
      <c r="B78" s="264">
        <v>10</v>
      </c>
      <c r="C78" s="48">
        <v>8</v>
      </c>
      <c r="D78" s="265"/>
    </row>
    <row r="79" spans="1:5" x14ac:dyDescent="0.25">
      <c r="A79" s="48" t="s">
        <v>1060</v>
      </c>
      <c r="B79" s="264">
        <v>10</v>
      </c>
      <c r="C79" s="48">
        <v>8</v>
      </c>
      <c r="D79" s="265"/>
    </row>
    <row r="80" spans="1:5" x14ac:dyDescent="0.25">
      <c r="A80" s="48" t="s">
        <v>1070</v>
      </c>
      <c r="B80" s="48">
        <v>110</v>
      </c>
      <c r="C80" s="48">
        <v>1</v>
      </c>
      <c r="D80" s="48">
        <v>1</v>
      </c>
    </row>
    <row r="81" spans="1:5" x14ac:dyDescent="0.25">
      <c r="A81" s="48" t="s">
        <v>773</v>
      </c>
      <c r="B81" s="48">
        <v>150</v>
      </c>
      <c r="C81" s="48">
        <v>8</v>
      </c>
      <c r="D81" s="265"/>
    </row>
    <row r="82" spans="1:5" x14ac:dyDescent="0.25">
      <c r="B82" s="48"/>
      <c r="C82" s="48"/>
    </row>
    <row r="83" spans="1:5" x14ac:dyDescent="0.25">
      <c r="A83" s="263" t="s">
        <v>1068</v>
      </c>
      <c r="B83" s="264" t="s">
        <v>1066</v>
      </c>
      <c r="C83" s="48" t="s">
        <v>1063</v>
      </c>
      <c r="D83" s="48" t="s">
        <v>1062</v>
      </c>
      <c r="E83" s="48"/>
    </row>
    <row r="84" spans="1:5" x14ac:dyDescent="0.25">
      <c r="A84" s="48" t="s">
        <v>776</v>
      </c>
      <c r="B84" s="264">
        <v>20</v>
      </c>
      <c r="C84" s="48">
        <v>1</v>
      </c>
      <c r="D84" s="265"/>
      <c r="E84" s="48"/>
    </row>
    <row r="85" spans="1:5" x14ac:dyDescent="0.25">
      <c r="A85" s="48" t="s">
        <v>777</v>
      </c>
      <c r="B85" s="264">
        <v>40</v>
      </c>
      <c r="C85" s="48">
        <v>1</v>
      </c>
      <c r="D85" s="48">
        <v>1</v>
      </c>
      <c r="E85" s="48"/>
    </row>
    <row r="86" spans="1:5" x14ac:dyDescent="0.25">
      <c r="A86" s="48" t="s">
        <v>778</v>
      </c>
      <c r="B86" s="264">
        <v>50</v>
      </c>
      <c r="C86" s="48">
        <v>1</v>
      </c>
      <c r="D86" s="48">
        <v>1</v>
      </c>
      <c r="E86" s="48"/>
    </row>
    <row r="87" spans="1:5" x14ac:dyDescent="0.25">
      <c r="A87" s="48" t="s">
        <v>780</v>
      </c>
      <c r="B87" s="264">
        <v>40</v>
      </c>
      <c r="C87" s="48">
        <v>4</v>
      </c>
      <c r="D87" s="48">
        <v>4</v>
      </c>
    </row>
  </sheetData>
  <mergeCells count="4">
    <mergeCell ref="E2:E9"/>
    <mergeCell ref="E24:E31"/>
    <mergeCell ref="E46:E53"/>
    <mergeCell ref="E68:E7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workbookViewId="0">
      <selection activeCell="B7" sqref="B7"/>
    </sheetView>
  </sheetViews>
  <sheetFormatPr baseColWidth="10" defaultColWidth="10.85546875" defaultRowHeight="15" x14ac:dyDescent="0.25"/>
  <cols>
    <col min="1" max="1" width="19.28515625" bestFit="1" customWidth="1"/>
    <col min="2" max="2" width="11.42578125" customWidth="1"/>
    <col min="3" max="14" width="8.42578125" customWidth="1"/>
  </cols>
  <sheetData>
    <row r="1" spans="1:14" x14ac:dyDescent="0.25">
      <c r="A1" s="263" t="s">
        <v>147</v>
      </c>
    </row>
    <row r="2" spans="1:14" ht="15" customHeight="1" x14ac:dyDescent="0.25">
      <c r="A2" s="527" t="s">
        <v>358</v>
      </c>
      <c r="B2" s="510" t="s">
        <v>1418</v>
      </c>
      <c r="C2" s="527" t="s">
        <v>1419</v>
      </c>
      <c r="D2" s="527" t="s">
        <v>1420</v>
      </c>
      <c r="E2" s="527" t="s">
        <v>1422</v>
      </c>
      <c r="F2" s="527" t="s">
        <v>1421</v>
      </c>
      <c r="G2" s="527" t="s">
        <v>1423</v>
      </c>
      <c r="H2" s="527" t="s">
        <v>1410</v>
      </c>
      <c r="I2" s="527" t="s">
        <v>1424</v>
      </c>
      <c r="J2" s="527" t="s">
        <v>1425</v>
      </c>
      <c r="K2" s="527" t="s">
        <v>1426</v>
      </c>
      <c r="L2" s="527" t="s">
        <v>1427</v>
      </c>
      <c r="M2" s="527" t="s">
        <v>1428</v>
      </c>
      <c r="N2" s="527" t="s">
        <v>1429</v>
      </c>
    </row>
    <row r="3" spans="1:14" ht="15" customHeight="1" x14ac:dyDescent="0.25">
      <c r="A3" s="527"/>
      <c r="B3" s="510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</row>
    <row r="4" spans="1:14" x14ac:dyDescent="0.25">
      <c r="A4" s="97" t="s">
        <v>1059</v>
      </c>
      <c r="B4" s="301">
        <v>0.78526689726091425</v>
      </c>
      <c r="C4" s="303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5"/>
    </row>
    <row r="5" spans="1:14" x14ac:dyDescent="0.25">
      <c r="A5" s="96" t="s">
        <v>1060</v>
      </c>
      <c r="B5" s="302">
        <v>1.1779003458913717</v>
      </c>
      <c r="C5" s="135"/>
      <c r="D5" s="84"/>
      <c r="E5" s="84"/>
      <c r="F5" s="84"/>
      <c r="G5" s="84"/>
      <c r="H5" s="84"/>
      <c r="I5" s="84"/>
      <c r="J5" s="84"/>
      <c r="K5" s="84"/>
      <c r="L5" s="84"/>
      <c r="M5" s="84"/>
      <c r="N5" s="306"/>
    </row>
    <row r="6" spans="1:14" x14ac:dyDescent="0.25">
      <c r="A6" s="96" t="s">
        <v>1070</v>
      </c>
      <c r="B6" s="302">
        <v>24.561403508771932</v>
      </c>
      <c r="C6" s="135"/>
      <c r="D6" s="84"/>
      <c r="E6" s="84"/>
      <c r="F6" s="84"/>
      <c r="G6" s="84"/>
      <c r="H6" s="84"/>
      <c r="I6" s="84"/>
      <c r="J6" s="84"/>
      <c r="K6" s="84"/>
      <c r="L6" s="84"/>
      <c r="M6" s="84"/>
      <c r="N6" s="306"/>
    </row>
    <row r="7" spans="1:14" x14ac:dyDescent="0.25">
      <c r="A7" s="96" t="s">
        <v>773</v>
      </c>
      <c r="B7" s="302">
        <v>15.789473684210526</v>
      </c>
      <c r="C7" s="135"/>
      <c r="D7" s="84"/>
      <c r="E7" s="84"/>
      <c r="F7" s="84"/>
      <c r="G7" s="84"/>
      <c r="H7" s="84"/>
      <c r="I7" s="84"/>
      <c r="J7" s="84"/>
      <c r="K7" s="84"/>
      <c r="L7" s="84"/>
      <c r="M7" s="84"/>
      <c r="N7" s="306"/>
    </row>
    <row r="8" spans="1:14" x14ac:dyDescent="0.25">
      <c r="A8" s="96" t="s">
        <v>774</v>
      </c>
      <c r="B8" s="302">
        <v>4</v>
      </c>
      <c r="C8" s="135"/>
      <c r="D8" s="84"/>
      <c r="E8" s="84"/>
      <c r="F8" s="84"/>
      <c r="G8" s="84"/>
      <c r="H8" s="84"/>
      <c r="I8" s="84"/>
      <c r="J8" s="84"/>
      <c r="K8" s="84"/>
      <c r="L8" s="84"/>
      <c r="M8" s="84"/>
      <c r="N8" s="306"/>
    </row>
    <row r="9" spans="1:14" x14ac:dyDescent="0.25">
      <c r="A9" s="96" t="s">
        <v>1061</v>
      </c>
      <c r="B9" s="302">
        <v>13</v>
      </c>
      <c r="C9" s="135"/>
      <c r="D9" s="84"/>
      <c r="E9" s="84"/>
      <c r="F9" s="84"/>
      <c r="G9" s="84"/>
      <c r="H9" s="84"/>
      <c r="I9" s="84"/>
      <c r="J9" s="84"/>
      <c r="K9" s="84"/>
      <c r="L9" s="84"/>
      <c r="M9" s="84"/>
      <c r="N9" s="306"/>
    </row>
    <row r="10" spans="1:14" x14ac:dyDescent="0.25">
      <c r="A10" s="96" t="s">
        <v>775</v>
      </c>
      <c r="B10" s="302">
        <v>5</v>
      </c>
      <c r="C10" s="135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306"/>
    </row>
    <row r="11" spans="1:14" x14ac:dyDescent="0.25">
      <c r="A11" s="96" t="s">
        <v>1059</v>
      </c>
      <c r="B11" s="302">
        <v>0.62580572837845405</v>
      </c>
      <c r="C11" s="135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306"/>
    </row>
    <row r="12" spans="1:14" x14ac:dyDescent="0.25">
      <c r="A12" s="96" t="s">
        <v>1060</v>
      </c>
      <c r="B12" s="302">
        <v>0.93870859256768102</v>
      </c>
      <c r="C12" s="135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306"/>
    </row>
    <row r="13" spans="1:14" x14ac:dyDescent="0.25">
      <c r="A13" s="96" t="s">
        <v>1070</v>
      </c>
      <c r="B13" s="302">
        <v>11</v>
      </c>
      <c r="C13" s="135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306"/>
    </row>
    <row r="14" spans="1:14" x14ac:dyDescent="0.25">
      <c r="A14" s="96" t="s">
        <v>773</v>
      </c>
      <c r="B14" s="302">
        <v>15.634736702071795</v>
      </c>
      <c r="C14" s="135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306"/>
    </row>
    <row r="15" spans="1:14" x14ac:dyDescent="0.25">
      <c r="A15" s="96" t="s">
        <v>1128</v>
      </c>
      <c r="B15" s="302">
        <v>9.5645933014354068</v>
      </c>
      <c r="C15" s="135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306"/>
    </row>
    <row r="16" spans="1:14" x14ac:dyDescent="0.25">
      <c r="A16" s="96" t="s">
        <v>777</v>
      </c>
      <c r="B16" s="302">
        <v>12</v>
      </c>
      <c r="C16" s="135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306"/>
    </row>
    <row r="17" spans="1:14" x14ac:dyDescent="0.25">
      <c r="A17" s="96" t="s">
        <v>778</v>
      </c>
      <c r="B17" s="302">
        <v>1.2672009241210023</v>
      </c>
      <c r="C17" s="135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306"/>
    </row>
    <row r="18" spans="1:14" x14ac:dyDescent="0.25">
      <c r="A18" s="96" t="s">
        <v>779</v>
      </c>
      <c r="B18" s="302">
        <v>0.51321637426900601</v>
      </c>
      <c r="C18" s="135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306"/>
    </row>
    <row r="19" spans="1:14" x14ac:dyDescent="0.25">
      <c r="A19" s="96" t="s">
        <v>780</v>
      </c>
      <c r="B19" s="302">
        <v>3.1680023103025055</v>
      </c>
      <c r="C19" s="135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306"/>
    </row>
    <row r="20" spans="1:14" x14ac:dyDescent="0.25">
      <c r="A20" s="96" t="s">
        <v>781</v>
      </c>
      <c r="B20" s="302">
        <v>0.51321637426900601</v>
      </c>
      <c r="C20" s="307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308"/>
    </row>
    <row r="22" spans="1:14" x14ac:dyDescent="0.25">
      <c r="A22" s="309" t="s">
        <v>148</v>
      </c>
    </row>
    <row r="23" spans="1:14" x14ac:dyDescent="0.25">
      <c r="A23" s="527" t="s">
        <v>358</v>
      </c>
      <c r="B23" s="510" t="s">
        <v>1418</v>
      </c>
      <c r="C23" s="527" t="s">
        <v>1419</v>
      </c>
      <c r="D23" s="527" t="s">
        <v>1420</v>
      </c>
      <c r="E23" s="527" t="s">
        <v>1422</v>
      </c>
      <c r="F23" s="527" t="s">
        <v>1421</v>
      </c>
      <c r="G23" s="527" t="s">
        <v>1423</v>
      </c>
      <c r="H23" s="527" t="s">
        <v>1410</v>
      </c>
      <c r="I23" s="527" t="s">
        <v>1424</v>
      </c>
      <c r="J23" s="527" t="s">
        <v>1425</v>
      </c>
      <c r="K23" s="527" t="s">
        <v>1426</v>
      </c>
      <c r="L23" s="527" t="s">
        <v>1427</v>
      </c>
      <c r="M23" s="527" t="s">
        <v>1428</v>
      </c>
      <c r="N23" s="527" t="s">
        <v>1429</v>
      </c>
    </row>
    <row r="24" spans="1:14" x14ac:dyDescent="0.25">
      <c r="A24" s="527"/>
      <c r="B24" s="510"/>
      <c r="C24" s="527"/>
      <c r="D24" s="527"/>
      <c r="E24" s="527"/>
      <c r="F24" s="527"/>
      <c r="G24" s="527"/>
      <c r="H24" s="527"/>
      <c r="I24" s="527"/>
      <c r="J24" s="527"/>
      <c r="K24" s="527"/>
      <c r="L24" s="527"/>
      <c r="M24" s="527"/>
      <c r="N24" s="527"/>
    </row>
    <row r="25" spans="1:14" x14ac:dyDescent="0.25">
      <c r="A25" s="97" t="s">
        <v>1059</v>
      </c>
      <c r="B25" s="302">
        <v>1.2542594824635807</v>
      </c>
      <c r="C25" s="303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5"/>
    </row>
    <row r="26" spans="1:14" x14ac:dyDescent="0.25">
      <c r="A26" s="96" t="s">
        <v>1060</v>
      </c>
      <c r="B26" s="302">
        <v>1.8813892236953713</v>
      </c>
      <c r="C26" s="135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306"/>
    </row>
    <row r="27" spans="1:14" x14ac:dyDescent="0.25">
      <c r="A27" s="96" t="s">
        <v>1070</v>
      </c>
      <c r="B27" s="302">
        <v>27.38466536712151</v>
      </c>
      <c r="C27" s="135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306"/>
    </row>
    <row r="28" spans="1:14" x14ac:dyDescent="0.25">
      <c r="A28" s="96" t="s">
        <v>773</v>
      </c>
      <c r="B28" s="302">
        <v>15.051113789562971</v>
      </c>
      <c r="C28" s="135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306"/>
    </row>
    <row r="29" spans="1:14" x14ac:dyDescent="0.25">
      <c r="A29" s="96" t="s">
        <v>774</v>
      </c>
      <c r="B29" s="302">
        <v>4.2446393762183243</v>
      </c>
      <c r="C29" s="135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306"/>
    </row>
    <row r="30" spans="1:14" x14ac:dyDescent="0.25">
      <c r="A30" s="96" t="s">
        <v>1061</v>
      </c>
      <c r="B30" s="302">
        <v>12.733918128654972</v>
      </c>
      <c r="C30" s="135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306"/>
    </row>
    <row r="31" spans="1:14" x14ac:dyDescent="0.25">
      <c r="A31" s="96" t="s">
        <v>775</v>
      </c>
      <c r="B31" s="302">
        <v>5.0935672514619883</v>
      </c>
      <c r="C31" s="135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306"/>
    </row>
    <row r="32" spans="1:14" x14ac:dyDescent="0.25">
      <c r="A32" s="96" t="s">
        <v>1059</v>
      </c>
      <c r="B32" s="302">
        <v>0.53136034975617963</v>
      </c>
      <c r="C32" s="135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306"/>
    </row>
    <row r="33" spans="1:14" x14ac:dyDescent="0.25">
      <c r="A33" s="96" t="s">
        <v>1060</v>
      </c>
      <c r="B33" s="302">
        <v>0.79704052463426944</v>
      </c>
      <c r="C33" s="135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306"/>
    </row>
    <row r="34" spans="1:14" x14ac:dyDescent="0.25">
      <c r="A34" s="96" t="s">
        <v>1070</v>
      </c>
      <c r="B34" s="302">
        <v>9.2397660818713465</v>
      </c>
      <c r="C34" s="135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306"/>
    </row>
    <row r="35" spans="1:14" x14ac:dyDescent="0.25">
      <c r="A35" s="96" t="s">
        <v>773</v>
      </c>
      <c r="B35" s="302">
        <v>13.275172766291144</v>
      </c>
      <c r="C35" s="135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306"/>
    </row>
    <row r="36" spans="1:14" x14ac:dyDescent="0.25">
      <c r="A36" s="96" t="s">
        <v>1128</v>
      </c>
      <c r="B36" s="302">
        <v>9.7117408906882599</v>
      </c>
      <c r="C36" s="135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306"/>
    </row>
    <row r="37" spans="1:14" x14ac:dyDescent="0.25">
      <c r="A37" s="96" t="s">
        <v>777</v>
      </c>
      <c r="B37" s="302">
        <v>11.690058479532166</v>
      </c>
      <c r="C37" s="135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306"/>
    </row>
    <row r="38" spans="1:14" x14ac:dyDescent="0.25">
      <c r="A38" s="96" t="s">
        <v>778</v>
      </c>
      <c r="B38" s="302">
        <v>1.2672009241210023</v>
      </c>
      <c r="C38" s="135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306"/>
    </row>
    <row r="39" spans="1:14" x14ac:dyDescent="0.25">
      <c r="A39" s="96" t="s">
        <v>779</v>
      </c>
      <c r="B39" s="302">
        <v>0.51321637426900601</v>
      </c>
      <c r="C39" s="135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306"/>
    </row>
    <row r="40" spans="1:14" x14ac:dyDescent="0.25">
      <c r="A40" s="96" t="s">
        <v>780</v>
      </c>
      <c r="B40" s="302">
        <v>3.1680023103025055</v>
      </c>
      <c r="C40" s="135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306"/>
    </row>
    <row r="41" spans="1:14" x14ac:dyDescent="0.25">
      <c r="A41" s="96" t="s">
        <v>781</v>
      </c>
      <c r="B41" s="302">
        <v>0.51321637426900601</v>
      </c>
      <c r="C41" s="307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308"/>
    </row>
    <row r="43" spans="1:14" x14ac:dyDescent="0.25">
      <c r="A43" s="309" t="s">
        <v>730</v>
      </c>
    </row>
    <row r="44" spans="1:14" x14ac:dyDescent="0.25">
      <c r="A44" s="527" t="s">
        <v>358</v>
      </c>
      <c r="B44" s="510" t="s">
        <v>1418</v>
      </c>
      <c r="C44" s="527" t="s">
        <v>1419</v>
      </c>
      <c r="D44" s="527" t="s">
        <v>1420</v>
      </c>
      <c r="E44" s="527" t="s">
        <v>1422</v>
      </c>
      <c r="F44" s="527" t="s">
        <v>1421</v>
      </c>
      <c r="G44" s="527" t="s">
        <v>1423</v>
      </c>
      <c r="H44" s="527" t="s">
        <v>1410</v>
      </c>
      <c r="I44" s="527" t="s">
        <v>1424</v>
      </c>
      <c r="J44" s="527" t="s">
        <v>1425</v>
      </c>
      <c r="K44" s="527" t="s">
        <v>1426</v>
      </c>
      <c r="L44" s="527" t="s">
        <v>1427</v>
      </c>
      <c r="M44" s="527" t="s">
        <v>1428</v>
      </c>
      <c r="N44" s="527" t="s">
        <v>1429</v>
      </c>
    </row>
    <row r="45" spans="1:14" x14ac:dyDescent="0.25">
      <c r="A45" s="527"/>
      <c r="B45" s="510"/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4" x14ac:dyDescent="0.25">
      <c r="A46" s="97" t="s">
        <v>1059</v>
      </c>
      <c r="B46" s="302">
        <v>1.1988304093567252</v>
      </c>
      <c r="C46" s="303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5"/>
    </row>
    <row r="47" spans="1:14" x14ac:dyDescent="0.25">
      <c r="A47" s="96" t="s">
        <v>1060</v>
      </c>
      <c r="B47" s="302">
        <v>1.7982456140350875</v>
      </c>
      <c r="C47" s="135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306"/>
    </row>
    <row r="48" spans="1:14" x14ac:dyDescent="0.25">
      <c r="A48" s="96" t="s">
        <v>1070</v>
      </c>
      <c r="B48" s="302">
        <v>27.439896036387267</v>
      </c>
      <c r="C48" s="135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306"/>
    </row>
    <row r="49" spans="1:14" x14ac:dyDescent="0.25">
      <c r="A49" s="96" t="s">
        <v>773</v>
      </c>
      <c r="B49" s="302">
        <v>7.8349956956689528</v>
      </c>
      <c r="C49" s="135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306"/>
    </row>
    <row r="50" spans="1:14" x14ac:dyDescent="0.25">
      <c r="A50" s="96" t="s">
        <v>774</v>
      </c>
      <c r="B50" s="302">
        <v>4.1981806367771286</v>
      </c>
      <c r="C50" s="135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306"/>
    </row>
    <row r="51" spans="1:14" x14ac:dyDescent="0.25">
      <c r="A51" s="96" t="s">
        <v>1061</v>
      </c>
      <c r="B51" s="302">
        <v>12.594541910331383</v>
      </c>
      <c r="C51" s="135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306"/>
    </row>
    <row r="52" spans="1:14" x14ac:dyDescent="0.25">
      <c r="A52" s="96" t="s">
        <v>775</v>
      </c>
      <c r="B52" s="302">
        <v>5.037816764132554</v>
      </c>
      <c r="C52" s="135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306"/>
    </row>
    <row r="53" spans="1:14" x14ac:dyDescent="0.25">
      <c r="A53" s="96" t="s">
        <v>1059</v>
      </c>
      <c r="B53" s="302">
        <v>0.7376501690861873</v>
      </c>
      <c r="C53" s="135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306"/>
    </row>
    <row r="54" spans="1:14" x14ac:dyDescent="0.25">
      <c r="A54" s="96" t="s">
        <v>1060</v>
      </c>
      <c r="B54" s="302">
        <v>1.106475253629281</v>
      </c>
      <c r="C54" s="135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306"/>
    </row>
    <row r="55" spans="1:14" x14ac:dyDescent="0.25">
      <c r="A55" s="96" t="s">
        <v>1070</v>
      </c>
      <c r="B55" s="302">
        <v>9.2397660818713465</v>
      </c>
      <c r="C55" s="135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306"/>
    </row>
    <row r="56" spans="1:14" x14ac:dyDescent="0.25">
      <c r="A56" s="96" t="s">
        <v>773</v>
      </c>
      <c r="B56" s="302">
        <v>18.428987861432219</v>
      </c>
      <c r="C56" s="135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306"/>
    </row>
    <row r="57" spans="1:14" x14ac:dyDescent="0.25">
      <c r="A57" s="96" t="s">
        <v>1128</v>
      </c>
      <c r="B57" s="302">
        <v>12.024060150375941</v>
      </c>
      <c r="C57" s="135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306"/>
    </row>
    <row r="58" spans="1:14" x14ac:dyDescent="0.25">
      <c r="A58" s="96" t="s">
        <v>777</v>
      </c>
      <c r="B58" s="302">
        <v>11.690058479532166</v>
      </c>
      <c r="C58" s="135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306"/>
    </row>
    <row r="59" spans="1:14" x14ac:dyDescent="0.25">
      <c r="A59" s="96" t="s">
        <v>778</v>
      </c>
      <c r="B59" s="302">
        <v>1.5840011551512527</v>
      </c>
      <c r="C59" s="135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306"/>
    </row>
    <row r="60" spans="1:14" x14ac:dyDescent="0.25">
      <c r="A60" s="96" t="s">
        <v>779</v>
      </c>
      <c r="B60" s="302">
        <v>0.64152046783625749</v>
      </c>
      <c r="C60" s="135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306"/>
    </row>
    <row r="61" spans="1:14" x14ac:dyDescent="0.25">
      <c r="A61" s="96" t="s">
        <v>780</v>
      </c>
      <c r="B61" s="302">
        <v>3.9600028878781317</v>
      </c>
      <c r="C61" s="135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306"/>
    </row>
    <row r="62" spans="1:14" x14ac:dyDescent="0.25">
      <c r="A62" s="96" t="s">
        <v>781</v>
      </c>
      <c r="B62" s="302">
        <v>0.64152046783625749</v>
      </c>
      <c r="C62" s="307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308"/>
    </row>
    <row r="64" spans="1:14" x14ac:dyDescent="0.25">
      <c r="A64" s="309" t="s">
        <v>144</v>
      </c>
    </row>
    <row r="65" spans="1:14" x14ac:dyDescent="0.25">
      <c r="A65" s="527" t="s">
        <v>358</v>
      </c>
      <c r="B65" s="510" t="s">
        <v>1418</v>
      </c>
      <c r="C65" s="527" t="s">
        <v>1419</v>
      </c>
      <c r="D65" s="527" t="s">
        <v>1420</v>
      </c>
      <c r="E65" s="527" t="s">
        <v>1422</v>
      </c>
      <c r="F65" s="527" t="s">
        <v>1421</v>
      </c>
      <c r="G65" s="527" t="s">
        <v>1423</v>
      </c>
      <c r="H65" s="527" t="s">
        <v>1410</v>
      </c>
      <c r="I65" s="527" t="s">
        <v>1424</v>
      </c>
      <c r="J65" s="527" t="s">
        <v>1425</v>
      </c>
      <c r="K65" s="527" t="s">
        <v>1426</v>
      </c>
      <c r="L65" s="527" t="s">
        <v>1427</v>
      </c>
      <c r="M65" s="527" t="s">
        <v>1428</v>
      </c>
      <c r="N65" s="527" t="s">
        <v>1429</v>
      </c>
    </row>
    <row r="66" spans="1:14" x14ac:dyDescent="0.25">
      <c r="A66" s="527"/>
      <c r="B66" s="510"/>
      <c r="C66" s="527"/>
      <c r="D66" s="527"/>
      <c r="E66" s="527"/>
      <c r="F66" s="527"/>
      <c r="G66" s="527"/>
      <c r="H66" s="527"/>
      <c r="I66" s="527"/>
      <c r="J66" s="527"/>
      <c r="K66" s="527"/>
      <c r="L66" s="527"/>
      <c r="M66" s="527"/>
      <c r="N66" s="527"/>
    </row>
    <row r="67" spans="1:14" x14ac:dyDescent="0.25">
      <c r="A67" s="97" t="s">
        <v>1059</v>
      </c>
      <c r="B67" s="302">
        <v>0.9139301244564404</v>
      </c>
      <c r="C67" s="303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5"/>
    </row>
    <row r="68" spans="1:14" x14ac:dyDescent="0.25">
      <c r="A68" s="96" t="s">
        <v>1060</v>
      </c>
      <c r="B68" s="302">
        <v>1.3708951866846606</v>
      </c>
      <c r="C68" s="135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306"/>
    </row>
    <row r="69" spans="1:14" x14ac:dyDescent="0.25">
      <c r="A69" s="96" t="s">
        <v>1070</v>
      </c>
      <c r="B69" s="302">
        <v>23.76218323586745</v>
      </c>
      <c r="C69" s="135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306"/>
    </row>
    <row r="70" spans="1:14" x14ac:dyDescent="0.25">
      <c r="A70" s="96" t="s">
        <v>773</v>
      </c>
      <c r="B70" s="302">
        <v>4.7524366471734902</v>
      </c>
      <c r="C70" s="135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306"/>
    </row>
    <row r="71" spans="1:14" x14ac:dyDescent="0.25">
      <c r="A71" s="96" t="s">
        <v>774</v>
      </c>
      <c r="B71" s="302">
        <v>13.735366032293321</v>
      </c>
      <c r="C71" s="135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306"/>
    </row>
    <row r="72" spans="1:14" x14ac:dyDescent="0.25">
      <c r="A72" s="96" t="s">
        <v>1061</v>
      </c>
      <c r="B72" s="302">
        <v>9.4093567251461998</v>
      </c>
      <c r="C72" s="135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306"/>
    </row>
    <row r="73" spans="1:14" x14ac:dyDescent="0.25">
      <c r="A73" s="96" t="s">
        <v>775</v>
      </c>
      <c r="B73" s="302">
        <v>3.7637426900584807</v>
      </c>
      <c r="C73" s="135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306"/>
    </row>
    <row r="74" spans="1:14" x14ac:dyDescent="0.25">
      <c r="A74" s="96" t="s">
        <v>1059</v>
      </c>
      <c r="B74" s="302">
        <v>0.70364350113243113</v>
      </c>
      <c r="C74" s="135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306"/>
    </row>
    <row r="75" spans="1:14" x14ac:dyDescent="0.25">
      <c r="A75" s="96" t="s">
        <v>1060</v>
      </c>
      <c r="B75" s="302">
        <v>1.0554652516986467</v>
      </c>
      <c r="C75" s="135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306"/>
    </row>
    <row r="76" spans="1:14" x14ac:dyDescent="0.25">
      <c r="A76" s="96" t="s">
        <v>1070</v>
      </c>
      <c r="B76" s="302">
        <v>11.012020792722549</v>
      </c>
      <c r="C76" s="135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306"/>
    </row>
    <row r="77" spans="1:14" x14ac:dyDescent="0.25">
      <c r="A77" s="96" t="s">
        <v>773</v>
      </c>
      <c r="B77" s="302">
        <v>17.57938665859659</v>
      </c>
      <c r="C77" s="135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306"/>
    </row>
    <row r="78" spans="1:14" x14ac:dyDescent="0.25">
      <c r="A78" s="96" t="s">
        <v>1128</v>
      </c>
      <c r="B78" s="302">
        <v>10.627325890483785</v>
      </c>
      <c r="C78" s="135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306"/>
    </row>
    <row r="79" spans="1:14" x14ac:dyDescent="0.25">
      <c r="A79" s="96" t="s">
        <v>777</v>
      </c>
      <c r="B79" s="302">
        <v>11.690058479532199</v>
      </c>
      <c r="C79" s="135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306"/>
    </row>
    <row r="80" spans="1:14" x14ac:dyDescent="0.25">
      <c r="A80" s="96" t="s">
        <v>778</v>
      </c>
      <c r="B80" s="302">
        <v>1.4080010268011136</v>
      </c>
      <c r="C80" s="135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306"/>
    </row>
    <row r="81" spans="1:14" x14ac:dyDescent="0.25">
      <c r="A81" s="96" t="s">
        <v>779</v>
      </c>
      <c r="B81" s="302">
        <v>0.57024041585445107</v>
      </c>
      <c r="C81" s="135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306"/>
    </row>
    <row r="82" spans="1:14" x14ac:dyDescent="0.25">
      <c r="A82" s="96" t="s">
        <v>780</v>
      </c>
      <c r="B82" s="302">
        <v>3.5200025670027837</v>
      </c>
      <c r="C82" s="135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306"/>
    </row>
    <row r="83" spans="1:14" x14ac:dyDescent="0.25">
      <c r="A83" s="96" t="s">
        <v>781</v>
      </c>
      <c r="B83" s="302">
        <v>0.57024041585445107</v>
      </c>
      <c r="C83" s="307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308"/>
    </row>
  </sheetData>
  <mergeCells count="56">
    <mergeCell ref="M65:M66"/>
    <mergeCell ref="N65:N66"/>
    <mergeCell ref="G65:G66"/>
    <mergeCell ref="H65:H66"/>
    <mergeCell ref="I65:I66"/>
    <mergeCell ref="J65:J66"/>
    <mergeCell ref="K65:K66"/>
    <mergeCell ref="L65:L66"/>
    <mergeCell ref="A65:A66"/>
    <mergeCell ref="B65:B66"/>
    <mergeCell ref="C65:C66"/>
    <mergeCell ref="D65:D66"/>
    <mergeCell ref="E65:E66"/>
    <mergeCell ref="F65:F66"/>
    <mergeCell ref="I44:I45"/>
    <mergeCell ref="J44:J45"/>
    <mergeCell ref="K44:K45"/>
    <mergeCell ref="L44:L45"/>
    <mergeCell ref="M44:M45"/>
    <mergeCell ref="N44:N45"/>
    <mergeCell ref="M23:M24"/>
    <mergeCell ref="N23:N24"/>
    <mergeCell ref="A44:A45"/>
    <mergeCell ref="B44:B45"/>
    <mergeCell ref="C44:C45"/>
    <mergeCell ref="D44:D45"/>
    <mergeCell ref="E44:E45"/>
    <mergeCell ref="F44:F45"/>
    <mergeCell ref="G44:G45"/>
    <mergeCell ref="H44:H45"/>
    <mergeCell ref="G23:G24"/>
    <mergeCell ref="H23:H24"/>
    <mergeCell ref="I23:I24"/>
    <mergeCell ref="J23:J24"/>
    <mergeCell ref="K23:K24"/>
    <mergeCell ref="L23:L24"/>
    <mergeCell ref="A2:A3"/>
    <mergeCell ref="B2:B3"/>
    <mergeCell ref="A23:A24"/>
    <mergeCell ref="B23:B24"/>
    <mergeCell ref="C23:C24"/>
    <mergeCell ref="D23:D24"/>
    <mergeCell ref="E23:E24"/>
    <mergeCell ref="F23:F24"/>
    <mergeCell ref="I2:I3"/>
    <mergeCell ref="J2:J3"/>
    <mergeCell ref="K2:K3"/>
    <mergeCell ref="L2:L3"/>
    <mergeCell ref="M2:M3"/>
    <mergeCell ref="N2:N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85"/>
  <sheetViews>
    <sheetView zoomScale="80" zoomScaleNormal="80" zoomScalePageLayoutView="85" workbookViewId="0">
      <selection activeCell="K53" sqref="K53"/>
    </sheetView>
  </sheetViews>
  <sheetFormatPr baseColWidth="10" defaultColWidth="10.85546875" defaultRowHeight="12.75" x14ac:dyDescent="0.2"/>
  <cols>
    <col min="1" max="1" width="10.85546875" style="9"/>
    <col min="2" max="2" width="39.85546875" style="9" customWidth="1"/>
    <col min="3" max="12" width="13.7109375" style="9" customWidth="1"/>
    <col min="13" max="13" width="23" style="9" customWidth="1"/>
    <col min="14" max="14" width="10.85546875" style="9"/>
    <col min="15" max="15" width="39.140625" style="9" bestFit="1" customWidth="1"/>
    <col min="16" max="17" width="17.140625" style="9" customWidth="1"/>
    <col min="18" max="19" width="10.85546875" style="9"/>
    <col min="20" max="20" width="39.140625" style="9" bestFit="1" customWidth="1"/>
    <col min="21" max="26" width="10.85546875" style="9"/>
    <col min="27" max="27" width="39.140625" style="9" bestFit="1" customWidth="1"/>
    <col min="28" max="16384" width="10.85546875" style="9"/>
  </cols>
  <sheetData>
    <row r="2" spans="2:7" ht="15" customHeight="1" x14ac:dyDescent="0.2">
      <c r="B2" s="176" t="s">
        <v>1087</v>
      </c>
    </row>
    <row r="4" spans="2:7" x14ac:dyDescent="0.2">
      <c r="B4" s="247" t="s">
        <v>1087</v>
      </c>
      <c r="C4" s="247">
        <v>2017</v>
      </c>
      <c r="D4" s="247">
        <v>2018</v>
      </c>
      <c r="E4" s="247">
        <v>2019</v>
      </c>
      <c r="F4" s="247">
        <v>2020</v>
      </c>
      <c r="G4" s="247">
        <v>2021</v>
      </c>
    </row>
    <row r="5" spans="2:7" x14ac:dyDescent="0.2">
      <c r="B5" s="18" t="s">
        <v>1088</v>
      </c>
      <c r="C5" s="179">
        <v>7332.0603019999999</v>
      </c>
      <c r="D5" s="179">
        <v>13524.42211</v>
      </c>
      <c r="E5" s="179">
        <v>21768.24121</v>
      </c>
      <c r="F5" s="179">
        <v>32329.447240000001</v>
      </c>
      <c r="G5" s="179">
        <v>45360</v>
      </c>
    </row>
    <row r="6" spans="2:7" x14ac:dyDescent="0.2">
      <c r="B6" s="18" t="s">
        <v>1089</v>
      </c>
      <c r="C6" s="179">
        <v>8174.8592959999996</v>
      </c>
      <c r="D6" s="179">
        <v>15079.015079999999</v>
      </c>
      <c r="E6" s="179">
        <v>24270.437190000001</v>
      </c>
      <c r="F6" s="179">
        <v>36045.623119999997</v>
      </c>
      <c r="G6" s="179">
        <v>50574</v>
      </c>
    </row>
    <row r="7" spans="2:7" x14ac:dyDescent="0.2">
      <c r="B7" s="18" t="s">
        <v>1090</v>
      </c>
      <c r="C7" s="179">
        <v>8191.3467339999997</v>
      </c>
      <c r="D7" s="179">
        <v>15109.42714</v>
      </c>
      <c r="E7" s="179">
        <v>24319.386930000001</v>
      </c>
      <c r="F7" s="179">
        <v>36118.321609999999</v>
      </c>
      <c r="G7" s="179">
        <v>50676</v>
      </c>
    </row>
    <row r="8" spans="2:7" x14ac:dyDescent="0.2">
      <c r="B8" s="18" t="s">
        <v>1091</v>
      </c>
      <c r="C8" s="179">
        <v>7093.4773869999999</v>
      </c>
      <c r="D8" s="179">
        <v>13084.341710000001</v>
      </c>
      <c r="E8" s="179">
        <v>21059.90955</v>
      </c>
      <c r="F8" s="179">
        <v>31277.457289999998</v>
      </c>
      <c r="G8" s="179">
        <v>43884</v>
      </c>
    </row>
    <row r="9" spans="2:7" x14ac:dyDescent="0.2">
      <c r="B9" s="18" t="s">
        <v>1092</v>
      </c>
      <c r="C9" s="179">
        <v>12357.33417</v>
      </c>
      <c r="D9" s="179">
        <v>22793.839199999999</v>
      </c>
      <c r="E9" s="179">
        <v>36687.83668</v>
      </c>
      <c r="F9" s="179">
        <v>54487.520100000002</v>
      </c>
      <c r="G9" s="179">
        <v>76449</v>
      </c>
    </row>
    <row r="10" spans="2:7" x14ac:dyDescent="0.2">
      <c r="B10" s="18" t="s">
        <v>1397</v>
      </c>
      <c r="C10" s="179">
        <v>2897.4246229999999</v>
      </c>
      <c r="D10" s="179">
        <v>5344.4723620000004</v>
      </c>
      <c r="E10" s="179">
        <v>8602.1984919999995</v>
      </c>
      <c r="F10" s="179">
        <v>12775.69095</v>
      </c>
      <c r="G10" s="179">
        <v>17925</v>
      </c>
    </row>
    <row r="11" spans="2:7" x14ac:dyDescent="0.2">
      <c r="B11" s="18" t="s">
        <v>1398</v>
      </c>
      <c r="C11" s="179">
        <v>19.31503266</v>
      </c>
      <c r="D11" s="179">
        <v>35.627728640000001</v>
      </c>
      <c r="E11" s="179">
        <v>57.344630649999999</v>
      </c>
      <c r="F11" s="179">
        <v>85.166283919999998</v>
      </c>
      <c r="G11" s="179">
        <v>119.49299999999999</v>
      </c>
    </row>
    <row r="12" spans="2:7" x14ac:dyDescent="0.2">
      <c r="B12" s="18" t="s">
        <v>1093</v>
      </c>
      <c r="C12" s="179">
        <v>43991.391960000001</v>
      </c>
      <c r="D12" s="179">
        <v>81144.743719999999</v>
      </c>
      <c r="E12" s="179">
        <v>130606.5678</v>
      </c>
      <c r="F12" s="179">
        <v>193972.40700000001</v>
      </c>
      <c r="G12" s="179">
        <v>272154</v>
      </c>
    </row>
    <row r="13" spans="2:7" x14ac:dyDescent="0.2">
      <c r="B13" s="18" t="s">
        <v>1094</v>
      </c>
      <c r="C13" s="179">
        <v>51.287082910000002</v>
      </c>
      <c r="D13" s="179">
        <v>94.602080400000006</v>
      </c>
      <c r="E13" s="179">
        <v>152.26683170000001</v>
      </c>
      <c r="F13" s="179">
        <v>226.14148990000001</v>
      </c>
      <c r="G13" s="179">
        <v>317.28899999999999</v>
      </c>
    </row>
    <row r="14" spans="2:7" x14ac:dyDescent="0.2">
      <c r="B14" s="18" t="s">
        <v>1095</v>
      </c>
      <c r="C14" s="179">
        <v>32.148077890000003</v>
      </c>
      <c r="D14" s="179">
        <v>59.299045229999997</v>
      </c>
      <c r="E14" s="179">
        <v>95.444811560000005</v>
      </c>
      <c r="F14" s="179">
        <v>141.75136929999999</v>
      </c>
      <c r="G14" s="179">
        <v>198.88499999999999</v>
      </c>
    </row>
    <row r="15" spans="2:7" x14ac:dyDescent="0.2">
      <c r="B15" s="18" t="s">
        <v>1096</v>
      </c>
      <c r="C15" s="179">
        <v>12.769035179999999</v>
      </c>
      <c r="D15" s="179">
        <v>23.553246229999999</v>
      </c>
      <c r="E15" s="179">
        <v>37.910140699999999</v>
      </c>
      <c r="F15" s="179">
        <v>56.302844219999997</v>
      </c>
      <c r="G15" s="179">
        <v>78.995999999999995</v>
      </c>
    </row>
    <row r="16" spans="2:7" x14ac:dyDescent="0.2">
      <c r="B16" s="18" t="s">
        <v>1097</v>
      </c>
      <c r="C16" s="179">
        <v>51.364185929999998</v>
      </c>
      <c r="D16" s="179">
        <v>94.74430151</v>
      </c>
      <c r="E16" s="179">
        <v>152.49574369999999</v>
      </c>
      <c r="F16" s="179">
        <v>226.4814623</v>
      </c>
      <c r="G16" s="179">
        <v>317.76600000000002</v>
      </c>
    </row>
    <row r="17" spans="2:7" x14ac:dyDescent="0.2">
      <c r="B17" s="18" t="s">
        <v>1098</v>
      </c>
      <c r="C17" s="179">
        <f t="shared" ref="C17:C28" si="0">C5/95%</f>
        <v>7717.958212631579</v>
      </c>
      <c r="D17" s="179">
        <f t="shared" ref="D17:G17" si="1">D5/95%</f>
        <v>14236.2338</v>
      </c>
      <c r="E17" s="179">
        <f t="shared" si="1"/>
        <v>22913.938115789475</v>
      </c>
      <c r="F17" s="179">
        <f t="shared" si="1"/>
        <v>34030.997094736842</v>
      </c>
      <c r="G17" s="179">
        <f t="shared" si="1"/>
        <v>47747.368421052633</v>
      </c>
    </row>
    <row r="18" spans="2:7" x14ac:dyDescent="0.2">
      <c r="B18" s="18" t="s">
        <v>1099</v>
      </c>
      <c r="C18" s="179">
        <f t="shared" si="0"/>
        <v>8605.1150484210521</v>
      </c>
      <c r="D18" s="179">
        <f t="shared" ref="D18:G22" si="2">D6/95%</f>
        <v>15872.64745263158</v>
      </c>
      <c r="E18" s="179">
        <f t="shared" si="2"/>
        <v>25547.828621052635</v>
      </c>
      <c r="F18" s="179">
        <f t="shared" si="2"/>
        <v>37942.761178947367</v>
      </c>
      <c r="G18" s="179">
        <f t="shared" si="2"/>
        <v>53235.789473684214</v>
      </c>
    </row>
    <row r="19" spans="2:7" x14ac:dyDescent="0.2">
      <c r="B19" s="18" t="s">
        <v>1100</v>
      </c>
      <c r="C19" s="179">
        <f t="shared" si="0"/>
        <v>8622.4702463157901</v>
      </c>
      <c r="D19" s="179">
        <f t="shared" si="2"/>
        <v>15904.660147368422</v>
      </c>
      <c r="E19" s="179">
        <f t="shared" si="2"/>
        <v>25599.354663157897</v>
      </c>
      <c r="F19" s="179">
        <f t="shared" si="2"/>
        <v>38019.285905263161</v>
      </c>
      <c r="G19" s="179">
        <f t="shared" si="2"/>
        <v>53343.157894736847</v>
      </c>
    </row>
    <row r="20" spans="2:7" x14ac:dyDescent="0.2">
      <c r="B20" s="18" t="s">
        <v>1101</v>
      </c>
      <c r="C20" s="179">
        <f t="shared" si="0"/>
        <v>7466.8183021052637</v>
      </c>
      <c r="D20" s="179">
        <f t="shared" si="2"/>
        <v>13772.991273684213</v>
      </c>
      <c r="E20" s="179">
        <f t="shared" si="2"/>
        <v>22168.325842105263</v>
      </c>
      <c r="F20" s="179">
        <f t="shared" si="2"/>
        <v>32923.639252631576</v>
      </c>
      <c r="G20" s="179">
        <f t="shared" si="2"/>
        <v>46193.68421052632</v>
      </c>
    </row>
    <row r="21" spans="2:7" x14ac:dyDescent="0.2">
      <c r="B21" s="18" t="s">
        <v>1102</v>
      </c>
      <c r="C21" s="179">
        <f t="shared" si="0"/>
        <v>13007.720178947369</v>
      </c>
      <c r="D21" s="179">
        <f t="shared" si="2"/>
        <v>23993.514947368421</v>
      </c>
      <c r="E21" s="179">
        <f t="shared" si="2"/>
        <v>38618.775452631584</v>
      </c>
      <c r="F21" s="179">
        <f t="shared" si="2"/>
        <v>57355.284315789475</v>
      </c>
      <c r="G21" s="179">
        <f t="shared" si="2"/>
        <v>80472.631578947374</v>
      </c>
    </row>
    <row r="22" spans="2:7" x14ac:dyDescent="0.2">
      <c r="B22" s="18" t="s">
        <v>1399</v>
      </c>
      <c r="C22" s="179">
        <f t="shared" si="0"/>
        <v>3049.9206557894736</v>
      </c>
      <c r="D22" s="179">
        <f t="shared" si="2"/>
        <v>5625.7603810526325</v>
      </c>
      <c r="E22" s="179">
        <f t="shared" si="2"/>
        <v>9054.945781052631</v>
      </c>
      <c r="F22" s="179">
        <f t="shared" si="2"/>
        <v>13448.095736842106</v>
      </c>
      <c r="G22" s="179">
        <f t="shared" si="2"/>
        <v>18868.42105263158</v>
      </c>
    </row>
    <row r="23" spans="2:7" x14ac:dyDescent="0.2">
      <c r="B23" s="18" t="s">
        <v>1400</v>
      </c>
      <c r="C23" s="179">
        <f t="shared" si="0"/>
        <v>20.331613326315789</v>
      </c>
      <c r="D23" s="179">
        <f t="shared" ref="D23:G23" si="3">D11/95%</f>
        <v>37.502872252631583</v>
      </c>
      <c r="E23" s="179">
        <f t="shared" si="3"/>
        <v>60.362769105263162</v>
      </c>
      <c r="F23" s="179">
        <f t="shared" si="3"/>
        <v>89.648719915789471</v>
      </c>
      <c r="G23" s="179">
        <f t="shared" si="3"/>
        <v>125.7821052631579</v>
      </c>
    </row>
    <row r="24" spans="2:7" x14ac:dyDescent="0.2">
      <c r="B24" s="18" t="s">
        <v>1103</v>
      </c>
      <c r="C24" s="179">
        <f t="shared" si="0"/>
        <v>46306.728378947373</v>
      </c>
      <c r="D24" s="179">
        <f t="shared" ref="D24:G28" si="4">D12/95%</f>
        <v>85415.519705263156</v>
      </c>
      <c r="E24" s="179">
        <f t="shared" si="4"/>
        <v>137480.59768421054</v>
      </c>
      <c r="F24" s="179">
        <f t="shared" si="4"/>
        <v>204181.4810526316</v>
      </c>
      <c r="G24" s="179">
        <f t="shared" si="4"/>
        <v>286477.89473684214</v>
      </c>
    </row>
    <row r="25" spans="2:7" x14ac:dyDescent="0.2">
      <c r="B25" s="18" t="s">
        <v>1104</v>
      </c>
      <c r="C25" s="179">
        <f t="shared" si="0"/>
        <v>53.986403063157901</v>
      </c>
      <c r="D25" s="179">
        <f t="shared" si="4"/>
        <v>99.581137263157899</v>
      </c>
      <c r="E25" s="179">
        <f t="shared" si="4"/>
        <v>160.28087547368423</v>
      </c>
      <c r="F25" s="179">
        <f t="shared" si="4"/>
        <v>238.04367357894739</v>
      </c>
      <c r="G25" s="179">
        <f t="shared" si="4"/>
        <v>333.98842105263157</v>
      </c>
    </row>
    <row r="26" spans="2:7" x14ac:dyDescent="0.2">
      <c r="B26" s="18" t="s">
        <v>1105</v>
      </c>
      <c r="C26" s="179">
        <f t="shared" si="0"/>
        <v>33.840081989473688</v>
      </c>
      <c r="D26" s="179">
        <f t="shared" si="4"/>
        <v>62.420047610526318</v>
      </c>
      <c r="E26" s="179">
        <f t="shared" si="4"/>
        <v>100.46822269473685</v>
      </c>
      <c r="F26" s="179">
        <f t="shared" si="4"/>
        <v>149.21196768421052</v>
      </c>
      <c r="G26" s="179">
        <f t="shared" si="4"/>
        <v>209.35263157894738</v>
      </c>
    </row>
    <row r="27" spans="2:7" x14ac:dyDescent="0.2">
      <c r="B27" s="18" t="s">
        <v>1106</v>
      </c>
      <c r="C27" s="179">
        <f t="shared" si="0"/>
        <v>13.441089663157895</v>
      </c>
      <c r="D27" s="179">
        <f t="shared" si="4"/>
        <v>24.792890768421053</v>
      </c>
      <c r="E27" s="179">
        <f t="shared" si="4"/>
        <v>39.905411263157895</v>
      </c>
      <c r="F27" s="179">
        <f t="shared" si="4"/>
        <v>59.266151810526317</v>
      </c>
      <c r="G27" s="179">
        <f t="shared" si="4"/>
        <v>83.153684210526308</v>
      </c>
    </row>
    <row r="28" spans="2:7" x14ac:dyDescent="0.2">
      <c r="B28" s="18" t="s">
        <v>1107</v>
      </c>
      <c r="C28" s="179">
        <f t="shared" si="0"/>
        <v>54.067564136842108</v>
      </c>
      <c r="D28" s="179">
        <f t="shared" si="4"/>
        <v>99.730843694736848</v>
      </c>
      <c r="E28" s="179">
        <f t="shared" si="4"/>
        <v>160.52183547368421</v>
      </c>
      <c r="F28" s="179">
        <f t="shared" si="4"/>
        <v>238.4015392631579</v>
      </c>
      <c r="G28" s="179">
        <f t="shared" si="4"/>
        <v>334.49052631578951</v>
      </c>
    </row>
    <row r="29" spans="2:7" x14ac:dyDescent="0.2">
      <c r="B29" s="203" t="s">
        <v>1108</v>
      </c>
      <c r="C29" s="248">
        <f t="shared" ref="C29:C40" si="5">ROUNDUP(C17,0)</f>
        <v>7718</v>
      </c>
      <c r="D29" s="248">
        <f t="shared" ref="D29:G29" si="6">ROUNDUP(D17,0)</f>
        <v>14237</v>
      </c>
      <c r="E29" s="248">
        <f t="shared" si="6"/>
        <v>22914</v>
      </c>
      <c r="F29" s="248">
        <f t="shared" si="6"/>
        <v>34031</v>
      </c>
      <c r="G29" s="248">
        <f t="shared" si="6"/>
        <v>47748</v>
      </c>
    </row>
    <row r="30" spans="2:7" x14ac:dyDescent="0.2">
      <c r="B30" s="203" t="s">
        <v>1109</v>
      </c>
      <c r="C30" s="248">
        <f t="shared" si="5"/>
        <v>8606</v>
      </c>
      <c r="D30" s="248">
        <f t="shared" ref="D30:G34" si="7">ROUNDUP(D18,0)</f>
        <v>15873</v>
      </c>
      <c r="E30" s="248">
        <f t="shared" si="7"/>
        <v>25548</v>
      </c>
      <c r="F30" s="248">
        <f t="shared" si="7"/>
        <v>37943</v>
      </c>
      <c r="G30" s="248">
        <f t="shared" si="7"/>
        <v>53236</v>
      </c>
    </row>
    <row r="31" spans="2:7" x14ac:dyDescent="0.2">
      <c r="B31" s="203" t="s">
        <v>1110</v>
      </c>
      <c r="C31" s="248">
        <f t="shared" si="5"/>
        <v>8623</v>
      </c>
      <c r="D31" s="248">
        <f t="shared" si="7"/>
        <v>15905</v>
      </c>
      <c r="E31" s="248">
        <f t="shared" si="7"/>
        <v>25600</v>
      </c>
      <c r="F31" s="248">
        <f t="shared" si="7"/>
        <v>38020</v>
      </c>
      <c r="G31" s="248">
        <f t="shared" si="7"/>
        <v>53344</v>
      </c>
    </row>
    <row r="32" spans="2:7" x14ac:dyDescent="0.2">
      <c r="B32" s="203" t="s">
        <v>1111</v>
      </c>
      <c r="C32" s="248">
        <f t="shared" si="5"/>
        <v>7467</v>
      </c>
      <c r="D32" s="248">
        <f t="shared" si="7"/>
        <v>13773</v>
      </c>
      <c r="E32" s="248">
        <f t="shared" si="7"/>
        <v>22169</v>
      </c>
      <c r="F32" s="248">
        <f t="shared" si="7"/>
        <v>32924</v>
      </c>
      <c r="G32" s="248">
        <f t="shared" si="7"/>
        <v>46194</v>
      </c>
    </row>
    <row r="33" spans="2:7" x14ac:dyDescent="0.2">
      <c r="B33" s="203" t="s">
        <v>1112</v>
      </c>
      <c r="C33" s="248">
        <f t="shared" si="5"/>
        <v>13008</v>
      </c>
      <c r="D33" s="248">
        <f t="shared" si="7"/>
        <v>23994</v>
      </c>
      <c r="E33" s="248">
        <f t="shared" si="7"/>
        <v>38619</v>
      </c>
      <c r="F33" s="248">
        <f t="shared" si="7"/>
        <v>57356</v>
      </c>
      <c r="G33" s="248">
        <f t="shared" si="7"/>
        <v>80473</v>
      </c>
    </row>
    <row r="34" spans="2:7" x14ac:dyDescent="0.2">
      <c r="B34" s="203" t="s">
        <v>1113</v>
      </c>
      <c r="C34" s="248">
        <f t="shared" si="5"/>
        <v>3050</v>
      </c>
      <c r="D34" s="248">
        <f t="shared" si="7"/>
        <v>5626</v>
      </c>
      <c r="E34" s="248">
        <f t="shared" si="7"/>
        <v>9055</v>
      </c>
      <c r="F34" s="248">
        <f t="shared" si="7"/>
        <v>13449</v>
      </c>
      <c r="G34" s="248">
        <f t="shared" si="7"/>
        <v>18869</v>
      </c>
    </row>
    <row r="35" spans="2:7" x14ac:dyDescent="0.2">
      <c r="B35" s="203" t="s">
        <v>1401</v>
      </c>
      <c r="C35" s="294">
        <f t="shared" si="5"/>
        <v>21</v>
      </c>
      <c r="D35" s="294">
        <f t="shared" ref="D35:G35" si="8">ROUNDUP(D23,0)</f>
        <v>38</v>
      </c>
      <c r="E35" s="294">
        <f t="shared" si="8"/>
        <v>61</v>
      </c>
      <c r="F35" s="294">
        <f t="shared" si="8"/>
        <v>90</v>
      </c>
      <c r="G35" s="294">
        <f t="shared" si="8"/>
        <v>126</v>
      </c>
    </row>
    <row r="36" spans="2:7" x14ac:dyDescent="0.2">
      <c r="B36" s="203" t="s">
        <v>1114</v>
      </c>
      <c r="C36" s="248">
        <f t="shared" si="5"/>
        <v>46307</v>
      </c>
      <c r="D36" s="248">
        <f t="shared" ref="D36:G40" si="9">ROUNDUP(D24,0)</f>
        <v>85416</v>
      </c>
      <c r="E36" s="248">
        <f t="shared" si="9"/>
        <v>137481</v>
      </c>
      <c r="F36" s="248">
        <f t="shared" si="9"/>
        <v>204182</v>
      </c>
      <c r="G36" s="248">
        <f t="shared" si="9"/>
        <v>286478</v>
      </c>
    </row>
    <row r="37" spans="2:7" x14ac:dyDescent="0.2">
      <c r="B37" s="203" t="s">
        <v>1115</v>
      </c>
      <c r="C37" s="248">
        <f t="shared" si="5"/>
        <v>54</v>
      </c>
      <c r="D37" s="248">
        <f t="shared" si="9"/>
        <v>100</v>
      </c>
      <c r="E37" s="248">
        <f t="shared" si="9"/>
        <v>161</v>
      </c>
      <c r="F37" s="248">
        <f t="shared" si="9"/>
        <v>239</v>
      </c>
      <c r="G37" s="248">
        <f t="shared" si="9"/>
        <v>334</v>
      </c>
    </row>
    <row r="38" spans="2:7" x14ac:dyDescent="0.2">
      <c r="B38" s="203" t="s">
        <v>1116</v>
      </c>
      <c r="C38" s="248">
        <f t="shared" si="5"/>
        <v>34</v>
      </c>
      <c r="D38" s="248">
        <f t="shared" si="9"/>
        <v>63</v>
      </c>
      <c r="E38" s="248">
        <f t="shared" si="9"/>
        <v>101</v>
      </c>
      <c r="F38" s="248">
        <f t="shared" si="9"/>
        <v>150</v>
      </c>
      <c r="G38" s="248">
        <f t="shared" si="9"/>
        <v>210</v>
      </c>
    </row>
    <row r="39" spans="2:7" x14ac:dyDescent="0.2">
      <c r="B39" s="203" t="s">
        <v>1117</v>
      </c>
      <c r="C39" s="248">
        <f t="shared" si="5"/>
        <v>14</v>
      </c>
      <c r="D39" s="248">
        <f t="shared" si="9"/>
        <v>25</v>
      </c>
      <c r="E39" s="248">
        <f t="shared" si="9"/>
        <v>40</v>
      </c>
      <c r="F39" s="248">
        <f t="shared" si="9"/>
        <v>60</v>
      </c>
      <c r="G39" s="248">
        <f t="shared" si="9"/>
        <v>84</v>
      </c>
    </row>
    <row r="40" spans="2:7" x14ac:dyDescent="0.2">
      <c r="B40" s="203" t="s">
        <v>1118</v>
      </c>
      <c r="C40" s="248">
        <f t="shared" si="5"/>
        <v>55</v>
      </c>
      <c r="D40" s="248">
        <f t="shared" si="9"/>
        <v>100</v>
      </c>
      <c r="E40" s="248">
        <f t="shared" si="9"/>
        <v>161</v>
      </c>
      <c r="F40" s="248">
        <f t="shared" si="9"/>
        <v>239</v>
      </c>
      <c r="G40" s="248">
        <f t="shared" si="9"/>
        <v>335</v>
      </c>
    </row>
    <row r="42" spans="2:7" x14ac:dyDescent="0.2">
      <c r="B42" s="176" t="s">
        <v>1119</v>
      </c>
    </row>
    <row r="44" spans="2:7" x14ac:dyDescent="0.2">
      <c r="B44" s="247" t="s">
        <v>1119</v>
      </c>
      <c r="C44" s="247">
        <v>2017</v>
      </c>
      <c r="D44" s="247">
        <v>2018</v>
      </c>
      <c r="E44" s="247">
        <v>2019</v>
      </c>
      <c r="F44" s="247">
        <v>2020</v>
      </c>
      <c r="G44" s="247">
        <v>2021</v>
      </c>
    </row>
    <row r="45" spans="2:7" x14ac:dyDescent="0.2">
      <c r="B45" s="276" t="s">
        <v>1120</v>
      </c>
      <c r="C45" s="248">
        <v>231600</v>
      </c>
      <c r="D45" s="248">
        <v>426000</v>
      </c>
      <c r="E45" s="248">
        <v>687600</v>
      </c>
      <c r="F45" s="248">
        <v>1021200</v>
      </c>
      <c r="G45" s="248">
        <v>1432800</v>
      </c>
    </row>
    <row r="46" spans="2:7" x14ac:dyDescent="0.2">
      <c r="B46" s="276" t="s">
        <v>130</v>
      </c>
      <c r="C46" s="248">
        <v>231600</v>
      </c>
      <c r="D46" s="248">
        <v>426000</v>
      </c>
      <c r="E46" s="248">
        <v>687600</v>
      </c>
      <c r="F46" s="248">
        <v>1021200</v>
      </c>
      <c r="G46" s="248">
        <v>1432800</v>
      </c>
    </row>
    <row r="47" spans="2:7" x14ac:dyDescent="0.2">
      <c r="B47" s="276" t="s">
        <v>1121</v>
      </c>
      <c r="C47" s="248">
        <v>231600</v>
      </c>
      <c r="D47" s="248">
        <v>426000</v>
      </c>
      <c r="E47" s="248">
        <v>687600</v>
      </c>
      <c r="F47" s="248">
        <v>1021200</v>
      </c>
      <c r="G47" s="248">
        <v>1432800</v>
      </c>
    </row>
    <row r="49" spans="1:22" x14ac:dyDescent="0.2">
      <c r="B49" s="176" t="s">
        <v>1084</v>
      </c>
      <c r="H49" s="277">
        <v>0.95</v>
      </c>
    </row>
    <row r="51" spans="1:22" ht="12.75" customHeight="1" x14ac:dyDescent="0.2">
      <c r="B51" s="527" t="s">
        <v>1084</v>
      </c>
      <c r="C51" s="510" t="s">
        <v>1085</v>
      </c>
      <c r="D51" s="510" t="s">
        <v>359</v>
      </c>
      <c r="E51" s="510" t="s">
        <v>360</v>
      </c>
      <c r="F51" s="510" t="s">
        <v>1122</v>
      </c>
      <c r="G51" s="510" t="s">
        <v>1086</v>
      </c>
      <c r="H51" s="510" t="s">
        <v>1123</v>
      </c>
      <c r="I51" s="510" t="s">
        <v>1125</v>
      </c>
      <c r="J51" s="510" t="s">
        <v>1126</v>
      </c>
      <c r="K51" s="510" t="s">
        <v>1124</v>
      </c>
      <c r="L51" s="510" t="s">
        <v>1922</v>
      </c>
      <c r="O51" s="510" t="s">
        <v>1402</v>
      </c>
      <c r="P51" s="510" t="s">
        <v>1403</v>
      </c>
      <c r="Q51" s="510" t="s">
        <v>1167</v>
      </c>
    </row>
    <row r="52" spans="1:22" x14ac:dyDescent="0.2">
      <c r="B52" s="527"/>
      <c r="C52" s="510"/>
      <c r="D52" s="510"/>
      <c r="E52" s="510"/>
      <c r="F52" s="510"/>
      <c r="G52" s="510"/>
      <c r="H52" s="510"/>
      <c r="I52" s="510"/>
      <c r="J52" s="510"/>
      <c r="K52" s="510"/>
      <c r="L52" s="510"/>
      <c r="O52" s="510"/>
      <c r="P52" s="510"/>
      <c r="Q52" s="510"/>
    </row>
    <row r="53" spans="1:22" x14ac:dyDescent="0.2">
      <c r="B53" s="244" t="s">
        <v>543</v>
      </c>
      <c r="C53" s="275">
        <f>1/P53</f>
        <v>8.3333333333333332E-3</v>
      </c>
      <c r="D53" s="164">
        <v>0.9</v>
      </c>
      <c r="E53" s="164">
        <v>0.9</v>
      </c>
      <c r="F53" s="275">
        <f>C53/(D53*E53)</f>
        <v>1.0288065843621399E-2</v>
      </c>
      <c r="G53" s="177">
        <f>(168.92)+(63.17)</f>
        <v>232.08999999999997</v>
      </c>
      <c r="H53" s="248">
        <f>G53/$H$49</f>
        <v>244.30526315789473</v>
      </c>
      <c r="I53" s="248">
        <v>2</v>
      </c>
      <c r="J53" s="278">
        <f>I53/H53</f>
        <v>8.1864793829979753E-3</v>
      </c>
      <c r="K53" s="177">
        <f>F53/J53</f>
        <v>1.256714316655837</v>
      </c>
      <c r="L53" s="248">
        <f>ROUNDUP(K53,0)</f>
        <v>2</v>
      </c>
      <c r="O53" s="297" t="s">
        <v>543</v>
      </c>
      <c r="P53" s="297">
        <v>120</v>
      </c>
      <c r="Q53" s="297" t="s">
        <v>1404</v>
      </c>
    </row>
    <row r="54" spans="1:22" x14ac:dyDescent="0.2">
      <c r="B54" s="244" t="s">
        <v>628</v>
      </c>
      <c r="C54" s="275">
        <f>1/(P54*8)</f>
        <v>1.6666666666666668E-3</v>
      </c>
      <c r="D54" s="164">
        <v>0.9</v>
      </c>
      <c r="E54" s="164">
        <v>0.9</v>
      </c>
      <c r="F54" s="275">
        <f t="shared" ref="F54:F58" si="10">C54/(D54*E54)</f>
        <v>2.05761316872428E-3</v>
      </c>
      <c r="G54" s="177">
        <f>(129.22)+(359.82)</f>
        <v>489.03999999999996</v>
      </c>
      <c r="H54" s="248">
        <f>G54/$H$49</f>
        <v>514.77894736842109</v>
      </c>
      <c r="I54" s="248">
        <v>2</v>
      </c>
      <c r="J54" s="278">
        <f>I54/H54</f>
        <v>3.8851627678717486E-3</v>
      </c>
      <c r="K54" s="177">
        <f t="shared" ref="K54:K58" si="11">F54/J54</f>
        <v>0.52960797054364317</v>
      </c>
      <c r="L54" s="248">
        <f>ROUNDUP(K54,0)</f>
        <v>1</v>
      </c>
      <c r="O54" s="297" t="s">
        <v>628</v>
      </c>
      <c r="P54" s="297">
        <v>75</v>
      </c>
      <c r="Q54" s="297" t="s">
        <v>1405</v>
      </c>
      <c r="R54" s="9" t="s">
        <v>1406</v>
      </c>
    </row>
    <row r="55" spans="1:22" x14ac:dyDescent="0.2">
      <c r="B55" s="244" t="s">
        <v>1079</v>
      </c>
      <c r="C55" s="275">
        <f>1/(8*P55)</f>
        <v>5.0000000000000001E-3</v>
      </c>
      <c r="D55" s="164">
        <v>0.9</v>
      </c>
      <c r="E55" s="164">
        <v>0.9</v>
      </c>
      <c r="F55" s="275">
        <f t="shared" si="10"/>
        <v>6.1728395061728392E-3</v>
      </c>
      <c r="G55" s="177">
        <f>(129.22)</f>
        <v>129.22</v>
      </c>
      <c r="H55" s="248">
        <f>G55/$H$49</f>
        <v>136.02105263157895</v>
      </c>
      <c r="I55" s="248">
        <v>2</v>
      </c>
      <c r="J55" s="278">
        <f>I55/H55</f>
        <v>1.4703606252902027E-2</v>
      </c>
      <c r="K55" s="177">
        <f t="shared" si="11"/>
        <v>0.41981806367771279</v>
      </c>
      <c r="L55" s="248">
        <f>ROUNDUP(K55,0)</f>
        <v>1</v>
      </c>
      <c r="O55" s="297" t="s">
        <v>1079</v>
      </c>
      <c r="P55" s="297">
        <v>25</v>
      </c>
      <c r="Q55" s="297" t="s">
        <v>1405</v>
      </c>
      <c r="R55" s="9" t="s">
        <v>1406</v>
      </c>
    </row>
    <row r="56" spans="1:22" x14ac:dyDescent="0.2">
      <c r="B56" s="244" t="s">
        <v>544</v>
      </c>
      <c r="C56" s="275">
        <f>1/P56</f>
        <v>2E-3</v>
      </c>
      <c r="D56" s="164">
        <v>0.9</v>
      </c>
      <c r="E56" s="164">
        <v>0.9</v>
      </c>
      <c r="F56" s="275">
        <f t="shared" si="10"/>
        <v>2.4691358024691358E-3</v>
      </c>
      <c r="G56" s="177">
        <f>(129.22)</f>
        <v>129.22</v>
      </c>
      <c r="H56" s="248">
        <f>G56/$H$49</f>
        <v>136.02105263157895</v>
      </c>
      <c r="I56" s="248">
        <v>2</v>
      </c>
      <c r="J56" s="278">
        <f>I56/H56</f>
        <v>1.4703606252902027E-2</v>
      </c>
      <c r="K56" s="177">
        <f t="shared" si="11"/>
        <v>0.16792722547108513</v>
      </c>
      <c r="L56" s="248">
        <f>ROUNDUP(K56,0)</f>
        <v>1</v>
      </c>
      <c r="O56" s="297" t="s">
        <v>544</v>
      </c>
      <c r="P56" s="297">
        <v>500</v>
      </c>
      <c r="Q56" s="297" t="s">
        <v>1404</v>
      </c>
    </row>
    <row r="57" spans="1:22" x14ac:dyDescent="0.2">
      <c r="B57" s="244" t="s">
        <v>586</v>
      </c>
      <c r="C57" s="275">
        <f>1/(0.3*P57)</f>
        <v>1.8518518518518519E-3</v>
      </c>
      <c r="D57" s="164">
        <v>0.9</v>
      </c>
      <c r="E57" s="164">
        <v>0.9</v>
      </c>
      <c r="F57" s="275">
        <f t="shared" si="10"/>
        <v>2.2862368541380885E-3</v>
      </c>
      <c r="G57" s="177">
        <f>(351.04)</f>
        <v>351.04</v>
      </c>
      <c r="H57" s="248">
        <f t="shared" ref="H57:H58" si="12">G57/$H$49</f>
        <v>369.51578947368426</v>
      </c>
      <c r="I57" s="248">
        <v>2</v>
      </c>
      <c r="J57" s="278">
        <f t="shared" ref="J57:J58" si="13">I57/H57</f>
        <v>5.4124886052871459E-3</v>
      </c>
      <c r="K57" s="177">
        <f t="shared" si="11"/>
        <v>0.42240030804033407</v>
      </c>
      <c r="L57" s="248">
        <f t="shared" ref="L57:L58" si="14">ROUNDUP(K57,0)</f>
        <v>1</v>
      </c>
      <c r="O57" s="297" t="s">
        <v>586</v>
      </c>
      <c r="P57" s="298">
        <v>1800</v>
      </c>
      <c r="Q57" s="297" t="s">
        <v>1407</v>
      </c>
    </row>
    <row r="58" spans="1:22" x14ac:dyDescent="0.2">
      <c r="B58" s="244" t="s">
        <v>755</v>
      </c>
      <c r="C58" s="275">
        <f>1/(P58*0.3)</f>
        <v>4.6296296296296294E-3</v>
      </c>
      <c r="D58" s="164">
        <v>0.9</v>
      </c>
      <c r="E58" s="164">
        <v>0.9</v>
      </c>
      <c r="F58" s="275">
        <f t="shared" si="10"/>
        <v>5.7155921353452214E-3</v>
      </c>
      <c r="G58" s="177">
        <f>(351.04)</f>
        <v>351.04</v>
      </c>
      <c r="H58" s="248">
        <f t="shared" si="12"/>
        <v>369.51578947368426</v>
      </c>
      <c r="I58" s="248">
        <v>2</v>
      </c>
      <c r="J58" s="278">
        <f t="shared" si="13"/>
        <v>5.4124886052871459E-3</v>
      </c>
      <c r="K58" s="177">
        <f t="shared" si="11"/>
        <v>1.0560007701008352</v>
      </c>
      <c r="L58" s="248">
        <f t="shared" si="14"/>
        <v>2</v>
      </c>
      <c r="O58" s="297" t="s">
        <v>755</v>
      </c>
      <c r="P58" s="297">
        <v>720</v>
      </c>
      <c r="Q58" s="297" t="s">
        <v>1407</v>
      </c>
    </row>
    <row r="60" spans="1:22" x14ac:dyDescent="0.2">
      <c r="B60" s="176" t="s">
        <v>1127</v>
      </c>
    </row>
    <row r="61" spans="1:22" x14ac:dyDescent="0.2">
      <c r="B61" s="9" t="s">
        <v>147</v>
      </c>
      <c r="E61" s="299"/>
      <c r="F61" s="299"/>
      <c r="G61" s="299"/>
      <c r="H61" s="299"/>
      <c r="I61" s="299"/>
      <c r="J61" s="299"/>
      <c r="K61" s="299"/>
    </row>
    <row r="62" spans="1:22" x14ac:dyDescent="0.2">
      <c r="E62" s="299"/>
      <c r="F62" s="299"/>
      <c r="G62" s="299"/>
      <c r="H62" s="299"/>
      <c r="I62" s="299"/>
      <c r="J62" s="299"/>
      <c r="K62" s="299"/>
    </row>
    <row r="63" spans="1:22" ht="12.75" customHeight="1" x14ac:dyDescent="0.2">
      <c r="B63" s="527" t="s">
        <v>358</v>
      </c>
      <c r="C63" s="527" t="s">
        <v>1129</v>
      </c>
      <c r="D63" s="510" t="s">
        <v>1085</v>
      </c>
      <c r="E63" s="510" t="s">
        <v>359</v>
      </c>
      <c r="F63" s="510" t="s">
        <v>360</v>
      </c>
      <c r="G63" s="510" t="s">
        <v>1122</v>
      </c>
      <c r="H63" s="510" t="s">
        <v>1134</v>
      </c>
      <c r="I63" s="510" t="s">
        <v>1123</v>
      </c>
      <c r="J63" s="510" t="s">
        <v>1125</v>
      </c>
      <c r="K63" s="510" t="s">
        <v>1135</v>
      </c>
      <c r="L63" s="510" t="s">
        <v>1136</v>
      </c>
      <c r="M63" s="510" t="s">
        <v>1137</v>
      </c>
      <c r="O63" s="510" t="s">
        <v>1408</v>
      </c>
      <c r="P63" s="510" t="s">
        <v>1409</v>
      </c>
      <c r="Q63" s="510" t="s">
        <v>1167</v>
      </c>
      <c r="T63" s="510" t="s">
        <v>358</v>
      </c>
      <c r="U63" s="510" t="s">
        <v>1418</v>
      </c>
      <c r="V63" s="504" t="s">
        <v>1440</v>
      </c>
    </row>
    <row r="64" spans="1:22" x14ac:dyDescent="0.2">
      <c r="A64" s="299"/>
      <c r="B64" s="527"/>
      <c r="C64" s="527"/>
      <c r="D64" s="510"/>
      <c r="E64" s="510"/>
      <c r="F64" s="510"/>
      <c r="G64" s="510"/>
      <c r="H64" s="510"/>
      <c r="I64" s="510"/>
      <c r="J64" s="510"/>
      <c r="K64" s="510"/>
      <c r="L64" s="510"/>
      <c r="M64" s="510"/>
      <c r="O64" s="510"/>
      <c r="P64" s="510"/>
      <c r="Q64" s="510"/>
      <c r="T64" s="510"/>
      <c r="U64" s="510"/>
      <c r="V64" s="506"/>
    </row>
    <row r="65" spans="1:22" x14ac:dyDescent="0.2">
      <c r="A65" s="299"/>
      <c r="B65" s="244" t="s">
        <v>1059</v>
      </c>
      <c r="C65" s="244" t="s">
        <v>1130</v>
      </c>
      <c r="D65" s="275">
        <f>1/P65</f>
        <v>2.960331557134399E-3</v>
      </c>
      <c r="E65" s="164">
        <v>0.9</v>
      </c>
      <c r="F65" s="164" t="s">
        <v>161</v>
      </c>
      <c r="G65" s="275">
        <f>D65/(E65)</f>
        <v>3.2892572857048876E-3</v>
      </c>
      <c r="H65" s="248">
        <v>151.19999999999999</v>
      </c>
      <c r="I65" s="248">
        <f>H65/$H$49</f>
        <v>159.15789473684211</v>
      </c>
      <c r="J65" s="244">
        <v>2</v>
      </c>
      <c r="K65" s="275">
        <f>J65/I65</f>
        <v>1.2566137566137565E-2</v>
      </c>
      <c r="L65" s="164">
        <f>G65/K65</f>
        <v>0.26175563242030475</v>
      </c>
      <c r="M65" s="164">
        <f>ROUNDUP(L65,0)</f>
        <v>1</v>
      </c>
      <c r="O65" s="195" t="s">
        <v>1059</v>
      </c>
      <c r="P65" s="279">
        <v>337.8</v>
      </c>
      <c r="Q65" s="297" t="s">
        <v>1411</v>
      </c>
      <c r="R65" s="9" t="s">
        <v>1412</v>
      </c>
      <c r="T65" s="195" t="s">
        <v>1059</v>
      </c>
      <c r="U65" s="298">
        <f t="shared" ref="U65:U81" si="15">((L65*2)/M65)*60</f>
        <v>31.410675890436572</v>
      </c>
      <c r="V65" s="300">
        <f>U65/10</f>
        <v>3.141067589043657</v>
      </c>
    </row>
    <row r="66" spans="1:22" ht="12.75" customHeight="1" x14ac:dyDescent="0.2">
      <c r="A66" s="299"/>
      <c r="B66" s="244" t="s">
        <v>1060</v>
      </c>
      <c r="C66" s="244" t="s">
        <v>1130</v>
      </c>
      <c r="D66" s="275">
        <f>1/P66</f>
        <v>4.4404973357015992E-3</v>
      </c>
      <c r="E66" s="164">
        <v>0.9</v>
      </c>
      <c r="F66" s="164" t="s">
        <v>161</v>
      </c>
      <c r="G66" s="275">
        <f t="shared" ref="G66:G68" si="16">D66/(E66)</f>
        <v>4.9338859285573324E-3</v>
      </c>
      <c r="H66" s="248">
        <v>151.19999999999999</v>
      </c>
      <c r="I66" s="248">
        <f t="shared" ref="I66:I81" si="17">H66/$H$49</f>
        <v>159.15789473684211</v>
      </c>
      <c r="J66" s="244">
        <v>2</v>
      </c>
      <c r="K66" s="275">
        <f t="shared" ref="K66:K81" si="18">J66/I66</f>
        <v>1.2566137566137565E-2</v>
      </c>
      <c r="L66" s="164">
        <f t="shared" ref="L66:L81" si="19">G66/K66</f>
        <v>0.39263344863045724</v>
      </c>
      <c r="M66" s="164">
        <f t="shared" ref="M66:M81" si="20">ROUNDUP(L66,0)</f>
        <v>1</v>
      </c>
      <c r="O66" s="195" t="s">
        <v>1060</v>
      </c>
      <c r="P66" s="279">
        <v>225.2</v>
      </c>
      <c r="Q66" s="297" t="s">
        <v>1411</v>
      </c>
      <c r="R66" s="9" t="s">
        <v>1413</v>
      </c>
      <c r="T66" s="195" t="s">
        <v>1060</v>
      </c>
      <c r="U66" s="298">
        <f t="shared" si="15"/>
        <v>47.116013835654869</v>
      </c>
      <c r="V66" s="300">
        <f>U66/10</f>
        <v>4.7116013835654869</v>
      </c>
    </row>
    <row r="67" spans="1:22" x14ac:dyDescent="0.2">
      <c r="A67" s="299"/>
      <c r="B67" s="244" t="s">
        <v>1070</v>
      </c>
      <c r="C67" s="244" t="s">
        <v>1130</v>
      </c>
      <c r="D67" s="275">
        <f>1/P67</f>
        <v>8.3333333333333332E-3</v>
      </c>
      <c r="E67" s="164">
        <v>0.9</v>
      </c>
      <c r="F67" s="164">
        <v>0.9</v>
      </c>
      <c r="G67" s="275">
        <f>D67/(E67*F67)</f>
        <v>1.0288065843621399E-2</v>
      </c>
      <c r="H67" s="248">
        <v>151.19999999999999</v>
      </c>
      <c r="I67" s="248">
        <f t="shared" si="17"/>
        <v>159.15789473684211</v>
      </c>
      <c r="J67" s="244">
        <v>2</v>
      </c>
      <c r="K67" s="275">
        <f t="shared" si="18"/>
        <v>1.2566137566137565E-2</v>
      </c>
      <c r="L67" s="164">
        <f t="shared" si="19"/>
        <v>0.81871345029239773</v>
      </c>
      <c r="M67" s="164">
        <f t="shared" si="20"/>
        <v>1</v>
      </c>
      <c r="O67" s="195" t="s">
        <v>543</v>
      </c>
      <c r="P67" s="297">
        <v>120</v>
      </c>
      <c r="Q67" s="297" t="s">
        <v>1404</v>
      </c>
      <c r="T67" s="195" t="s">
        <v>543</v>
      </c>
      <c r="U67" s="298">
        <f t="shared" si="15"/>
        <v>98.245614035087726</v>
      </c>
      <c r="V67" s="300">
        <v>24.561403508771932</v>
      </c>
    </row>
    <row r="68" spans="1:22" x14ac:dyDescent="0.2">
      <c r="A68" s="299"/>
      <c r="B68" s="244" t="s">
        <v>773</v>
      </c>
      <c r="C68" s="244" t="s">
        <v>1130</v>
      </c>
      <c r="D68" s="275">
        <f>1/P68</f>
        <v>5.9523809523809521E-2</v>
      </c>
      <c r="E68" s="164">
        <v>0.9</v>
      </c>
      <c r="F68" s="164" t="s">
        <v>161</v>
      </c>
      <c r="G68" s="275">
        <f t="shared" si="16"/>
        <v>6.6137566137566134E-2</v>
      </c>
      <c r="H68" s="248">
        <v>151.19999999999999</v>
      </c>
      <c r="I68" s="248">
        <f t="shared" si="17"/>
        <v>159.15789473684211</v>
      </c>
      <c r="J68" s="244">
        <v>2</v>
      </c>
      <c r="K68" s="275">
        <f t="shared" si="18"/>
        <v>1.2566137566137565E-2</v>
      </c>
      <c r="L68" s="164">
        <f t="shared" si="19"/>
        <v>5.2631578947368425</v>
      </c>
      <c r="M68" s="164">
        <f t="shared" si="20"/>
        <v>6</v>
      </c>
      <c r="O68" s="195" t="s">
        <v>773</v>
      </c>
      <c r="P68" s="279">
        <v>16.8</v>
      </c>
      <c r="Q68" s="297" t="s">
        <v>1411</v>
      </c>
      <c r="R68" s="9" t="s">
        <v>1430</v>
      </c>
      <c r="T68" s="195" t="s">
        <v>773</v>
      </c>
      <c r="U68" s="298">
        <f t="shared" si="15"/>
        <v>105.26315789473685</v>
      </c>
      <c r="V68" s="300">
        <f>(U68*2)/10</f>
        <v>21.05263157894737</v>
      </c>
    </row>
    <row r="69" spans="1:22" x14ac:dyDescent="0.2">
      <c r="A69" s="299"/>
      <c r="B69" s="244" t="s">
        <v>774</v>
      </c>
      <c r="C69" s="244" t="s">
        <v>1130</v>
      </c>
      <c r="D69" s="275">
        <f>1/(P69*8)</f>
        <v>1.6666666666666668E-3</v>
      </c>
      <c r="E69" s="164">
        <v>0.9</v>
      </c>
      <c r="F69" s="164">
        <v>0.9</v>
      </c>
      <c r="G69" s="275">
        <f t="shared" ref="G69:G80" si="21">D69/(E69*F69)</f>
        <v>2.05761316872428E-3</v>
      </c>
      <c r="H69" s="248">
        <v>131.33000000000001</v>
      </c>
      <c r="I69" s="248">
        <f t="shared" si="17"/>
        <v>138.24210526315792</v>
      </c>
      <c r="J69" s="244">
        <v>2</v>
      </c>
      <c r="K69" s="275">
        <f t="shared" si="18"/>
        <v>1.4467372268331681E-2</v>
      </c>
      <c r="L69" s="164">
        <f t="shared" si="19"/>
        <v>0.14222438813082092</v>
      </c>
      <c r="M69" s="164">
        <f t="shared" si="20"/>
        <v>1</v>
      </c>
      <c r="O69" s="195" t="s">
        <v>628</v>
      </c>
      <c r="P69" s="297">
        <v>75</v>
      </c>
      <c r="Q69" s="297" t="s">
        <v>1405</v>
      </c>
      <c r="T69" s="195" t="s">
        <v>628</v>
      </c>
      <c r="U69" s="298">
        <f t="shared" si="15"/>
        <v>17.06692657569851</v>
      </c>
      <c r="V69" s="300">
        <v>4</v>
      </c>
    </row>
    <row r="70" spans="1:22" x14ac:dyDescent="0.2">
      <c r="A70" s="299"/>
      <c r="B70" s="244" t="s">
        <v>1061</v>
      </c>
      <c r="C70" s="244" t="s">
        <v>1130</v>
      </c>
      <c r="D70" s="275">
        <f>1/(8*P70)</f>
        <v>5.0000000000000001E-3</v>
      </c>
      <c r="E70" s="164">
        <v>0.9</v>
      </c>
      <c r="F70" s="164">
        <v>0.9</v>
      </c>
      <c r="G70" s="275">
        <f t="shared" si="21"/>
        <v>6.1728395061728392E-3</v>
      </c>
      <c r="H70" s="298">
        <v>131.33000000000001</v>
      </c>
      <c r="I70" s="248">
        <f t="shared" si="17"/>
        <v>138.24210526315792</v>
      </c>
      <c r="J70" s="244">
        <v>2</v>
      </c>
      <c r="K70" s="275">
        <f t="shared" si="18"/>
        <v>1.4467372268331681E-2</v>
      </c>
      <c r="L70" s="164">
        <f t="shared" si="19"/>
        <v>0.42667316439246272</v>
      </c>
      <c r="M70" s="164">
        <f t="shared" si="20"/>
        <v>1</v>
      </c>
      <c r="O70" s="195" t="s">
        <v>1079</v>
      </c>
      <c r="P70" s="297">
        <v>25</v>
      </c>
      <c r="Q70" s="297" t="s">
        <v>1405</v>
      </c>
      <c r="T70" s="195" t="s">
        <v>1079</v>
      </c>
      <c r="U70" s="298">
        <f t="shared" si="15"/>
        <v>51.200779727095529</v>
      </c>
      <c r="V70" s="300">
        <v>13</v>
      </c>
    </row>
    <row r="71" spans="1:22" x14ac:dyDescent="0.2">
      <c r="A71" s="299"/>
      <c r="B71" s="244" t="s">
        <v>775</v>
      </c>
      <c r="C71" s="244" t="s">
        <v>1130</v>
      </c>
      <c r="D71" s="275">
        <f t="shared" ref="D71:D76" si="22">1/P71</f>
        <v>2E-3</v>
      </c>
      <c r="E71" s="164">
        <v>0.9</v>
      </c>
      <c r="F71" s="164">
        <v>0.9</v>
      </c>
      <c r="G71" s="275">
        <f t="shared" si="21"/>
        <v>2.4691358024691358E-3</v>
      </c>
      <c r="H71" s="298">
        <v>131.33000000000001</v>
      </c>
      <c r="I71" s="248">
        <f t="shared" si="17"/>
        <v>138.24210526315792</v>
      </c>
      <c r="J71" s="244">
        <v>2</v>
      </c>
      <c r="K71" s="275">
        <f t="shared" si="18"/>
        <v>1.4467372268331681E-2</v>
      </c>
      <c r="L71" s="164">
        <f t="shared" si="19"/>
        <v>0.17066926575698507</v>
      </c>
      <c r="M71" s="164">
        <f t="shared" si="20"/>
        <v>1</v>
      </c>
      <c r="O71" s="195" t="s">
        <v>544</v>
      </c>
      <c r="P71" s="297">
        <v>500</v>
      </c>
      <c r="Q71" s="297" t="s">
        <v>1404</v>
      </c>
      <c r="T71" s="195" t="s">
        <v>544</v>
      </c>
      <c r="U71" s="298">
        <f t="shared" si="15"/>
        <v>20.480311890838209</v>
      </c>
      <c r="V71" s="300">
        <v>5</v>
      </c>
    </row>
    <row r="72" spans="1:22" ht="12.75" customHeight="1" x14ac:dyDescent="0.2">
      <c r="A72" s="299"/>
      <c r="B72" s="244" t="s">
        <v>1059</v>
      </c>
      <c r="C72" s="244" t="s">
        <v>1131</v>
      </c>
      <c r="D72" s="275">
        <f t="shared" si="22"/>
        <v>5.3248136315228968E-3</v>
      </c>
      <c r="E72" s="164">
        <v>0.9</v>
      </c>
      <c r="F72" s="164" t="s">
        <v>161</v>
      </c>
      <c r="G72" s="275">
        <f>D72/(E72)</f>
        <v>5.9164595905809962E-3</v>
      </c>
      <c r="H72" s="248">
        <v>59.62</v>
      </c>
      <c r="I72" s="248">
        <f t="shared" si="17"/>
        <v>62.757894736842104</v>
      </c>
      <c r="J72" s="244">
        <v>2</v>
      </c>
      <c r="K72" s="275">
        <f t="shared" si="18"/>
        <v>3.1868500503186847E-2</v>
      </c>
      <c r="L72" s="164">
        <f t="shared" si="19"/>
        <v>0.18565227410023105</v>
      </c>
      <c r="M72" s="164">
        <f t="shared" si="20"/>
        <v>1</v>
      </c>
      <c r="O72" s="297" t="s">
        <v>1059</v>
      </c>
      <c r="P72" s="279">
        <v>187.8</v>
      </c>
      <c r="Q72" s="297" t="s">
        <v>1404</v>
      </c>
      <c r="R72" s="9" t="s">
        <v>1414</v>
      </c>
      <c r="T72" s="297" t="s">
        <v>1059</v>
      </c>
      <c r="U72" s="298">
        <f t="shared" si="15"/>
        <v>22.278272892027726</v>
      </c>
      <c r="V72" s="300">
        <f>U72/10</f>
        <v>2.2278272892027724</v>
      </c>
    </row>
    <row r="73" spans="1:22" x14ac:dyDescent="0.2">
      <c r="A73" s="299"/>
      <c r="B73" s="244" t="s">
        <v>1060</v>
      </c>
      <c r="C73" s="244" t="s">
        <v>1131</v>
      </c>
      <c r="D73" s="275">
        <f t="shared" si="22"/>
        <v>7.9872204472843447E-3</v>
      </c>
      <c r="E73" s="164">
        <v>0.9</v>
      </c>
      <c r="F73" s="164" t="s">
        <v>161</v>
      </c>
      <c r="G73" s="275">
        <f t="shared" ref="G73:G76" si="23">D73/(E73)</f>
        <v>8.8746893858714943E-3</v>
      </c>
      <c r="H73" s="298">
        <v>66.989999999999995</v>
      </c>
      <c r="I73" s="248">
        <f t="shared" si="17"/>
        <v>70.515789473684208</v>
      </c>
      <c r="J73" s="244">
        <v>2</v>
      </c>
      <c r="K73" s="275">
        <f t="shared" si="18"/>
        <v>2.8362442155545606E-2</v>
      </c>
      <c r="L73" s="164">
        <f t="shared" si="19"/>
        <v>0.31290286418922703</v>
      </c>
      <c r="M73" s="164">
        <f t="shared" si="20"/>
        <v>1</v>
      </c>
      <c r="O73" s="297" t="s">
        <v>1060</v>
      </c>
      <c r="P73" s="279">
        <f>125.2</f>
        <v>125.2</v>
      </c>
      <c r="Q73" s="297" t="s">
        <v>1404</v>
      </c>
      <c r="R73" s="9" t="s">
        <v>1415</v>
      </c>
      <c r="T73" s="297" t="s">
        <v>1060</v>
      </c>
      <c r="U73" s="298">
        <f t="shared" si="15"/>
        <v>37.548343702707243</v>
      </c>
      <c r="V73" s="300">
        <f>U73/10</f>
        <v>3.7548343702707241</v>
      </c>
    </row>
    <row r="74" spans="1:22" x14ac:dyDescent="0.2">
      <c r="A74" s="299"/>
      <c r="B74" s="244" t="s">
        <v>1070</v>
      </c>
      <c r="C74" s="244" t="s">
        <v>1131</v>
      </c>
      <c r="D74" s="275">
        <f t="shared" si="22"/>
        <v>8.3333333333333332E-3</v>
      </c>
      <c r="E74" s="164">
        <v>0.9</v>
      </c>
      <c r="F74" s="164">
        <v>0.9</v>
      </c>
      <c r="G74" s="275">
        <f>D74/(E74*F74)</f>
        <v>1.0288065843621399E-2</v>
      </c>
      <c r="H74" s="298">
        <v>66.989999999999995</v>
      </c>
      <c r="I74" s="248">
        <f t="shared" si="17"/>
        <v>70.515789473684208</v>
      </c>
      <c r="J74" s="244">
        <v>2</v>
      </c>
      <c r="K74" s="275">
        <f t="shared" si="18"/>
        <v>2.8362442155545606E-2</v>
      </c>
      <c r="L74" s="164">
        <f t="shared" si="19"/>
        <v>0.36273554256010393</v>
      </c>
      <c r="M74" s="164">
        <f t="shared" si="20"/>
        <v>1</v>
      </c>
      <c r="O74" s="297" t="s">
        <v>543</v>
      </c>
      <c r="P74" s="297">
        <v>120</v>
      </c>
      <c r="Q74" s="297" t="s">
        <v>1404</v>
      </c>
      <c r="T74" s="297" t="s">
        <v>543</v>
      </c>
      <c r="U74" s="298">
        <f t="shared" si="15"/>
        <v>43.528265107212469</v>
      </c>
      <c r="V74" s="300">
        <v>11</v>
      </c>
    </row>
    <row r="75" spans="1:22" x14ac:dyDescent="0.2">
      <c r="A75" s="299"/>
      <c r="B75" s="244" t="s">
        <v>773</v>
      </c>
      <c r="C75" s="244" t="s">
        <v>1131</v>
      </c>
      <c r="D75" s="275">
        <f t="shared" si="22"/>
        <v>0.13303179459890913</v>
      </c>
      <c r="E75" s="164">
        <v>0.9</v>
      </c>
      <c r="F75" s="164" t="s">
        <v>161</v>
      </c>
      <c r="G75" s="275">
        <f t="shared" si="23"/>
        <v>0.14781310510989903</v>
      </c>
      <c r="H75" s="298">
        <v>66.989999999999995</v>
      </c>
      <c r="I75" s="248">
        <f t="shared" si="17"/>
        <v>70.515789473684208</v>
      </c>
      <c r="J75" s="244">
        <v>2</v>
      </c>
      <c r="K75" s="275">
        <f t="shared" si="18"/>
        <v>2.8362442155545606E-2</v>
      </c>
      <c r="L75" s="164">
        <f t="shared" si="19"/>
        <v>5.2115789006905979</v>
      </c>
      <c r="M75" s="164">
        <f t="shared" si="20"/>
        <v>6</v>
      </c>
      <c r="O75" s="297" t="s">
        <v>773</v>
      </c>
      <c r="P75" s="279">
        <v>7.5170000000000003</v>
      </c>
      <c r="Q75" s="297" t="s">
        <v>1404</v>
      </c>
      <c r="R75" s="9" t="s">
        <v>1431</v>
      </c>
      <c r="T75" s="297" t="s">
        <v>773</v>
      </c>
      <c r="U75" s="298">
        <f t="shared" si="15"/>
        <v>104.23157801381195</v>
      </c>
      <c r="V75" s="300">
        <f>(U75*2)/10</f>
        <v>20.846315602762392</v>
      </c>
    </row>
    <row r="76" spans="1:22" x14ac:dyDescent="0.2">
      <c r="A76" s="299"/>
      <c r="B76" s="244" t="s">
        <v>1128</v>
      </c>
      <c r="C76" s="244" t="s">
        <v>1132</v>
      </c>
      <c r="D76" s="275">
        <f t="shared" si="22"/>
        <v>1.5151515151515152E-2</v>
      </c>
      <c r="E76" s="164">
        <v>0.9</v>
      </c>
      <c r="F76" s="164" t="s">
        <v>161</v>
      </c>
      <c r="G76" s="275">
        <f t="shared" si="23"/>
        <v>1.6835016835016835E-2</v>
      </c>
      <c r="H76" s="248">
        <v>359.82</v>
      </c>
      <c r="I76" s="248">
        <f t="shared" si="17"/>
        <v>378.7578947368421</v>
      </c>
      <c r="J76" s="244">
        <v>2</v>
      </c>
      <c r="K76" s="275">
        <f t="shared" si="18"/>
        <v>5.280417986771163E-3</v>
      </c>
      <c r="L76" s="164">
        <f t="shared" si="19"/>
        <v>3.1881977671451356</v>
      </c>
      <c r="M76" s="164">
        <f t="shared" si="20"/>
        <v>4</v>
      </c>
      <c r="O76" s="195" t="s">
        <v>1128</v>
      </c>
      <c r="P76" s="297">
        <v>66</v>
      </c>
      <c r="Q76" s="297" t="s">
        <v>1404</v>
      </c>
      <c r="R76" s="9" t="s">
        <v>1416</v>
      </c>
      <c r="T76" s="195" t="s">
        <v>1128</v>
      </c>
      <c r="U76" s="298">
        <f t="shared" si="15"/>
        <v>95.645933014354071</v>
      </c>
      <c r="V76" s="300">
        <f>U76/10</f>
        <v>9.5645933014354068</v>
      </c>
    </row>
    <row r="77" spans="1:22" x14ac:dyDescent="0.2">
      <c r="B77" s="244" t="s">
        <v>777</v>
      </c>
      <c r="C77" s="244" t="s">
        <v>1132</v>
      </c>
      <c r="D77" s="275">
        <f>1/(P77*8)</f>
        <v>1.6666666666666668E-3</v>
      </c>
      <c r="E77" s="164">
        <v>0.9</v>
      </c>
      <c r="F77" s="164">
        <v>0.9</v>
      </c>
      <c r="G77" s="275">
        <f t="shared" si="21"/>
        <v>2.05761316872428E-3</v>
      </c>
      <c r="H77" s="319">
        <v>359.82</v>
      </c>
      <c r="I77" s="248">
        <f t="shared" si="17"/>
        <v>378.7578947368421</v>
      </c>
      <c r="J77" s="244">
        <v>2</v>
      </c>
      <c r="K77" s="275">
        <f t="shared" si="18"/>
        <v>5.280417986771163E-3</v>
      </c>
      <c r="L77" s="164">
        <f t="shared" si="19"/>
        <v>0.3896686159844055</v>
      </c>
      <c r="M77" s="164">
        <f t="shared" si="20"/>
        <v>1</v>
      </c>
      <c r="O77" s="195" t="s">
        <v>628</v>
      </c>
      <c r="P77" s="297">
        <v>75</v>
      </c>
      <c r="Q77" s="297" t="s">
        <v>1405</v>
      </c>
      <c r="T77" s="195" t="s">
        <v>628</v>
      </c>
      <c r="U77" s="298">
        <f t="shared" si="15"/>
        <v>46.760233918128662</v>
      </c>
      <c r="V77" s="300">
        <v>12</v>
      </c>
    </row>
    <row r="78" spans="1:22" x14ac:dyDescent="0.2">
      <c r="B78" s="244" t="s">
        <v>778</v>
      </c>
      <c r="C78" s="244" t="s">
        <v>1133</v>
      </c>
      <c r="D78" s="275">
        <f>1/(0.3*P78)</f>
        <v>1.8518518518518519E-3</v>
      </c>
      <c r="E78" s="164">
        <v>0.9</v>
      </c>
      <c r="F78" s="164">
        <v>0.9</v>
      </c>
      <c r="G78" s="275">
        <f t="shared" si="21"/>
        <v>2.2862368541380885E-3</v>
      </c>
      <c r="H78" s="248">
        <v>351.04</v>
      </c>
      <c r="I78" s="248">
        <f t="shared" si="17"/>
        <v>369.51578947368426</v>
      </c>
      <c r="J78" s="244">
        <v>2</v>
      </c>
      <c r="K78" s="275">
        <f t="shared" si="18"/>
        <v>5.4124886052871459E-3</v>
      </c>
      <c r="L78" s="164">
        <f t="shared" si="19"/>
        <v>0.42240030804033407</v>
      </c>
      <c r="M78" s="164">
        <f t="shared" si="20"/>
        <v>1</v>
      </c>
      <c r="O78" s="195" t="s">
        <v>586</v>
      </c>
      <c r="P78" s="298">
        <v>1800</v>
      </c>
      <c r="Q78" s="297" t="s">
        <v>1407</v>
      </c>
      <c r="T78" s="195" t="s">
        <v>586</v>
      </c>
      <c r="U78" s="298">
        <f t="shared" si="15"/>
        <v>50.688036964840087</v>
      </c>
      <c r="V78" s="300">
        <f>U78/10</f>
        <v>5.0688036964840091</v>
      </c>
    </row>
    <row r="79" spans="1:22" x14ac:dyDescent="0.2">
      <c r="B79" s="244" t="s">
        <v>779</v>
      </c>
      <c r="C79" s="244" t="s">
        <v>1133</v>
      </c>
      <c r="D79" s="275">
        <f>1/P79</f>
        <v>8.3333333333333339E-4</v>
      </c>
      <c r="E79" s="164">
        <v>0.9</v>
      </c>
      <c r="F79" s="164" t="s">
        <v>161</v>
      </c>
      <c r="G79" s="275">
        <f>D79/(E79)</f>
        <v>9.2592592592592596E-4</v>
      </c>
      <c r="H79" s="319">
        <v>351.04</v>
      </c>
      <c r="I79" s="248">
        <f t="shared" si="17"/>
        <v>369.51578947368426</v>
      </c>
      <c r="J79" s="244">
        <v>2</v>
      </c>
      <c r="K79" s="275">
        <f t="shared" si="18"/>
        <v>5.4124886052871459E-3</v>
      </c>
      <c r="L79" s="164">
        <f t="shared" si="19"/>
        <v>0.17107212475633532</v>
      </c>
      <c r="M79" s="164">
        <f t="shared" si="20"/>
        <v>1</v>
      </c>
      <c r="O79" s="195" t="s">
        <v>779</v>
      </c>
      <c r="P79" s="298">
        <v>1200</v>
      </c>
      <c r="Q79" s="297" t="s">
        <v>1407</v>
      </c>
      <c r="R79" s="9" t="s">
        <v>1417</v>
      </c>
      <c r="T79" s="195" t="s">
        <v>779</v>
      </c>
      <c r="U79" s="298">
        <f t="shared" si="15"/>
        <v>20.52865497076024</v>
      </c>
      <c r="V79" s="300">
        <f>U79/10</f>
        <v>2.0528654970760241</v>
      </c>
    </row>
    <row r="80" spans="1:22" x14ac:dyDescent="0.2">
      <c r="B80" s="244" t="s">
        <v>780</v>
      </c>
      <c r="C80" s="244" t="s">
        <v>1133</v>
      </c>
      <c r="D80" s="275">
        <f>1/(0.3*P80)</f>
        <v>4.6296296296296294E-3</v>
      </c>
      <c r="E80" s="164">
        <v>0.9</v>
      </c>
      <c r="F80" s="164">
        <v>0.9</v>
      </c>
      <c r="G80" s="275">
        <f t="shared" si="21"/>
        <v>5.7155921353452214E-3</v>
      </c>
      <c r="H80" s="319">
        <v>351.04</v>
      </c>
      <c r="I80" s="248">
        <f t="shared" si="17"/>
        <v>369.51578947368426</v>
      </c>
      <c r="J80" s="244">
        <v>2</v>
      </c>
      <c r="K80" s="275">
        <f t="shared" si="18"/>
        <v>5.4124886052871459E-3</v>
      </c>
      <c r="L80" s="164">
        <f t="shared" si="19"/>
        <v>1.0560007701008352</v>
      </c>
      <c r="M80" s="164">
        <f t="shared" si="20"/>
        <v>2</v>
      </c>
      <c r="O80" s="195" t="s">
        <v>755</v>
      </c>
      <c r="P80" s="297">
        <v>720</v>
      </c>
      <c r="Q80" s="297" t="s">
        <v>1407</v>
      </c>
      <c r="T80" s="195" t="s">
        <v>755</v>
      </c>
      <c r="U80" s="298">
        <f t="shared" si="15"/>
        <v>63.360046206050107</v>
      </c>
      <c r="V80" s="300">
        <f>U80/10</f>
        <v>6.3360046206050109</v>
      </c>
    </row>
    <row r="81" spans="1:22" x14ac:dyDescent="0.2">
      <c r="B81" s="244" t="s">
        <v>781</v>
      </c>
      <c r="C81" s="244" t="s">
        <v>1133</v>
      </c>
      <c r="D81" s="275">
        <f>1/P81</f>
        <v>8.3333333333333339E-4</v>
      </c>
      <c r="E81" s="164">
        <v>0.9</v>
      </c>
      <c r="F81" s="164" t="s">
        <v>161</v>
      </c>
      <c r="G81" s="275">
        <f>D81/(E81)</f>
        <v>9.2592592592592596E-4</v>
      </c>
      <c r="H81" s="319">
        <v>351.04</v>
      </c>
      <c r="I81" s="248">
        <f t="shared" si="17"/>
        <v>369.51578947368426</v>
      </c>
      <c r="J81" s="244">
        <v>2</v>
      </c>
      <c r="K81" s="275">
        <f t="shared" si="18"/>
        <v>5.4124886052871459E-3</v>
      </c>
      <c r="L81" s="164">
        <f t="shared" si="19"/>
        <v>0.17107212475633532</v>
      </c>
      <c r="M81" s="164">
        <f t="shared" si="20"/>
        <v>1</v>
      </c>
      <c r="O81" s="195" t="s">
        <v>781</v>
      </c>
      <c r="P81" s="298">
        <v>1200</v>
      </c>
      <c r="Q81" s="297" t="s">
        <v>1407</v>
      </c>
      <c r="R81" s="9" t="s">
        <v>1417</v>
      </c>
      <c r="T81" s="195" t="s">
        <v>781</v>
      </c>
      <c r="U81" s="298">
        <f t="shared" si="15"/>
        <v>20.52865497076024</v>
      </c>
      <c r="V81" s="300">
        <f>U81/10</f>
        <v>2.0528654970760241</v>
      </c>
    </row>
    <row r="83" spans="1:22" x14ac:dyDescent="0.2">
      <c r="B83" s="527" t="s">
        <v>358</v>
      </c>
      <c r="C83" s="510" t="s">
        <v>1136</v>
      </c>
      <c r="D83" s="510" t="s">
        <v>1137</v>
      </c>
    </row>
    <row r="84" spans="1:22" x14ac:dyDescent="0.2">
      <c r="B84" s="527"/>
      <c r="C84" s="510"/>
      <c r="D84" s="510"/>
    </row>
    <row r="85" spans="1:22" ht="25.5" x14ac:dyDescent="0.2">
      <c r="B85" s="433" t="s">
        <v>1916</v>
      </c>
      <c r="C85" s="164">
        <f>L65+L66+L67+L68</f>
        <v>6.7362604260800021</v>
      </c>
      <c r="D85" s="164">
        <f>ROUNDUP(C85,0)</f>
        <v>7</v>
      </c>
      <c r="J85" s="9" t="s">
        <v>1923</v>
      </c>
    </row>
    <row r="86" spans="1:22" x14ac:dyDescent="0.2">
      <c r="B86" s="433" t="s">
        <v>1917</v>
      </c>
      <c r="C86" s="164">
        <f>L69+L70+L71</f>
        <v>0.73956681828026871</v>
      </c>
      <c r="D86" s="164">
        <f t="shared" ref="D86:D89" si="24">ROUNDUP(C86,0)</f>
        <v>1</v>
      </c>
    </row>
    <row r="87" spans="1:22" ht="25.5" x14ac:dyDescent="0.2">
      <c r="B87" s="433" t="s">
        <v>1916</v>
      </c>
      <c r="C87" s="164">
        <f>L72+L73+L74+L75</f>
        <v>6.0728695815401599</v>
      </c>
      <c r="D87" s="164">
        <f t="shared" si="24"/>
        <v>7</v>
      </c>
    </row>
    <row r="88" spans="1:22" x14ac:dyDescent="0.2">
      <c r="B88" s="433" t="s">
        <v>1918</v>
      </c>
      <c r="C88" s="164">
        <f>L76+L77</f>
        <v>3.5778663831295412</v>
      </c>
      <c r="D88" s="164">
        <f t="shared" si="24"/>
        <v>4</v>
      </c>
    </row>
    <row r="89" spans="1:22" x14ac:dyDescent="0.2">
      <c r="B89" s="433" t="s">
        <v>1919</v>
      </c>
      <c r="C89" s="164">
        <f>L78+L79+L80+L81</f>
        <v>1.8205453276538399</v>
      </c>
      <c r="D89" s="164">
        <f t="shared" si="24"/>
        <v>2</v>
      </c>
    </row>
    <row r="91" spans="1:22" x14ac:dyDescent="0.2">
      <c r="B91" s="9" t="s">
        <v>148</v>
      </c>
      <c r="E91" s="299"/>
      <c r="F91" s="299"/>
      <c r="G91" s="299"/>
      <c r="H91" s="299"/>
      <c r="I91" s="299"/>
      <c r="J91" s="299"/>
      <c r="K91" s="299"/>
      <c r="L91" s="299"/>
    </row>
    <row r="92" spans="1:22" x14ac:dyDescent="0.2">
      <c r="B92" s="527" t="s">
        <v>358</v>
      </c>
      <c r="C92" s="527" t="s">
        <v>1129</v>
      </c>
      <c r="D92" s="510" t="s">
        <v>1085</v>
      </c>
      <c r="E92" s="510" t="s">
        <v>359</v>
      </c>
      <c r="F92" s="510" t="s">
        <v>360</v>
      </c>
      <c r="G92" s="510" t="s">
        <v>1122</v>
      </c>
      <c r="H92" s="510" t="s">
        <v>1134</v>
      </c>
      <c r="I92" s="510" t="s">
        <v>1123</v>
      </c>
      <c r="J92" s="510" t="s">
        <v>1125</v>
      </c>
      <c r="K92" s="510" t="s">
        <v>1135</v>
      </c>
      <c r="L92" s="510" t="s">
        <v>1136</v>
      </c>
      <c r="M92" s="510" t="s">
        <v>1141</v>
      </c>
      <c r="O92" s="510" t="s">
        <v>1408</v>
      </c>
      <c r="P92" s="510" t="s">
        <v>1409</v>
      </c>
      <c r="Q92" s="510" t="s">
        <v>1167</v>
      </c>
      <c r="T92" s="510" t="s">
        <v>358</v>
      </c>
      <c r="U92" s="510" t="s">
        <v>1418</v>
      </c>
      <c r="V92" s="510" t="s">
        <v>1440</v>
      </c>
    </row>
    <row r="93" spans="1:22" x14ac:dyDescent="0.2">
      <c r="A93" s="299"/>
      <c r="B93" s="527"/>
      <c r="C93" s="527"/>
      <c r="D93" s="510"/>
      <c r="E93" s="510"/>
      <c r="F93" s="510"/>
      <c r="G93" s="510"/>
      <c r="H93" s="510"/>
      <c r="I93" s="510"/>
      <c r="J93" s="510"/>
      <c r="K93" s="510"/>
      <c r="L93" s="510"/>
      <c r="M93" s="510"/>
      <c r="O93" s="510"/>
      <c r="P93" s="510"/>
      <c r="Q93" s="510"/>
      <c r="T93" s="510"/>
      <c r="U93" s="510"/>
      <c r="V93" s="510"/>
    </row>
    <row r="94" spans="1:22" x14ac:dyDescent="0.2">
      <c r="A94" s="299"/>
      <c r="B94" s="244" t="s">
        <v>1059</v>
      </c>
      <c r="C94" s="244" t="s">
        <v>1138</v>
      </c>
      <c r="D94" s="275">
        <f>1/P94</f>
        <v>4.2408821034775231E-3</v>
      </c>
      <c r="E94" s="164">
        <v>0.9</v>
      </c>
      <c r="F94" s="164" t="s">
        <v>161</v>
      </c>
      <c r="G94" s="275">
        <f>D94/(E94)</f>
        <v>4.7120912260861366E-3</v>
      </c>
      <c r="H94" s="248">
        <v>168.58</v>
      </c>
      <c r="I94" s="248">
        <f>H94/$H$49</f>
        <v>177.4526315789474</v>
      </c>
      <c r="J94" s="244">
        <v>2</v>
      </c>
      <c r="K94" s="275">
        <f>J94/I94</f>
        <v>1.1270613358642779E-2</v>
      </c>
      <c r="L94" s="164">
        <f>G94/K94</f>
        <v>0.41808649415452687</v>
      </c>
      <c r="M94" s="164">
        <f>ROUNDUP(L94,0)</f>
        <v>1</v>
      </c>
      <c r="O94" s="195" t="s">
        <v>1059</v>
      </c>
      <c r="P94" s="279">
        <v>235.8</v>
      </c>
      <c r="Q94" s="297" t="s">
        <v>1411</v>
      </c>
      <c r="R94" s="9" t="s">
        <v>1441</v>
      </c>
      <c r="T94" s="195" t="s">
        <v>1059</v>
      </c>
      <c r="U94" s="298">
        <f t="shared" ref="U94:U110" si="25">((L94*2)/M94)*60</f>
        <v>50.170379298543224</v>
      </c>
      <c r="V94" s="300">
        <f>U94/10</f>
        <v>5.0170379298543226</v>
      </c>
    </row>
    <row r="95" spans="1:22" x14ac:dyDescent="0.2">
      <c r="A95" s="299"/>
      <c r="B95" s="244" t="s">
        <v>1060</v>
      </c>
      <c r="C95" s="244" t="s">
        <v>1138</v>
      </c>
      <c r="D95" s="275">
        <f t="shared" ref="D95:D110" si="26">1/P95</f>
        <v>6.3613231552162855E-3</v>
      </c>
      <c r="E95" s="164">
        <v>0.9</v>
      </c>
      <c r="F95" s="164" t="s">
        <v>161</v>
      </c>
      <c r="G95" s="275">
        <f>D95/(E95)</f>
        <v>7.0681368391292063E-3</v>
      </c>
      <c r="H95" s="319">
        <v>168.58</v>
      </c>
      <c r="I95" s="248">
        <f t="shared" ref="I95:I110" si="27">H95/$H$49</f>
        <v>177.4526315789474</v>
      </c>
      <c r="J95" s="244">
        <v>2</v>
      </c>
      <c r="K95" s="275">
        <f t="shared" ref="K95:K110" si="28">J95/I95</f>
        <v>1.1270613358642779E-2</v>
      </c>
      <c r="L95" s="164">
        <f t="shared" ref="L95:L110" si="29">G95/K95</f>
        <v>0.62712974123179044</v>
      </c>
      <c r="M95" s="164">
        <f t="shared" ref="M95:M110" si="30">ROUNDUP(L95,0)</f>
        <v>1</v>
      </c>
      <c r="O95" s="195" t="s">
        <v>1060</v>
      </c>
      <c r="P95" s="279">
        <v>157.19999999999999</v>
      </c>
      <c r="Q95" s="297" t="s">
        <v>1411</v>
      </c>
      <c r="R95" s="9" t="s">
        <v>1442</v>
      </c>
      <c r="T95" s="195" t="s">
        <v>1060</v>
      </c>
      <c r="U95" s="298">
        <f t="shared" si="25"/>
        <v>75.255568947814851</v>
      </c>
      <c r="V95" s="300">
        <f>U95/10</f>
        <v>7.5255568947814853</v>
      </c>
    </row>
    <row r="96" spans="1:22" x14ac:dyDescent="0.2">
      <c r="A96" s="299"/>
      <c r="B96" s="244" t="s">
        <v>1070</v>
      </c>
      <c r="C96" s="244" t="s">
        <v>1138</v>
      </c>
      <c r="D96" s="275">
        <f t="shared" si="26"/>
        <v>8.3333333333333332E-3</v>
      </c>
      <c r="E96" s="164">
        <v>0.9</v>
      </c>
      <c r="F96" s="164">
        <v>0.9</v>
      </c>
      <c r="G96" s="275">
        <f t="shared" ref="G96:G109" si="31">D96/(E96*F96)</f>
        <v>1.0288065843621399E-2</v>
      </c>
      <c r="H96" s="319">
        <v>168.58</v>
      </c>
      <c r="I96" s="248">
        <f t="shared" si="27"/>
        <v>177.4526315789474</v>
      </c>
      <c r="J96" s="244">
        <v>2</v>
      </c>
      <c r="K96" s="275">
        <f t="shared" si="28"/>
        <v>1.1270613358642779E-2</v>
      </c>
      <c r="L96" s="164">
        <f t="shared" si="29"/>
        <v>0.91282217890405037</v>
      </c>
      <c r="M96" s="164">
        <f t="shared" si="30"/>
        <v>1</v>
      </c>
      <c r="O96" s="195" t="s">
        <v>543</v>
      </c>
      <c r="P96" s="297">
        <v>120</v>
      </c>
      <c r="Q96" s="297" t="s">
        <v>1404</v>
      </c>
      <c r="T96" s="195" t="s">
        <v>543</v>
      </c>
      <c r="U96" s="298">
        <f t="shared" si="25"/>
        <v>109.53866146848604</v>
      </c>
      <c r="V96" s="300">
        <v>27.38466536712151</v>
      </c>
    </row>
    <row r="97" spans="1:22" x14ac:dyDescent="0.2">
      <c r="A97" s="299"/>
      <c r="B97" s="244" t="s">
        <v>773</v>
      </c>
      <c r="C97" s="244" t="s">
        <v>1138</v>
      </c>
      <c r="D97" s="275">
        <f t="shared" si="26"/>
        <v>5.0890585241730284E-2</v>
      </c>
      <c r="E97" s="164">
        <v>0.9</v>
      </c>
      <c r="F97" s="164" t="s">
        <v>161</v>
      </c>
      <c r="G97" s="275">
        <f>D97/(E97)</f>
        <v>5.654509471303365E-2</v>
      </c>
      <c r="H97" s="319">
        <v>168.58</v>
      </c>
      <c r="I97" s="248">
        <f t="shared" si="27"/>
        <v>177.4526315789474</v>
      </c>
      <c r="J97" s="244">
        <v>2</v>
      </c>
      <c r="K97" s="275">
        <f t="shared" si="28"/>
        <v>1.1270613358642779E-2</v>
      </c>
      <c r="L97" s="164">
        <f t="shared" si="29"/>
        <v>5.0170379298543235</v>
      </c>
      <c r="M97" s="164">
        <f t="shared" si="30"/>
        <v>6</v>
      </c>
      <c r="O97" s="195" t="s">
        <v>773</v>
      </c>
      <c r="P97" s="279">
        <v>19.649999999999999</v>
      </c>
      <c r="Q97" s="297" t="s">
        <v>1411</v>
      </c>
      <c r="R97" s="9" t="s">
        <v>1443</v>
      </c>
      <c r="T97" s="195" t="s">
        <v>773</v>
      </c>
      <c r="U97" s="298">
        <f t="shared" si="25"/>
        <v>100.34075859708648</v>
      </c>
      <c r="V97" s="300">
        <f>(U97*2)/10</f>
        <v>20.068151719417294</v>
      </c>
    </row>
    <row r="98" spans="1:22" x14ac:dyDescent="0.2">
      <c r="A98" s="299"/>
      <c r="B98" s="244" t="s">
        <v>774</v>
      </c>
      <c r="C98" s="244" t="s">
        <v>1138</v>
      </c>
      <c r="D98" s="275">
        <f>1/(P98*8)</f>
        <v>1.6666666666666668E-3</v>
      </c>
      <c r="E98" s="164">
        <v>0.9</v>
      </c>
      <c r="F98" s="164">
        <v>0.9</v>
      </c>
      <c r="G98" s="275">
        <f t="shared" si="31"/>
        <v>2.05761316872428E-3</v>
      </c>
      <c r="H98" s="248">
        <v>130.65</v>
      </c>
      <c r="I98" s="248">
        <f t="shared" si="27"/>
        <v>137.5263157894737</v>
      </c>
      <c r="J98" s="244">
        <v>2</v>
      </c>
      <c r="K98" s="275">
        <f t="shared" si="28"/>
        <v>1.4542671259089169E-2</v>
      </c>
      <c r="L98" s="164">
        <f t="shared" si="29"/>
        <v>0.14148797920727749</v>
      </c>
      <c r="M98" s="164">
        <f t="shared" si="30"/>
        <v>1</v>
      </c>
      <c r="O98" s="195" t="s">
        <v>628</v>
      </c>
      <c r="P98" s="297">
        <v>75</v>
      </c>
      <c r="Q98" s="297" t="s">
        <v>1405</v>
      </c>
      <c r="T98" s="195" t="s">
        <v>628</v>
      </c>
      <c r="U98" s="298">
        <f t="shared" si="25"/>
        <v>16.978557504873297</v>
      </c>
      <c r="V98" s="300">
        <v>4.2446393762183243</v>
      </c>
    </row>
    <row r="99" spans="1:22" x14ac:dyDescent="0.2">
      <c r="A99" s="299"/>
      <c r="B99" s="244" t="s">
        <v>1061</v>
      </c>
      <c r="C99" s="244" t="s">
        <v>1138</v>
      </c>
      <c r="D99" s="275">
        <f>1/(P99*8)</f>
        <v>5.0000000000000001E-3</v>
      </c>
      <c r="E99" s="164">
        <v>0.9</v>
      </c>
      <c r="F99" s="164">
        <v>0.9</v>
      </c>
      <c r="G99" s="275">
        <f t="shared" si="31"/>
        <v>6.1728395061728392E-3</v>
      </c>
      <c r="H99" s="319">
        <v>130.65</v>
      </c>
      <c r="I99" s="248">
        <f t="shared" si="27"/>
        <v>137.5263157894737</v>
      </c>
      <c r="J99" s="244">
        <v>2</v>
      </c>
      <c r="K99" s="275">
        <f t="shared" si="28"/>
        <v>1.4542671259089169E-2</v>
      </c>
      <c r="L99" s="164">
        <f t="shared" si="29"/>
        <v>0.42446393762183238</v>
      </c>
      <c r="M99" s="164">
        <f t="shared" si="30"/>
        <v>1</v>
      </c>
      <c r="O99" s="195" t="s">
        <v>1079</v>
      </c>
      <c r="P99" s="297">
        <v>25</v>
      </c>
      <c r="Q99" s="297" t="s">
        <v>1405</v>
      </c>
      <c r="T99" s="195" t="s">
        <v>1079</v>
      </c>
      <c r="U99" s="298">
        <f t="shared" si="25"/>
        <v>50.935672514619888</v>
      </c>
      <c r="V99" s="300">
        <v>12.733918128654972</v>
      </c>
    </row>
    <row r="100" spans="1:22" x14ac:dyDescent="0.2">
      <c r="A100" s="299"/>
      <c r="B100" s="244" t="s">
        <v>775</v>
      </c>
      <c r="C100" s="244" t="s">
        <v>1138</v>
      </c>
      <c r="D100" s="275">
        <f t="shared" si="26"/>
        <v>2E-3</v>
      </c>
      <c r="E100" s="164">
        <v>0.9</v>
      </c>
      <c r="F100" s="164">
        <v>0.9</v>
      </c>
      <c r="G100" s="275">
        <f t="shared" si="31"/>
        <v>2.4691358024691358E-3</v>
      </c>
      <c r="H100" s="319">
        <v>130.65</v>
      </c>
      <c r="I100" s="248">
        <f t="shared" si="27"/>
        <v>137.5263157894737</v>
      </c>
      <c r="J100" s="244">
        <v>2</v>
      </c>
      <c r="K100" s="275">
        <f t="shared" si="28"/>
        <v>1.4542671259089169E-2</v>
      </c>
      <c r="L100" s="164">
        <f t="shared" si="29"/>
        <v>0.16978557504873296</v>
      </c>
      <c r="M100" s="164">
        <f t="shared" si="30"/>
        <v>1</v>
      </c>
      <c r="O100" s="195" t="s">
        <v>544</v>
      </c>
      <c r="P100" s="297">
        <v>500</v>
      </c>
      <c r="Q100" s="297" t="s">
        <v>1404</v>
      </c>
      <c r="T100" s="195" t="s">
        <v>544</v>
      </c>
      <c r="U100" s="298">
        <f t="shared" si="25"/>
        <v>20.374269005847953</v>
      </c>
      <c r="V100" s="300">
        <v>5.0935672514619883</v>
      </c>
    </row>
    <row r="101" spans="1:22" x14ac:dyDescent="0.2">
      <c r="A101" s="299"/>
      <c r="B101" s="244" t="s">
        <v>1059</v>
      </c>
      <c r="C101" s="244" t="s">
        <v>1131</v>
      </c>
      <c r="D101" s="275">
        <f t="shared" si="26"/>
        <v>5.3248136315228968E-3</v>
      </c>
      <c r="E101" s="164">
        <v>0.9</v>
      </c>
      <c r="F101" s="164" t="s">
        <v>161</v>
      </c>
      <c r="G101" s="275">
        <f>D101/(E101)</f>
        <v>5.9164595905809962E-3</v>
      </c>
      <c r="H101" s="248">
        <v>56.88</v>
      </c>
      <c r="I101" s="248">
        <f t="shared" si="27"/>
        <v>59.873684210526321</v>
      </c>
      <c r="J101" s="244">
        <v>2</v>
      </c>
      <c r="K101" s="275">
        <f t="shared" si="28"/>
        <v>3.3403656821378337E-2</v>
      </c>
      <c r="L101" s="164">
        <f t="shared" si="29"/>
        <v>0.1771201165853932</v>
      </c>
      <c r="M101" s="164">
        <f t="shared" si="30"/>
        <v>1</v>
      </c>
      <c r="O101" s="297" t="s">
        <v>1059</v>
      </c>
      <c r="P101" s="279">
        <v>187.8</v>
      </c>
      <c r="Q101" s="297" t="s">
        <v>1404</v>
      </c>
      <c r="R101" s="9" t="s">
        <v>1414</v>
      </c>
      <c r="T101" s="297" t="s">
        <v>1059</v>
      </c>
      <c r="U101" s="298">
        <f t="shared" si="25"/>
        <v>21.254413990247183</v>
      </c>
      <c r="V101" s="300">
        <f>U101/10</f>
        <v>2.1254413990247185</v>
      </c>
    </row>
    <row r="102" spans="1:22" x14ac:dyDescent="0.2">
      <c r="A102" s="299"/>
      <c r="B102" s="244" t="s">
        <v>1060</v>
      </c>
      <c r="C102" s="244" t="s">
        <v>1131</v>
      </c>
      <c r="D102" s="275">
        <f t="shared" si="26"/>
        <v>7.9872204472843447E-3</v>
      </c>
      <c r="E102" s="164">
        <v>0.9</v>
      </c>
      <c r="F102" s="164" t="s">
        <v>161</v>
      </c>
      <c r="G102" s="275">
        <f t="shared" ref="G102:G105" si="32">D102/(E102)</f>
        <v>8.8746893858714943E-3</v>
      </c>
      <c r="H102" s="319">
        <v>56.88</v>
      </c>
      <c r="I102" s="248">
        <f t="shared" si="27"/>
        <v>59.873684210526321</v>
      </c>
      <c r="J102" s="244">
        <v>2</v>
      </c>
      <c r="K102" s="275">
        <f t="shared" si="28"/>
        <v>3.3403656821378337E-2</v>
      </c>
      <c r="L102" s="164">
        <f t="shared" si="29"/>
        <v>0.26568017487808981</v>
      </c>
      <c r="M102" s="164">
        <f t="shared" si="30"/>
        <v>1</v>
      </c>
      <c r="O102" s="297" t="s">
        <v>1060</v>
      </c>
      <c r="P102" s="279">
        <f>125.2</f>
        <v>125.2</v>
      </c>
      <c r="Q102" s="297" t="s">
        <v>1404</v>
      </c>
      <c r="R102" s="9" t="s">
        <v>1415</v>
      </c>
      <c r="T102" s="297" t="s">
        <v>1060</v>
      </c>
      <c r="U102" s="298">
        <f t="shared" si="25"/>
        <v>31.881620985370777</v>
      </c>
      <c r="V102" s="300">
        <f>U102/10</f>
        <v>3.1881620985370778</v>
      </c>
    </row>
    <row r="103" spans="1:22" x14ac:dyDescent="0.2">
      <c r="A103" s="299"/>
      <c r="B103" s="244" t="s">
        <v>1070</v>
      </c>
      <c r="C103" s="244" t="s">
        <v>1131</v>
      </c>
      <c r="D103" s="275">
        <f t="shared" si="26"/>
        <v>8.3333333333333332E-3</v>
      </c>
      <c r="E103" s="164">
        <v>0.9</v>
      </c>
      <c r="F103" s="164">
        <v>0.9</v>
      </c>
      <c r="G103" s="275">
        <f>D103/(E103*F103)</f>
        <v>1.0288065843621399E-2</v>
      </c>
      <c r="H103" s="319">
        <v>56.88</v>
      </c>
      <c r="I103" s="248">
        <f t="shared" si="27"/>
        <v>59.873684210526321</v>
      </c>
      <c r="J103" s="244">
        <v>2</v>
      </c>
      <c r="K103" s="275">
        <f t="shared" si="28"/>
        <v>3.3403656821378337E-2</v>
      </c>
      <c r="L103" s="164">
        <f t="shared" si="29"/>
        <v>0.30799220272904487</v>
      </c>
      <c r="M103" s="164">
        <f t="shared" si="30"/>
        <v>1</v>
      </c>
      <c r="O103" s="297" t="s">
        <v>543</v>
      </c>
      <c r="P103" s="297">
        <v>120</v>
      </c>
      <c r="Q103" s="297" t="s">
        <v>1404</v>
      </c>
      <c r="T103" s="297" t="s">
        <v>543</v>
      </c>
      <c r="U103" s="298">
        <f t="shared" si="25"/>
        <v>36.959064327485386</v>
      </c>
      <c r="V103" s="300">
        <v>9.2397660818713465</v>
      </c>
    </row>
    <row r="104" spans="1:22" x14ac:dyDescent="0.2">
      <c r="A104" s="299"/>
      <c r="B104" s="244" t="s">
        <v>773</v>
      </c>
      <c r="C104" s="244" t="s">
        <v>1131</v>
      </c>
      <c r="D104" s="275">
        <f t="shared" si="26"/>
        <v>0.13303179459890913</v>
      </c>
      <c r="E104" s="164">
        <v>0.9</v>
      </c>
      <c r="F104" s="164" t="s">
        <v>161</v>
      </c>
      <c r="G104" s="275">
        <f t="shared" si="32"/>
        <v>0.14781310510989903</v>
      </c>
      <c r="H104" s="319">
        <v>56.88</v>
      </c>
      <c r="I104" s="248">
        <f t="shared" si="27"/>
        <v>59.873684210526321</v>
      </c>
      <c r="J104" s="244">
        <v>2</v>
      </c>
      <c r="K104" s="275">
        <f t="shared" si="28"/>
        <v>3.3403656821378337E-2</v>
      </c>
      <c r="L104" s="164">
        <f t="shared" si="29"/>
        <v>4.4250575887637149</v>
      </c>
      <c r="M104" s="164">
        <f t="shared" si="30"/>
        <v>5</v>
      </c>
      <c r="O104" s="297" t="s">
        <v>773</v>
      </c>
      <c r="P104" s="279">
        <v>7.5170000000000003</v>
      </c>
      <c r="Q104" s="297" t="s">
        <v>1404</v>
      </c>
      <c r="R104" s="9" t="s">
        <v>1431</v>
      </c>
      <c r="T104" s="297" t="s">
        <v>773</v>
      </c>
      <c r="U104" s="298">
        <f t="shared" si="25"/>
        <v>106.20138213032916</v>
      </c>
      <c r="V104" s="300">
        <f>(U104*2)/10</f>
        <v>21.240276426065833</v>
      </c>
    </row>
    <row r="105" spans="1:22" x14ac:dyDescent="0.2">
      <c r="A105" s="299"/>
      <c r="B105" s="244" t="s">
        <v>1128</v>
      </c>
      <c r="C105" s="244" t="s">
        <v>1132</v>
      </c>
      <c r="D105" s="275">
        <f t="shared" si="26"/>
        <v>1.5384615384615385E-2</v>
      </c>
      <c r="E105" s="164">
        <v>0.9</v>
      </c>
      <c r="F105" s="164" t="s">
        <v>161</v>
      </c>
      <c r="G105" s="275">
        <f t="shared" si="32"/>
        <v>1.7094017094017096E-2</v>
      </c>
      <c r="H105" s="298">
        <v>359.82</v>
      </c>
      <c r="I105" s="248">
        <f t="shared" si="27"/>
        <v>378.7578947368421</v>
      </c>
      <c r="J105" s="244">
        <v>2</v>
      </c>
      <c r="K105" s="275">
        <f t="shared" si="28"/>
        <v>5.280417986771163E-3</v>
      </c>
      <c r="L105" s="164">
        <f t="shared" si="29"/>
        <v>3.2372469635627534</v>
      </c>
      <c r="M105" s="164">
        <f t="shared" si="30"/>
        <v>4</v>
      </c>
      <c r="O105" s="195" t="s">
        <v>1128</v>
      </c>
      <c r="P105" s="297">
        <v>65</v>
      </c>
      <c r="Q105" s="297" t="s">
        <v>1404</v>
      </c>
      <c r="R105" s="9" t="s">
        <v>1444</v>
      </c>
      <c r="T105" s="195" t="s">
        <v>1128</v>
      </c>
      <c r="U105" s="298">
        <f t="shared" si="25"/>
        <v>97.117408906882602</v>
      </c>
      <c r="V105" s="300">
        <f>U105/10</f>
        <v>9.7117408906882599</v>
      </c>
    </row>
    <row r="106" spans="1:22" x14ac:dyDescent="0.2">
      <c r="B106" s="244" t="s">
        <v>777</v>
      </c>
      <c r="C106" s="244" t="s">
        <v>1132</v>
      </c>
      <c r="D106" s="275">
        <f>1/(P106*8)</f>
        <v>1.6666666666666668E-3</v>
      </c>
      <c r="E106" s="164">
        <v>0.9</v>
      </c>
      <c r="F106" s="164">
        <v>0.9</v>
      </c>
      <c r="G106" s="275">
        <f t="shared" si="31"/>
        <v>2.05761316872428E-3</v>
      </c>
      <c r="H106" s="298">
        <v>359.82</v>
      </c>
      <c r="I106" s="248">
        <f t="shared" si="27"/>
        <v>378.7578947368421</v>
      </c>
      <c r="J106" s="244">
        <v>2</v>
      </c>
      <c r="K106" s="275">
        <f t="shared" si="28"/>
        <v>5.280417986771163E-3</v>
      </c>
      <c r="L106" s="164">
        <f t="shared" si="29"/>
        <v>0.3896686159844055</v>
      </c>
      <c r="M106" s="164">
        <f t="shared" si="30"/>
        <v>1</v>
      </c>
      <c r="O106" s="195" t="s">
        <v>628</v>
      </c>
      <c r="P106" s="297">
        <v>75</v>
      </c>
      <c r="Q106" s="297" t="s">
        <v>1405</v>
      </c>
      <c r="T106" s="195" t="s">
        <v>628</v>
      </c>
      <c r="U106" s="298">
        <f t="shared" si="25"/>
        <v>46.760233918128662</v>
      </c>
      <c r="V106" s="300">
        <v>11.690058479532166</v>
      </c>
    </row>
    <row r="107" spans="1:22" x14ac:dyDescent="0.2">
      <c r="B107" s="244" t="s">
        <v>778</v>
      </c>
      <c r="C107" s="244" t="s">
        <v>1133</v>
      </c>
      <c r="D107" s="275">
        <f>1/(P107*0.3)</f>
        <v>1.8518518518518519E-3</v>
      </c>
      <c r="E107" s="164">
        <v>0.9</v>
      </c>
      <c r="F107" s="164">
        <v>0.9</v>
      </c>
      <c r="G107" s="275">
        <f t="shared" si="31"/>
        <v>2.2862368541380885E-3</v>
      </c>
      <c r="H107" s="298">
        <v>351.04</v>
      </c>
      <c r="I107" s="248">
        <f t="shared" si="27"/>
        <v>369.51578947368426</v>
      </c>
      <c r="J107" s="244">
        <v>2</v>
      </c>
      <c r="K107" s="275">
        <f t="shared" si="28"/>
        <v>5.4124886052871459E-3</v>
      </c>
      <c r="L107" s="164">
        <f t="shared" si="29"/>
        <v>0.42240030804033407</v>
      </c>
      <c r="M107" s="164">
        <f t="shared" si="30"/>
        <v>1</v>
      </c>
      <c r="O107" s="195" t="s">
        <v>586</v>
      </c>
      <c r="P107" s="298">
        <v>1800</v>
      </c>
      <c r="Q107" s="297" t="s">
        <v>1407</v>
      </c>
      <c r="T107" s="195" t="s">
        <v>586</v>
      </c>
      <c r="U107" s="298">
        <f t="shared" si="25"/>
        <v>50.688036964840087</v>
      </c>
      <c r="V107" s="300">
        <f>U107/10</f>
        <v>5.0688036964840091</v>
      </c>
    </row>
    <row r="108" spans="1:22" x14ac:dyDescent="0.2">
      <c r="B108" s="244" t="s">
        <v>779</v>
      </c>
      <c r="C108" s="244" t="s">
        <v>1133</v>
      </c>
      <c r="D108" s="275">
        <f t="shared" si="26"/>
        <v>8.3333333333333339E-4</v>
      </c>
      <c r="E108" s="164">
        <v>0.9</v>
      </c>
      <c r="F108" s="164" t="s">
        <v>161</v>
      </c>
      <c r="G108" s="275">
        <f>D108/(E108)</f>
        <v>9.2592592592592596E-4</v>
      </c>
      <c r="H108" s="319">
        <v>351.04</v>
      </c>
      <c r="I108" s="248">
        <f t="shared" si="27"/>
        <v>369.51578947368426</v>
      </c>
      <c r="J108" s="244">
        <v>2</v>
      </c>
      <c r="K108" s="275">
        <f t="shared" si="28"/>
        <v>5.4124886052871459E-3</v>
      </c>
      <c r="L108" s="164">
        <f t="shared" si="29"/>
        <v>0.17107212475633532</v>
      </c>
      <c r="M108" s="164">
        <f t="shared" si="30"/>
        <v>1</v>
      </c>
      <c r="O108" s="195" t="s">
        <v>779</v>
      </c>
      <c r="P108" s="298">
        <v>1200</v>
      </c>
      <c r="Q108" s="297" t="s">
        <v>1407</v>
      </c>
      <c r="R108" s="9" t="s">
        <v>1417</v>
      </c>
      <c r="T108" s="195" t="s">
        <v>779</v>
      </c>
      <c r="U108" s="298">
        <f t="shared" si="25"/>
        <v>20.52865497076024</v>
      </c>
      <c r="V108" s="300">
        <f>U108/10</f>
        <v>2.0528654970760241</v>
      </c>
    </row>
    <row r="109" spans="1:22" x14ac:dyDescent="0.2">
      <c r="B109" s="244" t="s">
        <v>780</v>
      </c>
      <c r="C109" s="244" t="s">
        <v>1133</v>
      </c>
      <c r="D109" s="275">
        <f>1/(P109*0.3)</f>
        <v>4.6296296296296294E-3</v>
      </c>
      <c r="E109" s="164">
        <v>0.9</v>
      </c>
      <c r="F109" s="164">
        <v>0.9</v>
      </c>
      <c r="G109" s="275">
        <f t="shared" si="31"/>
        <v>5.7155921353452214E-3</v>
      </c>
      <c r="H109" s="319">
        <v>351.04</v>
      </c>
      <c r="I109" s="248">
        <f t="shared" si="27"/>
        <v>369.51578947368426</v>
      </c>
      <c r="J109" s="244">
        <v>2</v>
      </c>
      <c r="K109" s="275">
        <f t="shared" si="28"/>
        <v>5.4124886052871459E-3</v>
      </c>
      <c r="L109" s="164">
        <f t="shared" si="29"/>
        <v>1.0560007701008352</v>
      </c>
      <c r="M109" s="164">
        <f t="shared" si="30"/>
        <v>2</v>
      </c>
      <c r="O109" s="195" t="s">
        <v>755</v>
      </c>
      <c r="P109" s="297">
        <v>720</v>
      </c>
      <c r="Q109" s="297" t="s">
        <v>1407</v>
      </c>
      <c r="T109" s="195" t="s">
        <v>755</v>
      </c>
      <c r="U109" s="298">
        <f t="shared" si="25"/>
        <v>63.360046206050107</v>
      </c>
      <c r="V109" s="300">
        <f>U109/10</f>
        <v>6.3360046206050109</v>
      </c>
    </row>
    <row r="110" spans="1:22" x14ac:dyDescent="0.2">
      <c r="B110" s="244" t="s">
        <v>781</v>
      </c>
      <c r="C110" s="244" t="s">
        <v>1133</v>
      </c>
      <c r="D110" s="275">
        <f t="shared" si="26"/>
        <v>8.3333333333333339E-4</v>
      </c>
      <c r="E110" s="164">
        <v>0.9</v>
      </c>
      <c r="F110" s="164" t="s">
        <v>161</v>
      </c>
      <c r="G110" s="275">
        <f>D110/(E110)</f>
        <v>9.2592592592592596E-4</v>
      </c>
      <c r="H110" s="319">
        <v>351.04</v>
      </c>
      <c r="I110" s="248">
        <f t="shared" si="27"/>
        <v>369.51578947368426</v>
      </c>
      <c r="J110" s="244">
        <v>2</v>
      </c>
      <c r="K110" s="275">
        <f t="shared" si="28"/>
        <v>5.4124886052871459E-3</v>
      </c>
      <c r="L110" s="164">
        <f t="shared" si="29"/>
        <v>0.17107212475633532</v>
      </c>
      <c r="M110" s="164">
        <f t="shared" si="30"/>
        <v>1</v>
      </c>
      <c r="O110" s="195" t="s">
        <v>781</v>
      </c>
      <c r="P110" s="298">
        <v>1200</v>
      </c>
      <c r="Q110" s="297" t="s">
        <v>1407</v>
      </c>
      <c r="R110" s="9" t="s">
        <v>1417</v>
      </c>
      <c r="T110" s="195" t="s">
        <v>781</v>
      </c>
      <c r="U110" s="298">
        <f t="shared" si="25"/>
        <v>20.52865497076024</v>
      </c>
      <c r="V110" s="300">
        <f>U110/10</f>
        <v>2.0528654970760241</v>
      </c>
    </row>
    <row r="112" spans="1:22" x14ac:dyDescent="0.2">
      <c r="B112" s="527" t="s">
        <v>358</v>
      </c>
      <c r="C112" s="510" t="s">
        <v>1136</v>
      </c>
      <c r="D112" s="510" t="s">
        <v>1137</v>
      </c>
    </row>
    <row r="113" spans="1:22" x14ac:dyDescent="0.2">
      <c r="B113" s="527"/>
      <c r="C113" s="510"/>
      <c r="D113" s="510"/>
    </row>
    <row r="114" spans="1:22" ht="25.5" x14ac:dyDescent="0.2">
      <c r="B114" s="433" t="s">
        <v>1916</v>
      </c>
      <c r="C114" s="164">
        <f>L94+L95+L96+L97</f>
        <v>6.975076344144691</v>
      </c>
      <c r="D114" s="164">
        <f>ROUNDUP(C114,0)</f>
        <v>7</v>
      </c>
    </row>
    <row r="115" spans="1:22" x14ac:dyDescent="0.2">
      <c r="B115" s="433" t="s">
        <v>1917</v>
      </c>
      <c r="C115" s="164">
        <f>L98+L99+L100</f>
        <v>0.73573749187784276</v>
      </c>
      <c r="D115" s="164">
        <f t="shared" ref="D115:D118" si="33">ROUNDUP(C115,0)</f>
        <v>1</v>
      </c>
    </row>
    <row r="116" spans="1:22" ht="25.5" x14ac:dyDescent="0.2">
      <c r="B116" s="433" t="s">
        <v>1916</v>
      </c>
      <c r="C116" s="164">
        <f>L101+L102+L103+L104</f>
        <v>5.1758500829562433</v>
      </c>
      <c r="D116" s="164">
        <f t="shared" si="33"/>
        <v>6</v>
      </c>
    </row>
    <row r="117" spans="1:22" x14ac:dyDescent="0.2">
      <c r="B117" s="433" t="s">
        <v>1918</v>
      </c>
      <c r="C117" s="164">
        <f>L105+L106</f>
        <v>3.626915579547159</v>
      </c>
      <c r="D117" s="164">
        <f t="shared" si="33"/>
        <v>4</v>
      </c>
    </row>
    <row r="118" spans="1:22" x14ac:dyDescent="0.2">
      <c r="B118" s="433" t="s">
        <v>1919</v>
      </c>
      <c r="C118" s="164">
        <f>L107+L108+L109+L110</f>
        <v>1.8205453276538399</v>
      </c>
      <c r="D118" s="164">
        <f t="shared" si="33"/>
        <v>2</v>
      </c>
    </row>
    <row r="120" spans="1:22" x14ac:dyDescent="0.2">
      <c r="A120" s="299"/>
      <c r="B120" s="9" t="s">
        <v>730</v>
      </c>
      <c r="D120" s="299"/>
      <c r="E120" s="299"/>
      <c r="F120" s="299"/>
      <c r="G120" s="299"/>
      <c r="H120" s="299"/>
      <c r="I120" s="299"/>
      <c r="J120" s="299"/>
      <c r="K120" s="299"/>
      <c r="L120" s="299"/>
    </row>
    <row r="121" spans="1:22" x14ac:dyDescent="0.2">
      <c r="A121" s="299"/>
      <c r="B121" s="527" t="s">
        <v>358</v>
      </c>
      <c r="C121" s="527" t="s">
        <v>1129</v>
      </c>
      <c r="D121" s="510" t="s">
        <v>1085</v>
      </c>
      <c r="E121" s="510" t="s">
        <v>359</v>
      </c>
      <c r="F121" s="510" t="s">
        <v>360</v>
      </c>
      <c r="G121" s="510" t="s">
        <v>1122</v>
      </c>
      <c r="H121" s="510" t="s">
        <v>1134</v>
      </c>
      <c r="I121" s="510" t="s">
        <v>1123</v>
      </c>
      <c r="J121" s="510" t="s">
        <v>1125</v>
      </c>
      <c r="K121" s="510" t="s">
        <v>1135</v>
      </c>
      <c r="L121" s="510" t="s">
        <v>1136</v>
      </c>
      <c r="M121" s="510" t="s">
        <v>1142</v>
      </c>
      <c r="O121" s="510" t="s">
        <v>1408</v>
      </c>
      <c r="P121" s="510" t="s">
        <v>1409</v>
      </c>
      <c r="Q121" s="510" t="s">
        <v>1167</v>
      </c>
      <c r="T121" s="510" t="s">
        <v>358</v>
      </c>
      <c r="U121" s="510" t="s">
        <v>1418</v>
      </c>
      <c r="V121" s="510" t="s">
        <v>1440</v>
      </c>
    </row>
    <row r="122" spans="1:22" x14ac:dyDescent="0.2">
      <c r="A122" s="299"/>
      <c r="B122" s="527"/>
      <c r="C122" s="527"/>
      <c r="D122" s="510"/>
      <c r="E122" s="510"/>
      <c r="F122" s="510"/>
      <c r="G122" s="510"/>
      <c r="H122" s="510"/>
      <c r="I122" s="510"/>
      <c r="J122" s="510"/>
      <c r="K122" s="510"/>
      <c r="L122" s="510"/>
      <c r="M122" s="510"/>
      <c r="O122" s="510"/>
      <c r="P122" s="510"/>
      <c r="Q122" s="510"/>
      <c r="T122" s="510"/>
      <c r="U122" s="510"/>
      <c r="V122" s="510"/>
    </row>
    <row r="123" spans="1:22" x14ac:dyDescent="0.2">
      <c r="A123" s="299"/>
      <c r="B123" s="244" t="s">
        <v>1059</v>
      </c>
      <c r="C123" s="244" t="s">
        <v>1139</v>
      </c>
      <c r="D123" s="275">
        <f>1/P123</f>
        <v>3.2362459546925568E-3</v>
      </c>
      <c r="E123" s="164">
        <v>0.9</v>
      </c>
      <c r="F123" s="164" t="s">
        <v>161</v>
      </c>
      <c r="G123" s="275">
        <f>D123/(E123)</f>
        <v>3.5958288385472851E-3</v>
      </c>
      <c r="H123" s="248">
        <v>168.92</v>
      </c>
      <c r="I123" s="248">
        <f>H123/$H$49</f>
        <v>177.81052631578947</v>
      </c>
      <c r="J123" s="244">
        <v>2</v>
      </c>
      <c r="K123" s="275">
        <f>J123/I123</f>
        <v>1.1247928013260714E-2</v>
      </c>
      <c r="L123" s="164">
        <f>G123/K123</f>
        <v>0.31968810916179341</v>
      </c>
      <c r="M123" s="164">
        <f>ROUNDUP(L123,0)</f>
        <v>1</v>
      </c>
      <c r="O123" s="195" t="s">
        <v>1059</v>
      </c>
      <c r="P123" s="279">
        <v>309</v>
      </c>
      <c r="Q123" s="297" t="s">
        <v>1411</v>
      </c>
      <c r="R123" s="9" t="s">
        <v>1445</v>
      </c>
      <c r="T123" s="195" t="s">
        <v>1059</v>
      </c>
      <c r="U123" s="298">
        <f t="shared" ref="U123:U139" si="34">((L123*2)/M123)*60</f>
        <v>38.362573099415208</v>
      </c>
      <c r="V123" s="300">
        <f>U123/8</f>
        <v>4.795321637426901</v>
      </c>
    </row>
    <row r="124" spans="1:22" x14ac:dyDescent="0.2">
      <c r="A124" s="299"/>
      <c r="B124" s="244" t="s">
        <v>1060</v>
      </c>
      <c r="C124" s="244" t="s">
        <v>1139</v>
      </c>
      <c r="D124" s="275">
        <f t="shared" ref="D124:D139" si="35">1/P124</f>
        <v>4.8543689320388345E-3</v>
      </c>
      <c r="E124" s="164">
        <v>0.9</v>
      </c>
      <c r="F124" s="164" t="s">
        <v>161</v>
      </c>
      <c r="G124" s="275">
        <f>D124/(E124)</f>
        <v>5.3937432578209273E-3</v>
      </c>
      <c r="H124" s="319">
        <v>168.92</v>
      </c>
      <c r="I124" s="248">
        <f t="shared" ref="I124:I139" si="36">H124/$H$49</f>
        <v>177.81052631578947</v>
      </c>
      <c r="J124" s="244">
        <v>2</v>
      </c>
      <c r="K124" s="275">
        <f t="shared" ref="K124:K139" si="37">J124/I124</f>
        <v>1.1247928013260714E-2</v>
      </c>
      <c r="L124" s="164">
        <f t="shared" ref="L124:L139" si="38">G124/K124</f>
        <v>0.47953216374269003</v>
      </c>
      <c r="M124" s="164">
        <f t="shared" ref="M124:M139" si="39">ROUNDUP(L124,0)</f>
        <v>1</v>
      </c>
      <c r="O124" s="195" t="s">
        <v>1060</v>
      </c>
      <c r="P124" s="279">
        <v>206</v>
      </c>
      <c r="Q124" s="297" t="s">
        <v>1411</v>
      </c>
      <c r="R124" s="9" t="s">
        <v>1446</v>
      </c>
      <c r="T124" s="195" t="s">
        <v>1060</v>
      </c>
      <c r="U124" s="298">
        <f t="shared" si="34"/>
        <v>57.543859649122801</v>
      </c>
      <c r="V124" s="300">
        <f>U124/8</f>
        <v>7.1929824561403501</v>
      </c>
    </row>
    <row r="125" spans="1:22" x14ac:dyDescent="0.2">
      <c r="A125" s="299"/>
      <c r="B125" s="244" t="s">
        <v>1070</v>
      </c>
      <c r="C125" s="244" t="s">
        <v>1139</v>
      </c>
      <c r="D125" s="275">
        <f t="shared" si="35"/>
        <v>8.3333333333333332E-3</v>
      </c>
      <c r="E125" s="164">
        <v>0.9</v>
      </c>
      <c r="F125" s="164">
        <v>0.9</v>
      </c>
      <c r="G125" s="275">
        <f t="shared" ref="G125:G138" si="40">D125/(E125*F125)</f>
        <v>1.0288065843621399E-2</v>
      </c>
      <c r="H125" s="319">
        <v>168.92</v>
      </c>
      <c r="I125" s="248">
        <f t="shared" si="36"/>
        <v>177.81052631578947</v>
      </c>
      <c r="J125" s="244">
        <v>2</v>
      </c>
      <c r="K125" s="275">
        <f t="shared" si="37"/>
        <v>1.1247928013260714E-2</v>
      </c>
      <c r="L125" s="164">
        <f t="shared" si="38"/>
        <v>0.91466320121290889</v>
      </c>
      <c r="M125" s="164">
        <f t="shared" si="39"/>
        <v>1</v>
      </c>
      <c r="O125" s="195" t="s">
        <v>543</v>
      </c>
      <c r="P125" s="297">
        <v>120</v>
      </c>
      <c r="Q125" s="297" t="s">
        <v>1404</v>
      </c>
      <c r="T125" s="195" t="s">
        <v>543</v>
      </c>
      <c r="U125" s="298">
        <f t="shared" si="34"/>
        <v>109.75958414554907</v>
      </c>
      <c r="V125" s="300">
        <v>27.439896036387267</v>
      </c>
    </row>
    <row r="126" spans="1:22" x14ac:dyDescent="0.2">
      <c r="A126" s="299"/>
      <c r="B126" s="244" t="s">
        <v>773</v>
      </c>
      <c r="C126" s="244" t="s">
        <v>1139</v>
      </c>
      <c r="D126" s="275">
        <f t="shared" si="35"/>
        <v>2.1150592216582064E-2</v>
      </c>
      <c r="E126" s="164">
        <v>0.9</v>
      </c>
      <c r="F126" s="164" t="s">
        <v>161</v>
      </c>
      <c r="G126" s="275">
        <f>D126/(E126)</f>
        <v>2.3500658018424516E-2</v>
      </c>
      <c r="H126" s="319">
        <v>168.92</v>
      </c>
      <c r="I126" s="248">
        <f t="shared" si="36"/>
        <v>177.81052631578947</v>
      </c>
      <c r="J126" s="244">
        <v>2</v>
      </c>
      <c r="K126" s="275">
        <f t="shared" si="37"/>
        <v>1.1247928013260714E-2</v>
      </c>
      <c r="L126" s="164">
        <f t="shared" si="38"/>
        <v>2.0893321855117208</v>
      </c>
      <c r="M126" s="164">
        <f t="shared" si="39"/>
        <v>3</v>
      </c>
      <c r="O126" s="195" t="s">
        <v>773</v>
      </c>
      <c r="P126" s="279">
        <v>47.28</v>
      </c>
      <c r="Q126" s="297" t="s">
        <v>1411</v>
      </c>
      <c r="R126" s="9" t="s">
        <v>1447</v>
      </c>
      <c r="T126" s="195" t="s">
        <v>773</v>
      </c>
      <c r="U126" s="298">
        <f t="shared" si="34"/>
        <v>83.57328742046883</v>
      </c>
      <c r="V126" s="300">
        <f>U126/8</f>
        <v>10.446660927558604</v>
      </c>
    </row>
    <row r="127" spans="1:22" x14ac:dyDescent="0.2">
      <c r="A127" s="299"/>
      <c r="B127" s="244" t="s">
        <v>774</v>
      </c>
      <c r="C127" s="244" t="s">
        <v>1139</v>
      </c>
      <c r="D127" s="275">
        <f>1/(P127*8)</f>
        <v>1.6666666666666668E-3</v>
      </c>
      <c r="E127" s="164">
        <v>0.9</v>
      </c>
      <c r="F127" s="164">
        <v>0.9</v>
      </c>
      <c r="G127" s="275">
        <f t="shared" si="40"/>
        <v>2.05761316872428E-3</v>
      </c>
      <c r="H127" s="248">
        <v>129.22</v>
      </c>
      <c r="I127" s="248">
        <f t="shared" si="36"/>
        <v>136.02105263157895</v>
      </c>
      <c r="J127" s="244">
        <v>2</v>
      </c>
      <c r="K127" s="275">
        <f t="shared" si="37"/>
        <v>1.4703606252902027E-2</v>
      </c>
      <c r="L127" s="164">
        <f t="shared" si="38"/>
        <v>0.13993935455923762</v>
      </c>
      <c r="M127" s="164">
        <f t="shared" si="39"/>
        <v>1</v>
      </c>
      <c r="O127" s="195" t="s">
        <v>628</v>
      </c>
      <c r="P127" s="297">
        <v>75</v>
      </c>
      <c r="Q127" s="297" t="s">
        <v>1405</v>
      </c>
      <c r="T127" s="195" t="s">
        <v>628</v>
      </c>
      <c r="U127" s="298">
        <f t="shared" si="34"/>
        <v>16.792722547108514</v>
      </c>
      <c r="V127" s="300">
        <v>4.1981806367771286</v>
      </c>
    </row>
    <row r="128" spans="1:22" x14ac:dyDescent="0.2">
      <c r="A128" s="299"/>
      <c r="B128" s="244" t="s">
        <v>1061</v>
      </c>
      <c r="C128" s="244" t="s">
        <v>1139</v>
      </c>
      <c r="D128" s="275">
        <f>1/(P128*8)</f>
        <v>5.0000000000000001E-3</v>
      </c>
      <c r="E128" s="164">
        <v>0.9</v>
      </c>
      <c r="F128" s="164">
        <v>0.9</v>
      </c>
      <c r="G128" s="275">
        <f t="shared" si="40"/>
        <v>6.1728395061728392E-3</v>
      </c>
      <c r="H128" s="319">
        <v>129.22</v>
      </c>
      <c r="I128" s="248">
        <f t="shared" si="36"/>
        <v>136.02105263157895</v>
      </c>
      <c r="J128" s="244">
        <v>2</v>
      </c>
      <c r="K128" s="275">
        <f t="shared" si="37"/>
        <v>1.4703606252902027E-2</v>
      </c>
      <c r="L128" s="164">
        <f t="shared" si="38"/>
        <v>0.41981806367771279</v>
      </c>
      <c r="M128" s="164">
        <f t="shared" si="39"/>
        <v>1</v>
      </c>
      <c r="O128" s="195" t="s">
        <v>1079</v>
      </c>
      <c r="P128" s="297">
        <v>25</v>
      </c>
      <c r="Q128" s="297" t="s">
        <v>1405</v>
      </c>
      <c r="T128" s="195" t="s">
        <v>1079</v>
      </c>
      <c r="U128" s="298">
        <f t="shared" si="34"/>
        <v>50.378167641325533</v>
      </c>
      <c r="V128" s="300">
        <v>12.594541910331383</v>
      </c>
    </row>
    <row r="129" spans="1:22" x14ac:dyDescent="0.2">
      <c r="A129" s="299"/>
      <c r="B129" s="244" t="s">
        <v>775</v>
      </c>
      <c r="C129" s="244" t="s">
        <v>1139</v>
      </c>
      <c r="D129" s="275">
        <f t="shared" si="35"/>
        <v>2E-3</v>
      </c>
      <c r="E129" s="164">
        <v>0.9</v>
      </c>
      <c r="F129" s="164">
        <v>0.9</v>
      </c>
      <c r="G129" s="275">
        <f t="shared" si="40"/>
        <v>2.4691358024691358E-3</v>
      </c>
      <c r="H129" s="319">
        <v>129.22</v>
      </c>
      <c r="I129" s="248">
        <f t="shared" si="36"/>
        <v>136.02105263157895</v>
      </c>
      <c r="J129" s="244">
        <v>2</v>
      </c>
      <c r="K129" s="275">
        <f t="shared" si="37"/>
        <v>1.4703606252902027E-2</v>
      </c>
      <c r="L129" s="164">
        <f t="shared" si="38"/>
        <v>0.16792722547108513</v>
      </c>
      <c r="M129" s="164">
        <f t="shared" si="39"/>
        <v>1</v>
      </c>
      <c r="O129" s="195" t="s">
        <v>544</v>
      </c>
      <c r="P129" s="297">
        <v>500</v>
      </c>
      <c r="Q129" s="297" t="s">
        <v>1404</v>
      </c>
      <c r="T129" s="195" t="s">
        <v>544</v>
      </c>
      <c r="U129" s="298">
        <f t="shared" si="34"/>
        <v>20.151267056530216</v>
      </c>
      <c r="V129" s="300">
        <v>5.037816764132554</v>
      </c>
    </row>
    <row r="130" spans="1:22" x14ac:dyDescent="0.2">
      <c r="A130" s="299"/>
      <c r="B130" s="244" t="s">
        <v>1059</v>
      </c>
      <c r="C130" s="244" t="s">
        <v>1131</v>
      </c>
      <c r="D130" s="275">
        <f t="shared" si="35"/>
        <v>5.3248136315228968E-3</v>
      </c>
      <c r="E130" s="164">
        <v>0.9</v>
      </c>
      <c r="F130" s="164" t="s">
        <v>161</v>
      </c>
      <c r="G130" s="275">
        <f>D130/(E130)</f>
        <v>5.9164595905809962E-3</v>
      </c>
      <c r="H130" s="248">
        <v>63.17</v>
      </c>
      <c r="I130" s="248">
        <f t="shared" si="36"/>
        <v>66.494736842105269</v>
      </c>
      <c r="J130" s="244">
        <v>2</v>
      </c>
      <c r="K130" s="275">
        <f t="shared" si="37"/>
        <v>3.0077568466044004E-2</v>
      </c>
      <c r="L130" s="164">
        <f t="shared" si="38"/>
        <v>0.19670671175631663</v>
      </c>
      <c r="M130" s="164">
        <f t="shared" si="39"/>
        <v>1</v>
      </c>
      <c r="O130" s="297" t="s">
        <v>1059</v>
      </c>
      <c r="P130" s="279">
        <v>187.8</v>
      </c>
      <c r="Q130" s="297" t="s">
        <v>1404</v>
      </c>
      <c r="R130" s="9" t="s">
        <v>1414</v>
      </c>
      <c r="T130" s="297" t="s">
        <v>1059</v>
      </c>
      <c r="U130" s="298">
        <f t="shared" si="34"/>
        <v>23.604805410757994</v>
      </c>
      <c r="V130" s="300">
        <f>U130/8</f>
        <v>2.9506006763447492</v>
      </c>
    </row>
    <row r="131" spans="1:22" x14ac:dyDescent="0.2">
      <c r="A131" s="299"/>
      <c r="B131" s="244" t="s">
        <v>1060</v>
      </c>
      <c r="C131" s="244" t="s">
        <v>1131</v>
      </c>
      <c r="D131" s="275">
        <f t="shared" si="35"/>
        <v>7.9872204472843447E-3</v>
      </c>
      <c r="E131" s="164">
        <v>0.9</v>
      </c>
      <c r="F131" s="164" t="s">
        <v>161</v>
      </c>
      <c r="G131" s="275">
        <f>D131/(E131)</f>
        <v>8.8746893858714943E-3</v>
      </c>
      <c r="H131" s="319">
        <v>63.17</v>
      </c>
      <c r="I131" s="248">
        <f t="shared" si="36"/>
        <v>66.494736842105269</v>
      </c>
      <c r="J131" s="244">
        <v>2</v>
      </c>
      <c r="K131" s="275">
        <f t="shared" si="37"/>
        <v>3.0077568466044004E-2</v>
      </c>
      <c r="L131" s="164">
        <f t="shared" si="38"/>
        <v>0.29506006763447495</v>
      </c>
      <c r="M131" s="164">
        <f t="shared" si="39"/>
        <v>1</v>
      </c>
      <c r="O131" s="297" t="s">
        <v>1060</v>
      </c>
      <c r="P131" s="279">
        <f>125.2</f>
        <v>125.2</v>
      </c>
      <c r="Q131" s="297" t="s">
        <v>1404</v>
      </c>
      <c r="R131" s="9" t="s">
        <v>1415</v>
      </c>
      <c r="T131" s="297" t="s">
        <v>1060</v>
      </c>
      <c r="U131" s="298">
        <f t="shared" si="34"/>
        <v>35.407208116136992</v>
      </c>
      <c r="V131" s="300">
        <f>U131/8</f>
        <v>4.425901014517124</v>
      </c>
    </row>
    <row r="132" spans="1:22" x14ac:dyDescent="0.2">
      <c r="A132" s="299"/>
      <c r="B132" s="244" t="s">
        <v>1070</v>
      </c>
      <c r="C132" s="244" t="s">
        <v>1131</v>
      </c>
      <c r="D132" s="275">
        <f t="shared" si="35"/>
        <v>8.3333333333333332E-3</v>
      </c>
      <c r="E132" s="164">
        <v>0.9</v>
      </c>
      <c r="F132" s="164">
        <v>0.9</v>
      </c>
      <c r="G132" s="275">
        <f>D132/(E132*F132)</f>
        <v>1.0288065843621399E-2</v>
      </c>
      <c r="H132" s="319">
        <v>63.17</v>
      </c>
      <c r="I132" s="248">
        <f t="shared" si="36"/>
        <v>66.494736842105269</v>
      </c>
      <c r="J132" s="244">
        <v>2</v>
      </c>
      <c r="K132" s="275">
        <f t="shared" si="37"/>
        <v>3.0077568466044004E-2</v>
      </c>
      <c r="L132" s="164">
        <f t="shared" si="38"/>
        <v>0.34205111544292838</v>
      </c>
      <c r="M132" s="164">
        <f t="shared" si="39"/>
        <v>1</v>
      </c>
      <c r="O132" s="297" t="s">
        <v>543</v>
      </c>
      <c r="P132" s="297">
        <v>120</v>
      </c>
      <c r="Q132" s="297" t="s">
        <v>1404</v>
      </c>
      <c r="T132" s="297" t="s">
        <v>543</v>
      </c>
      <c r="U132" s="298">
        <f t="shared" si="34"/>
        <v>41.046133853151403</v>
      </c>
      <c r="V132" s="300">
        <v>9.2397660818713465</v>
      </c>
    </row>
    <row r="133" spans="1:22" x14ac:dyDescent="0.2">
      <c r="A133" s="299"/>
      <c r="B133" s="244" t="s">
        <v>773</v>
      </c>
      <c r="C133" s="244" t="s">
        <v>1131</v>
      </c>
      <c r="D133" s="275">
        <f t="shared" si="35"/>
        <v>0.13303179459890913</v>
      </c>
      <c r="E133" s="164">
        <v>0.9</v>
      </c>
      <c r="F133" s="164" t="s">
        <v>161</v>
      </c>
      <c r="G133" s="275">
        <f t="shared" ref="G133:G134" si="41">D133/(E133)</f>
        <v>0.14781310510989903</v>
      </c>
      <c r="H133" s="319">
        <v>63.17</v>
      </c>
      <c r="I133" s="248">
        <f t="shared" si="36"/>
        <v>66.494736842105269</v>
      </c>
      <c r="J133" s="244">
        <v>2</v>
      </c>
      <c r="K133" s="275">
        <f t="shared" si="37"/>
        <v>3.0077568466044004E-2</v>
      </c>
      <c r="L133" s="164">
        <f t="shared" si="38"/>
        <v>4.9143967630485914</v>
      </c>
      <c r="M133" s="164">
        <f t="shared" si="39"/>
        <v>5</v>
      </c>
      <c r="O133" s="297" t="s">
        <v>773</v>
      </c>
      <c r="P133" s="279">
        <v>7.5170000000000003</v>
      </c>
      <c r="Q133" s="297" t="s">
        <v>1404</v>
      </c>
      <c r="R133" s="9" t="s">
        <v>1431</v>
      </c>
      <c r="T133" s="297" t="s">
        <v>773</v>
      </c>
      <c r="U133" s="298">
        <f t="shared" si="34"/>
        <v>117.94552231316619</v>
      </c>
      <c r="V133" s="300">
        <f>(U133*2)/8</f>
        <v>29.486380578291548</v>
      </c>
    </row>
    <row r="134" spans="1:22" x14ac:dyDescent="0.2">
      <c r="A134" s="299"/>
      <c r="B134" s="244" t="s">
        <v>1128</v>
      </c>
      <c r="C134" s="244" t="s">
        <v>1132</v>
      </c>
      <c r="D134" s="275">
        <f t="shared" si="35"/>
        <v>1.5238095238095238E-2</v>
      </c>
      <c r="E134" s="164">
        <v>0.9</v>
      </c>
      <c r="F134" s="164" t="s">
        <v>161</v>
      </c>
      <c r="G134" s="275">
        <f t="shared" si="41"/>
        <v>1.6931216931216932E-2</v>
      </c>
      <c r="H134" s="298">
        <v>359.82</v>
      </c>
      <c r="I134" s="248">
        <f t="shared" si="36"/>
        <v>378.7578947368421</v>
      </c>
      <c r="J134" s="244">
        <v>2</v>
      </c>
      <c r="K134" s="275">
        <f t="shared" si="37"/>
        <v>5.280417986771163E-3</v>
      </c>
      <c r="L134" s="164">
        <f t="shared" si="38"/>
        <v>3.2064160401002511</v>
      </c>
      <c r="M134" s="164">
        <f t="shared" si="39"/>
        <v>4</v>
      </c>
      <c r="O134" s="195" t="s">
        <v>1128</v>
      </c>
      <c r="P134" s="297">
        <v>65.625</v>
      </c>
      <c r="Q134" s="297" t="s">
        <v>1404</v>
      </c>
      <c r="R134" s="9" t="s">
        <v>1448</v>
      </c>
      <c r="T134" s="195" t="s">
        <v>1128</v>
      </c>
      <c r="U134" s="298">
        <f t="shared" si="34"/>
        <v>96.192481203007532</v>
      </c>
      <c r="V134" s="300">
        <f>U134/8</f>
        <v>12.024060150375941</v>
      </c>
    </row>
    <row r="135" spans="1:22" x14ac:dyDescent="0.2">
      <c r="A135" s="299"/>
      <c r="B135" s="244" t="s">
        <v>777</v>
      </c>
      <c r="C135" s="244" t="s">
        <v>1132</v>
      </c>
      <c r="D135" s="275">
        <f>1/(P135*8)</f>
        <v>1.6666666666666668E-3</v>
      </c>
      <c r="E135" s="164">
        <v>0.9</v>
      </c>
      <c r="F135" s="164">
        <v>0.9</v>
      </c>
      <c r="G135" s="275">
        <f t="shared" si="40"/>
        <v>2.05761316872428E-3</v>
      </c>
      <c r="H135" s="319">
        <v>359.82</v>
      </c>
      <c r="I135" s="248">
        <f t="shared" si="36"/>
        <v>378.7578947368421</v>
      </c>
      <c r="J135" s="244">
        <v>2</v>
      </c>
      <c r="K135" s="275">
        <f t="shared" si="37"/>
        <v>5.280417986771163E-3</v>
      </c>
      <c r="L135" s="164">
        <f t="shared" si="38"/>
        <v>0.3896686159844055</v>
      </c>
      <c r="M135" s="164">
        <f t="shared" si="39"/>
        <v>1</v>
      </c>
      <c r="O135" s="195" t="s">
        <v>628</v>
      </c>
      <c r="P135" s="297">
        <v>75</v>
      </c>
      <c r="Q135" s="297" t="s">
        <v>1405</v>
      </c>
      <c r="T135" s="195" t="s">
        <v>628</v>
      </c>
      <c r="U135" s="298">
        <f t="shared" si="34"/>
        <v>46.760233918128662</v>
      </c>
      <c r="V135" s="300">
        <v>11.690058479532166</v>
      </c>
    </row>
    <row r="136" spans="1:22" x14ac:dyDescent="0.2">
      <c r="A136" s="299"/>
      <c r="B136" s="244" t="s">
        <v>778</v>
      </c>
      <c r="C136" s="244" t="s">
        <v>1133</v>
      </c>
      <c r="D136" s="275">
        <f>1/(P136*0.3)</f>
        <v>1.8518518518518519E-3</v>
      </c>
      <c r="E136" s="164">
        <v>0.9</v>
      </c>
      <c r="F136" s="164">
        <v>0.9</v>
      </c>
      <c r="G136" s="275">
        <f t="shared" si="40"/>
        <v>2.2862368541380885E-3</v>
      </c>
      <c r="H136" s="298">
        <v>351.04</v>
      </c>
      <c r="I136" s="248">
        <f t="shared" si="36"/>
        <v>369.51578947368426</v>
      </c>
      <c r="J136" s="244">
        <v>2</v>
      </c>
      <c r="K136" s="275">
        <f t="shared" si="37"/>
        <v>5.4124886052871459E-3</v>
      </c>
      <c r="L136" s="164">
        <f t="shared" si="38"/>
        <v>0.42240030804033407</v>
      </c>
      <c r="M136" s="164">
        <f t="shared" si="39"/>
        <v>1</v>
      </c>
      <c r="O136" s="195" t="s">
        <v>586</v>
      </c>
      <c r="P136" s="298">
        <v>1800</v>
      </c>
      <c r="Q136" s="297" t="s">
        <v>1407</v>
      </c>
      <c r="T136" s="195" t="s">
        <v>586</v>
      </c>
      <c r="U136" s="298">
        <f t="shared" si="34"/>
        <v>50.688036964840087</v>
      </c>
      <c r="V136" s="300">
        <f>U136/8</f>
        <v>6.3360046206050109</v>
      </c>
    </row>
    <row r="137" spans="1:22" x14ac:dyDescent="0.2">
      <c r="B137" s="244" t="s">
        <v>779</v>
      </c>
      <c r="C137" s="244" t="s">
        <v>1133</v>
      </c>
      <c r="D137" s="275">
        <f t="shared" si="35"/>
        <v>8.3333333333333339E-4</v>
      </c>
      <c r="E137" s="164">
        <v>0.9</v>
      </c>
      <c r="F137" s="164" t="s">
        <v>161</v>
      </c>
      <c r="G137" s="275">
        <f>D137/(E137)</f>
        <v>9.2592592592592596E-4</v>
      </c>
      <c r="H137" s="319">
        <v>351.04</v>
      </c>
      <c r="I137" s="248">
        <f t="shared" si="36"/>
        <v>369.51578947368426</v>
      </c>
      <c r="J137" s="244">
        <v>2</v>
      </c>
      <c r="K137" s="275">
        <f t="shared" si="37"/>
        <v>5.4124886052871459E-3</v>
      </c>
      <c r="L137" s="164">
        <f t="shared" si="38"/>
        <v>0.17107212475633532</v>
      </c>
      <c r="M137" s="164">
        <f t="shared" si="39"/>
        <v>1</v>
      </c>
      <c r="O137" s="195" t="s">
        <v>779</v>
      </c>
      <c r="P137" s="298">
        <v>1200</v>
      </c>
      <c r="Q137" s="297" t="s">
        <v>1407</v>
      </c>
      <c r="R137" s="9" t="s">
        <v>1417</v>
      </c>
      <c r="T137" s="195" t="s">
        <v>779</v>
      </c>
      <c r="U137" s="298">
        <f t="shared" si="34"/>
        <v>20.52865497076024</v>
      </c>
      <c r="V137" s="300">
        <f>U137/8</f>
        <v>2.56608187134503</v>
      </c>
    </row>
    <row r="138" spans="1:22" x14ac:dyDescent="0.2">
      <c r="B138" s="244" t="s">
        <v>780</v>
      </c>
      <c r="C138" s="244" t="s">
        <v>1133</v>
      </c>
      <c r="D138" s="275">
        <f>1/(P138*0.3)</f>
        <v>4.6296296296296294E-3</v>
      </c>
      <c r="E138" s="164">
        <v>0.9</v>
      </c>
      <c r="F138" s="164">
        <v>0.9</v>
      </c>
      <c r="G138" s="275">
        <f t="shared" si="40"/>
        <v>5.7155921353452214E-3</v>
      </c>
      <c r="H138" s="319">
        <v>351.04</v>
      </c>
      <c r="I138" s="248">
        <f t="shared" si="36"/>
        <v>369.51578947368426</v>
      </c>
      <c r="J138" s="244">
        <v>2</v>
      </c>
      <c r="K138" s="275">
        <f t="shared" si="37"/>
        <v>5.4124886052871459E-3</v>
      </c>
      <c r="L138" s="164">
        <f t="shared" si="38"/>
        <v>1.0560007701008352</v>
      </c>
      <c r="M138" s="164">
        <f t="shared" si="39"/>
        <v>2</v>
      </c>
      <c r="O138" s="195" t="s">
        <v>755</v>
      </c>
      <c r="P138" s="297">
        <v>720</v>
      </c>
      <c r="Q138" s="297" t="s">
        <v>1407</v>
      </c>
      <c r="T138" s="195" t="s">
        <v>755</v>
      </c>
      <c r="U138" s="298">
        <f t="shared" si="34"/>
        <v>63.360046206050107</v>
      </c>
      <c r="V138" s="300">
        <f>U138/8</f>
        <v>7.9200057757562634</v>
      </c>
    </row>
    <row r="139" spans="1:22" x14ac:dyDescent="0.2">
      <c r="B139" s="244" t="s">
        <v>781</v>
      </c>
      <c r="C139" s="244" t="s">
        <v>1133</v>
      </c>
      <c r="D139" s="275">
        <f t="shared" si="35"/>
        <v>8.3333333333333339E-4</v>
      </c>
      <c r="E139" s="164">
        <v>0.9</v>
      </c>
      <c r="F139" s="164" t="s">
        <v>161</v>
      </c>
      <c r="G139" s="275">
        <f>D139/(E139)</f>
        <v>9.2592592592592596E-4</v>
      </c>
      <c r="H139" s="319">
        <v>351.04</v>
      </c>
      <c r="I139" s="248">
        <f t="shared" si="36"/>
        <v>369.51578947368426</v>
      </c>
      <c r="J139" s="244">
        <v>2</v>
      </c>
      <c r="K139" s="275">
        <f t="shared" si="37"/>
        <v>5.4124886052871459E-3</v>
      </c>
      <c r="L139" s="164">
        <f t="shared" si="38"/>
        <v>0.17107212475633532</v>
      </c>
      <c r="M139" s="164">
        <f t="shared" si="39"/>
        <v>1</v>
      </c>
      <c r="O139" s="195" t="s">
        <v>781</v>
      </c>
      <c r="P139" s="298">
        <v>1200</v>
      </c>
      <c r="Q139" s="297" t="s">
        <v>1407</v>
      </c>
      <c r="R139" s="9" t="s">
        <v>1417</v>
      </c>
      <c r="T139" s="195" t="s">
        <v>781</v>
      </c>
      <c r="U139" s="298">
        <f t="shared" si="34"/>
        <v>20.52865497076024</v>
      </c>
      <c r="V139" s="300">
        <f>U139/8</f>
        <v>2.56608187134503</v>
      </c>
    </row>
    <row r="141" spans="1:22" x14ac:dyDescent="0.2">
      <c r="B141" s="527" t="s">
        <v>358</v>
      </c>
      <c r="C141" s="510" t="s">
        <v>1136</v>
      </c>
      <c r="D141" s="510" t="s">
        <v>1137</v>
      </c>
    </row>
    <row r="142" spans="1:22" x14ac:dyDescent="0.2">
      <c r="B142" s="527"/>
      <c r="C142" s="510"/>
      <c r="D142" s="510"/>
    </row>
    <row r="143" spans="1:22" ht="25.5" x14ac:dyDescent="0.2">
      <c r="B143" s="433" t="s">
        <v>1916</v>
      </c>
      <c r="C143" s="164">
        <f>L123+L124+L125+L126</f>
        <v>3.8032156596291133</v>
      </c>
      <c r="D143" s="164">
        <f>ROUNDUP(C143,0)</f>
        <v>4</v>
      </c>
    </row>
    <row r="144" spans="1:22" x14ac:dyDescent="0.2">
      <c r="B144" s="433" t="s">
        <v>1917</v>
      </c>
      <c r="C144" s="164">
        <f>L127+L128+L129</f>
        <v>0.72768464370803554</v>
      </c>
      <c r="D144" s="164">
        <f t="shared" ref="D144:D147" si="42">ROUNDUP(C144,0)</f>
        <v>1</v>
      </c>
    </row>
    <row r="145" spans="1:22" ht="25.5" x14ac:dyDescent="0.2">
      <c r="B145" s="433" t="s">
        <v>1916</v>
      </c>
      <c r="C145" s="164">
        <f>L130+L131+L132+L133</f>
        <v>5.7482146578823112</v>
      </c>
      <c r="D145" s="164">
        <f t="shared" si="42"/>
        <v>6</v>
      </c>
    </row>
    <row r="146" spans="1:22" x14ac:dyDescent="0.2">
      <c r="B146" s="433" t="s">
        <v>1918</v>
      </c>
      <c r="C146" s="164">
        <f>L134+L135</f>
        <v>3.5960846560846567</v>
      </c>
      <c r="D146" s="164">
        <f t="shared" si="42"/>
        <v>4</v>
      </c>
    </row>
    <row r="147" spans="1:22" x14ac:dyDescent="0.2">
      <c r="B147" s="433" t="s">
        <v>1919</v>
      </c>
      <c r="C147" s="164">
        <f>L136+L137+L138+L139</f>
        <v>1.8205453276538399</v>
      </c>
      <c r="D147" s="164">
        <f t="shared" si="42"/>
        <v>2</v>
      </c>
    </row>
    <row r="149" spans="1:22" x14ac:dyDescent="0.2">
      <c r="B149" s="9" t="s">
        <v>144</v>
      </c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</row>
    <row r="150" spans="1:22" x14ac:dyDescent="0.2">
      <c r="B150" s="527" t="s">
        <v>358</v>
      </c>
      <c r="C150" s="527" t="s">
        <v>1129</v>
      </c>
      <c r="D150" s="510" t="s">
        <v>1085</v>
      </c>
      <c r="E150" s="510" t="s">
        <v>359</v>
      </c>
      <c r="F150" s="510" t="s">
        <v>360</v>
      </c>
      <c r="G150" s="510" t="s">
        <v>1122</v>
      </c>
      <c r="H150" s="510" t="s">
        <v>1134</v>
      </c>
      <c r="I150" s="510" t="s">
        <v>1123</v>
      </c>
      <c r="J150" s="510" t="s">
        <v>1125</v>
      </c>
      <c r="K150" s="510" t="s">
        <v>1135</v>
      </c>
      <c r="L150" s="510" t="s">
        <v>1136</v>
      </c>
      <c r="M150" s="510" t="s">
        <v>1143</v>
      </c>
      <c r="O150" s="510" t="s">
        <v>1408</v>
      </c>
      <c r="P150" s="510" t="s">
        <v>1409</v>
      </c>
      <c r="Q150" s="510" t="s">
        <v>1167</v>
      </c>
      <c r="T150" s="510" t="s">
        <v>358</v>
      </c>
      <c r="U150" s="510" t="s">
        <v>1418</v>
      </c>
      <c r="V150" s="510" t="s">
        <v>1440</v>
      </c>
    </row>
    <row r="151" spans="1:22" x14ac:dyDescent="0.2">
      <c r="A151" s="299"/>
      <c r="B151" s="527"/>
      <c r="C151" s="527"/>
      <c r="D151" s="510"/>
      <c r="E151" s="510"/>
      <c r="F151" s="510"/>
      <c r="G151" s="510"/>
      <c r="H151" s="510"/>
      <c r="I151" s="510"/>
      <c r="J151" s="510"/>
      <c r="K151" s="510"/>
      <c r="L151" s="510"/>
      <c r="M151" s="510"/>
      <c r="O151" s="510"/>
      <c r="P151" s="510"/>
      <c r="Q151" s="510"/>
      <c r="T151" s="510"/>
      <c r="U151" s="510"/>
      <c r="V151" s="510"/>
    </row>
    <row r="152" spans="1:22" x14ac:dyDescent="0.2">
      <c r="A152" s="299"/>
      <c r="B152" s="244" t="s">
        <v>1059</v>
      </c>
      <c r="C152" s="244" t="s">
        <v>1140</v>
      </c>
      <c r="D152" s="275">
        <f>1/P152</f>
        <v>3.205128205128205E-3</v>
      </c>
      <c r="E152" s="164">
        <v>0.9</v>
      </c>
      <c r="F152" s="164" t="s">
        <v>161</v>
      </c>
      <c r="G152" s="275">
        <f>D152/(E152)</f>
        <v>3.5612535612535609E-3</v>
      </c>
      <c r="H152" s="248">
        <v>146.28</v>
      </c>
      <c r="I152" s="248">
        <f>H152/$H$49</f>
        <v>153.97894736842107</v>
      </c>
      <c r="J152" s="244">
        <v>2</v>
      </c>
      <c r="K152" s="275">
        <f>J152/I152</f>
        <v>1.2988788624555644E-2</v>
      </c>
      <c r="L152" s="164">
        <f>G152/K152</f>
        <v>0.27417903733693211</v>
      </c>
      <c r="M152" s="164">
        <f>ROUNDUP(L152,0)</f>
        <v>1</v>
      </c>
      <c r="O152" s="195" t="s">
        <v>1059</v>
      </c>
      <c r="P152" s="279">
        <v>312</v>
      </c>
      <c r="Q152" s="297" t="s">
        <v>1411</v>
      </c>
      <c r="R152" s="9" t="s">
        <v>1449</v>
      </c>
      <c r="T152" s="195" t="s">
        <v>1059</v>
      </c>
      <c r="U152" s="298">
        <f t="shared" ref="U152:U168" si="43">((L152*2)/M152)*60</f>
        <v>32.901484480431854</v>
      </c>
      <c r="V152" s="300">
        <f>U152/9</f>
        <v>3.6557204978257616</v>
      </c>
    </row>
    <row r="153" spans="1:22" x14ac:dyDescent="0.2">
      <c r="A153" s="299"/>
      <c r="B153" s="244" t="s">
        <v>1060</v>
      </c>
      <c r="C153" s="244" t="s">
        <v>1140</v>
      </c>
      <c r="D153" s="275">
        <f t="shared" ref="D153:D168" si="44">1/P153</f>
        <v>4.807692307692308E-3</v>
      </c>
      <c r="E153" s="164">
        <v>0.9</v>
      </c>
      <c r="F153" s="164" t="s">
        <v>161</v>
      </c>
      <c r="G153" s="275">
        <f>D153/(E153)</f>
        <v>5.341880341880342E-3</v>
      </c>
      <c r="H153" s="319">
        <v>146.28</v>
      </c>
      <c r="I153" s="294">
        <f t="shared" ref="I153:I168" si="45">H153/$H$49</f>
        <v>153.97894736842107</v>
      </c>
      <c r="J153" s="244">
        <v>2</v>
      </c>
      <c r="K153" s="275">
        <f t="shared" ref="K153:K168" si="46">J153/I153</f>
        <v>1.2988788624555644E-2</v>
      </c>
      <c r="L153" s="164">
        <f t="shared" ref="L153:L168" si="47">G153/K153</f>
        <v>0.41126855600539819</v>
      </c>
      <c r="M153" s="164">
        <f t="shared" ref="M153:M168" si="48">ROUNDUP(L153,0)</f>
        <v>1</v>
      </c>
      <c r="O153" s="195" t="s">
        <v>1060</v>
      </c>
      <c r="P153" s="279">
        <v>208</v>
      </c>
      <c r="Q153" s="297" t="s">
        <v>1411</v>
      </c>
      <c r="R153" s="9" t="s">
        <v>1450</v>
      </c>
      <c r="T153" s="195" t="s">
        <v>1060</v>
      </c>
      <c r="U153" s="298">
        <f t="shared" si="43"/>
        <v>49.352226720647785</v>
      </c>
      <c r="V153" s="300">
        <f>U153/9</f>
        <v>5.4835807467386424</v>
      </c>
    </row>
    <row r="154" spans="1:22" x14ac:dyDescent="0.2">
      <c r="A154" s="299"/>
      <c r="B154" s="244" t="s">
        <v>1070</v>
      </c>
      <c r="C154" s="244" t="s">
        <v>1140</v>
      </c>
      <c r="D154" s="275">
        <f t="shared" si="44"/>
        <v>8.3333333333333332E-3</v>
      </c>
      <c r="E154" s="164">
        <v>0.9</v>
      </c>
      <c r="F154" s="164">
        <v>0.9</v>
      </c>
      <c r="G154" s="275">
        <f t="shared" ref="G154:G167" si="49">D154/(E154*F154)</f>
        <v>1.0288065843621399E-2</v>
      </c>
      <c r="H154" s="319">
        <v>146.28</v>
      </c>
      <c r="I154" s="294">
        <f t="shared" si="45"/>
        <v>153.97894736842107</v>
      </c>
      <c r="J154" s="244">
        <v>2</v>
      </c>
      <c r="K154" s="275">
        <f t="shared" si="46"/>
        <v>1.2988788624555644E-2</v>
      </c>
      <c r="L154" s="164">
        <f t="shared" si="47"/>
        <v>0.792072774528915</v>
      </c>
      <c r="M154" s="164">
        <f t="shared" si="48"/>
        <v>1</v>
      </c>
      <c r="O154" s="195" t="s">
        <v>543</v>
      </c>
      <c r="P154" s="297">
        <v>120</v>
      </c>
      <c r="Q154" s="297" t="s">
        <v>1404</v>
      </c>
      <c r="T154" s="195" t="s">
        <v>543</v>
      </c>
      <c r="U154" s="298">
        <f t="shared" si="43"/>
        <v>95.048732943469801</v>
      </c>
      <c r="V154" s="300">
        <v>23.76218323586745</v>
      </c>
    </row>
    <row r="155" spans="1:22" x14ac:dyDescent="0.2">
      <c r="A155" s="299"/>
      <c r="B155" s="244" t="s">
        <v>774</v>
      </c>
      <c r="C155" s="244" t="s">
        <v>1140</v>
      </c>
      <c r="D155" s="275">
        <f>1/(P155*8)</f>
        <v>1.6666666666666668E-3</v>
      </c>
      <c r="E155" s="164">
        <v>0.9</v>
      </c>
      <c r="F155" s="164">
        <v>0.9</v>
      </c>
      <c r="G155" s="275">
        <f>D155/(E155*F155)</f>
        <v>2.05761316872428E-3</v>
      </c>
      <c r="H155" s="319">
        <v>146.28</v>
      </c>
      <c r="I155" s="294">
        <f t="shared" si="45"/>
        <v>153.97894736842107</v>
      </c>
      <c r="J155" s="244">
        <v>2</v>
      </c>
      <c r="K155" s="275">
        <f>J155/I155</f>
        <v>1.2988788624555644E-2</v>
      </c>
      <c r="L155" s="164">
        <f>G155/K155</f>
        <v>0.15841455490578302</v>
      </c>
      <c r="M155" s="164">
        <f>ROUNDUP(L155,0)</f>
        <v>1</v>
      </c>
      <c r="O155" s="195" t="s">
        <v>628</v>
      </c>
      <c r="P155" s="279">
        <v>75</v>
      </c>
      <c r="Q155" s="297" t="s">
        <v>1405</v>
      </c>
      <c r="T155" s="195" t="s">
        <v>628</v>
      </c>
      <c r="U155" s="298">
        <f t="shared" si="43"/>
        <v>19.009746588693961</v>
      </c>
      <c r="V155" s="300">
        <v>4.7524366471734902</v>
      </c>
    </row>
    <row r="156" spans="1:22" x14ac:dyDescent="0.2">
      <c r="A156" s="299"/>
      <c r="B156" s="244" t="s">
        <v>773</v>
      </c>
      <c r="C156" s="244" t="s">
        <v>1140</v>
      </c>
      <c r="D156" s="275">
        <f t="shared" si="44"/>
        <v>4.8169556840077066E-2</v>
      </c>
      <c r="E156" s="164">
        <v>0.9</v>
      </c>
      <c r="F156" s="164" t="s">
        <v>161</v>
      </c>
      <c r="G156" s="275">
        <f>D156/(E156)</f>
        <v>5.3521729822307851E-2</v>
      </c>
      <c r="H156" s="319">
        <v>146.28</v>
      </c>
      <c r="I156" s="294">
        <f t="shared" si="45"/>
        <v>153.97894736842107</v>
      </c>
      <c r="J156" s="244">
        <v>2</v>
      </c>
      <c r="K156" s="275">
        <f>J156/I156</f>
        <v>1.2988788624555644E-2</v>
      </c>
      <c r="L156" s="164">
        <f>G156/K156</f>
        <v>4.1206098096879966</v>
      </c>
      <c r="M156" s="164">
        <f>ROUNDUP(L156,0)</f>
        <v>5</v>
      </c>
      <c r="O156" s="195" t="s">
        <v>773</v>
      </c>
      <c r="P156" s="297">
        <v>20.76</v>
      </c>
      <c r="Q156" s="297" t="s">
        <v>1404</v>
      </c>
      <c r="R156" s="9" t="s">
        <v>1451</v>
      </c>
      <c r="T156" s="195" t="s">
        <v>773</v>
      </c>
      <c r="U156" s="298">
        <f t="shared" si="43"/>
        <v>98.894635432511919</v>
      </c>
      <c r="V156" s="300">
        <f>(U156*2)/9</f>
        <v>21.976585651669314</v>
      </c>
    </row>
    <row r="157" spans="1:22" x14ac:dyDescent="0.2">
      <c r="A157" s="299"/>
      <c r="B157" s="244" t="s">
        <v>1061</v>
      </c>
      <c r="C157" s="244" t="s">
        <v>1140</v>
      </c>
      <c r="D157" s="275">
        <f>1/(P157*8)</f>
        <v>5.0000000000000001E-3</v>
      </c>
      <c r="E157" s="164">
        <v>0.9</v>
      </c>
      <c r="F157" s="164">
        <v>0.9</v>
      </c>
      <c r="G157" s="275">
        <f t="shared" si="49"/>
        <v>6.1728395061728392E-3</v>
      </c>
      <c r="H157" s="248">
        <v>96.54</v>
      </c>
      <c r="I157" s="294">
        <f t="shared" si="45"/>
        <v>101.62105263157896</v>
      </c>
      <c r="J157" s="244">
        <v>2</v>
      </c>
      <c r="K157" s="275">
        <f t="shared" si="46"/>
        <v>1.9680961259581516E-2</v>
      </c>
      <c r="L157" s="164">
        <f t="shared" si="47"/>
        <v>0.31364522417154</v>
      </c>
      <c r="M157" s="164">
        <f t="shared" si="48"/>
        <v>1</v>
      </c>
      <c r="O157" s="195" t="s">
        <v>1079</v>
      </c>
      <c r="P157" s="297">
        <v>25</v>
      </c>
      <c r="Q157" s="297" t="s">
        <v>1405</v>
      </c>
      <c r="T157" s="195" t="s">
        <v>1079</v>
      </c>
      <c r="U157" s="298">
        <f t="shared" si="43"/>
        <v>37.637426900584799</v>
      </c>
      <c r="V157" s="300">
        <v>9.4093567251461998</v>
      </c>
    </row>
    <row r="158" spans="1:22" x14ac:dyDescent="0.2">
      <c r="A158" s="299"/>
      <c r="B158" s="244" t="s">
        <v>775</v>
      </c>
      <c r="C158" s="244" t="s">
        <v>1140</v>
      </c>
      <c r="D158" s="275">
        <f t="shared" si="44"/>
        <v>2E-3</v>
      </c>
      <c r="E158" s="164">
        <v>0.9</v>
      </c>
      <c r="F158" s="164">
        <v>0.9</v>
      </c>
      <c r="G158" s="275">
        <f t="shared" si="49"/>
        <v>2.4691358024691358E-3</v>
      </c>
      <c r="H158" s="319">
        <v>96.54</v>
      </c>
      <c r="I158" s="294">
        <f t="shared" si="45"/>
        <v>101.62105263157896</v>
      </c>
      <c r="J158" s="244">
        <v>2</v>
      </c>
      <c r="K158" s="275">
        <f t="shared" si="46"/>
        <v>1.9680961259581516E-2</v>
      </c>
      <c r="L158" s="164">
        <f t="shared" si="47"/>
        <v>0.12545808966861602</v>
      </c>
      <c r="M158" s="164">
        <f t="shared" si="48"/>
        <v>1</v>
      </c>
      <c r="O158" s="195" t="s">
        <v>544</v>
      </c>
      <c r="P158" s="297">
        <v>500</v>
      </c>
      <c r="Q158" s="297" t="s">
        <v>1404</v>
      </c>
      <c r="T158" s="195" t="s">
        <v>544</v>
      </c>
      <c r="U158" s="298">
        <f t="shared" si="43"/>
        <v>15.054970760233923</v>
      </c>
      <c r="V158" s="300">
        <v>3.7637426900584807</v>
      </c>
    </row>
    <row r="159" spans="1:22" x14ac:dyDescent="0.2">
      <c r="A159" s="299"/>
      <c r="B159" s="244" t="s">
        <v>1059</v>
      </c>
      <c r="C159" s="244" t="s">
        <v>1131</v>
      </c>
      <c r="D159" s="275">
        <f t="shared" si="44"/>
        <v>5.3248136315228968E-3</v>
      </c>
      <c r="E159" s="164">
        <v>0.9</v>
      </c>
      <c r="F159" s="164" t="s">
        <v>161</v>
      </c>
      <c r="G159" s="275">
        <f>D159/(E159)</f>
        <v>5.9164595905809962E-3</v>
      </c>
      <c r="H159" s="248">
        <v>67.790000000000006</v>
      </c>
      <c r="I159" s="294">
        <f t="shared" si="45"/>
        <v>71.357894736842113</v>
      </c>
      <c r="J159" s="244">
        <v>2</v>
      </c>
      <c r="K159" s="275">
        <f t="shared" si="46"/>
        <v>2.8027732703938633E-2</v>
      </c>
      <c r="L159" s="164">
        <f t="shared" si="47"/>
        <v>0.21109305033972933</v>
      </c>
      <c r="M159" s="164">
        <f t="shared" si="48"/>
        <v>1</v>
      </c>
      <c r="O159" s="297" t="s">
        <v>1059</v>
      </c>
      <c r="P159" s="279">
        <v>187.8</v>
      </c>
      <c r="Q159" s="297" t="s">
        <v>1404</v>
      </c>
      <c r="R159" s="9" t="s">
        <v>1414</v>
      </c>
      <c r="T159" s="297" t="s">
        <v>1059</v>
      </c>
      <c r="U159" s="298">
        <f t="shared" si="43"/>
        <v>25.331166040767521</v>
      </c>
      <c r="V159" s="300">
        <f>U159/9</f>
        <v>2.8145740045297245</v>
      </c>
    </row>
    <row r="160" spans="1:22" x14ac:dyDescent="0.2">
      <c r="A160" s="299"/>
      <c r="B160" s="244" t="s">
        <v>1060</v>
      </c>
      <c r="C160" s="244" t="s">
        <v>1131</v>
      </c>
      <c r="D160" s="275">
        <f t="shared" si="44"/>
        <v>7.9872204472843447E-3</v>
      </c>
      <c r="E160" s="164">
        <v>0.9</v>
      </c>
      <c r="F160" s="164" t="s">
        <v>161</v>
      </c>
      <c r="G160" s="275">
        <f t="shared" ref="G160:G163" si="50">D160/(E160)</f>
        <v>8.8746893858714943E-3</v>
      </c>
      <c r="H160" s="319">
        <v>67.790000000000006</v>
      </c>
      <c r="I160" s="294">
        <f t="shared" si="45"/>
        <v>71.357894736842113</v>
      </c>
      <c r="J160" s="244">
        <v>2</v>
      </c>
      <c r="K160" s="275">
        <f t="shared" si="46"/>
        <v>2.8027732703938633E-2</v>
      </c>
      <c r="L160" s="164">
        <f t="shared" si="47"/>
        <v>0.31663957550959404</v>
      </c>
      <c r="M160" s="164">
        <f t="shared" si="48"/>
        <v>1</v>
      </c>
      <c r="O160" s="297" t="s">
        <v>1060</v>
      </c>
      <c r="P160" s="279">
        <f>125.2</f>
        <v>125.2</v>
      </c>
      <c r="Q160" s="297" t="s">
        <v>1404</v>
      </c>
      <c r="R160" s="9" t="s">
        <v>1415</v>
      </c>
      <c r="T160" s="297" t="s">
        <v>1060</v>
      </c>
      <c r="U160" s="298">
        <f t="shared" si="43"/>
        <v>37.996749061151284</v>
      </c>
      <c r="V160" s="300">
        <f>U160/9</f>
        <v>4.2218610067945868</v>
      </c>
    </row>
    <row r="161" spans="1:22" x14ac:dyDescent="0.2">
      <c r="A161" s="299"/>
      <c r="B161" s="244" t="s">
        <v>1070</v>
      </c>
      <c r="C161" s="244" t="s">
        <v>1131</v>
      </c>
      <c r="D161" s="275">
        <f t="shared" si="44"/>
        <v>8.3333333333333332E-3</v>
      </c>
      <c r="E161" s="164">
        <v>0.9</v>
      </c>
      <c r="F161" s="164">
        <v>0.9</v>
      </c>
      <c r="G161" s="275">
        <f>D161/(E161*F161)</f>
        <v>1.0288065843621399E-2</v>
      </c>
      <c r="H161" s="319">
        <v>67.790000000000006</v>
      </c>
      <c r="I161" s="294">
        <f t="shared" si="45"/>
        <v>71.357894736842113</v>
      </c>
      <c r="J161" s="244">
        <v>2</v>
      </c>
      <c r="K161" s="275">
        <f t="shared" si="46"/>
        <v>2.8027732703938633E-2</v>
      </c>
      <c r="L161" s="164">
        <f t="shared" si="47"/>
        <v>0.36706735975741828</v>
      </c>
      <c r="M161" s="164">
        <f t="shared" si="48"/>
        <v>1</v>
      </c>
      <c r="O161" s="297" t="s">
        <v>543</v>
      </c>
      <c r="P161" s="297">
        <v>120</v>
      </c>
      <c r="Q161" s="297" t="s">
        <v>1404</v>
      </c>
      <c r="T161" s="297" t="s">
        <v>543</v>
      </c>
      <c r="U161" s="298">
        <f t="shared" si="43"/>
        <v>44.048083170890195</v>
      </c>
      <c r="V161" s="300">
        <v>11.012020792722549</v>
      </c>
    </row>
    <row r="162" spans="1:22" x14ac:dyDescent="0.2">
      <c r="B162" s="244" t="s">
        <v>773</v>
      </c>
      <c r="C162" s="244" t="s">
        <v>1131</v>
      </c>
      <c r="D162" s="275">
        <f t="shared" si="44"/>
        <v>0.13303179459890913</v>
      </c>
      <c r="E162" s="164">
        <v>0.9</v>
      </c>
      <c r="F162" s="164" t="s">
        <v>161</v>
      </c>
      <c r="G162" s="275">
        <f t="shared" si="50"/>
        <v>0.14781310510989903</v>
      </c>
      <c r="H162" s="319">
        <v>67.790000000000006</v>
      </c>
      <c r="I162" s="294">
        <f t="shared" si="45"/>
        <v>71.357894736842113</v>
      </c>
      <c r="J162" s="244">
        <v>2</v>
      </c>
      <c r="K162" s="275">
        <f t="shared" si="46"/>
        <v>2.8027732703938633E-2</v>
      </c>
      <c r="L162" s="164">
        <f t="shared" si="47"/>
        <v>5.2738159975789767</v>
      </c>
      <c r="M162" s="164">
        <f t="shared" si="48"/>
        <v>6</v>
      </c>
      <c r="O162" s="297" t="s">
        <v>773</v>
      </c>
      <c r="P162" s="279">
        <v>7.5170000000000003</v>
      </c>
      <c r="Q162" s="297" t="s">
        <v>1404</v>
      </c>
      <c r="R162" s="9" t="s">
        <v>1431</v>
      </c>
      <c r="T162" s="297" t="s">
        <v>773</v>
      </c>
      <c r="U162" s="298">
        <f t="shared" si="43"/>
        <v>105.47631995157954</v>
      </c>
      <c r="V162" s="300">
        <f>(U162*2)/9</f>
        <v>23.439182211462121</v>
      </c>
    </row>
    <row r="163" spans="1:22" x14ac:dyDescent="0.2">
      <c r="B163" s="244" t="s">
        <v>1128</v>
      </c>
      <c r="C163" s="244" t="s">
        <v>1132</v>
      </c>
      <c r="D163" s="275">
        <f t="shared" si="44"/>
        <v>1.5151515151515152E-2</v>
      </c>
      <c r="E163" s="164">
        <v>0.9</v>
      </c>
      <c r="F163" s="164" t="s">
        <v>161</v>
      </c>
      <c r="G163" s="275">
        <f t="shared" si="50"/>
        <v>1.6835016835016835E-2</v>
      </c>
      <c r="H163" s="298">
        <v>359.82</v>
      </c>
      <c r="I163" s="294">
        <f t="shared" si="45"/>
        <v>378.7578947368421</v>
      </c>
      <c r="J163" s="244">
        <v>2</v>
      </c>
      <c r="K163" s="275">
        <f t="shared" si="46"/>
        <v>5.280417986771163E-3</v>
      </c>
      <c r="L163" s="164">
        <f t="shared" si="47"/>
        <v>3.1881977671451356</v>
      </c>
      <c r="M163" s="164">
        <f t="shared" si="48"/>
        <v>4</v>
      </c>
      <c r="O163" s="195" t="s">
        <v>1128</v>
      </c>
      <c r="P163" s="297">
        <v>66</v>
      </c>
      <c r="Q163" s="297" t="s">
        <v>1404</v>
      </c>
      <c r="R163" s="9" t="s">
        <v>1416</v>
      </c>
      <c r="T163" s="195" t="s">
        <v>1128</v>
      </c>
      <c r="U163" s="298">
        <f t="shared" si="43"/>
        <v>95.645933014354071</v>
      </c>
      <c r="V163" s="300">
        <f>U163/9</f>
        <v>10.627325890483785</v>
      </c>
    </row>
    <row r="164" spans="1:22" x14ac:dyDescent="0.2">
      <c r="B164" s="244" t="s">
        <v>777</v>
      </c>
      <c r="C164" s="244" t="s">
        <v>1132</v>
      </c>
      <c r="D164" s="275">
        <f>1/(P164*8)</f>
        <v>1.6666666666666668E-3</v>
      </c>
      <c r="E164" s="164">
        <v>0.9</v>
      </c>
      <c r="F164" s="164">
        <v>0.9</v>
      </c>
      <c r="G164" s="275">
        <f t="shared" si="49"/>
        <v>2.05761316872428E-3</v>
      </c>
      <c r="H164" s="319">
        <v>359.82</v>
      </c>
      <c r="I164" s="294">
        <f t="shared" si="45"/>
        <v>378.7578947368421</v>
      </c>
      <c r="J164" s="244">
        <v>2</v>
      </c>
      <c r="K164" s="275">
        <f t="shared" si="46"/>
        <v>5.280417986771163E-3</v>
      </c>
      <c r="L164" s="164">
        <f t="shared" si="47"/>
        <v>0.3896686159844055</v>
      </c>
      <c r="M164" s="164">
        <f t="shared" si="48"/>
        <v>1</v>
      </c>
      <c r="O164" s="195" t="s">
        <v>628</v>
      </c>
      <c r="P164" s="297">
        <v>75</v>
      </c>
      <c r="Q164" s="297" t="s">
        <v>1405</v>
      </c>
      <c r="T164" s="195" t="s">
        <v>628</v>
      </c>
      <c r="U164" s="298">
        <f t="shared" si="43"/>
        <v>46.760233918128662</v>
      </c>
      <c r="V164" s="300">
        <v>11.690058479532199</v>
      </c>
    </row>
    <row r="165" spans="1:22" x14ac:dyDescent="0.2">
      <c r="B165" s="244" t="s">
        <v>778</v>
      </c>
      <c r="C165" s="244" t="s">
        <v>1133</v>
      </c>
      <c r="D165" s="275">
        <f>1/(P165*0.3)</f>
        <v>1.8518518518518519E-3</v>
      </c>
      <c r="E165" s="164">
        <v>0.9</v>
      </c>
      <c r="F165" s="164">
        <v>0.9</v>
      </c>
      <c r="G165" s="275">
        <f t="shared" si="49"/>
        <v>2.2862368541380885E-3</v>
      </c>
      <c r="H165" s="298">
        <v>351.04</v>
      </c>
      <c r="I165" s="294">
        <f t="shared" si="45"/>
        <v>369.51578947368426</v>
      </c>
      <c r="J165" s="244">
        <v>2</v>
      </c>
      <c r="K165" s="275">
        <f t="shared" si="46"/>
        <v>5.4124886052871459E-3</v>
      </c>
      <c r="L165" s="164">
        <f t="shared" si="47"/>
        <v>0.42240030804033407</v>
      </c>
      <c r="M165" s="164">
        <f t="shared" si="48"/>
        <v>1</v>
      </c>
      <c r="O165" s="195" t="s">
        <v>586</v>
      </c>
      <c r="P165" s="298">
        <v>1800</v>
      </c>
      <c r="Q165" s="297" t="s">
        <v>1407</v>
      </c>
      <c r="T165" s="195" t="s">
        <v>586</v>
      </c>
      <c r="U165" s="298">
        <f t="shared" si="43"/>
        <v>50.688036964840087</v>
      </c>
      <c r="V165" s="300">
        <f>U165/9</f>
        <v>5.6320041072044544</v>
      </c>
    </row>
    <row r="166" spans="1:22" x14ac:dyDescent="0.2">
      <c r="B166" s="244" t="s">
        <v>779</v>
      </c>
      <c r="C166" s="244" t="s">
        <v>1133</v>
      </c>
      <c r="D166" s="275">
        <f t="shared" si="44"/>
        <v>8.3333333333333339E-4</v>
      </c>
      <c r="E166" s="164">
        <v>0.9</v>
      </c>
      <c r="F166" s="164" t="s">
        <v>161</v>
      </c>
      <c r="G166" s="275">
        <f>D166/(E166)</f>
        <v>9.2592592592592596E-4</v>
      </c>
      <c r="H166" s="319">
        <v>351.04</v>
      </c>
      <c r="I166" s="294">
        <f t="shared" si="45"/>
        <v>369.51578947368426</v>
      </c>
      <c r="J166" s="244">
        <v>2</v>
      </c>
      <c r="K166" s="275">
        <f t="shared" si="46"/>
        <v>5.4124886052871459E-3</v>
      </c>
      <c r="L166" s="164">
        <f t="shared" si="47"/>
        <v>0.17107212475633532</v>
      </c>
      <c r="M166" s="164">
        <f t="shared" si="48"/>
        <v>1</v>
      </c>
      <c r="O166" s="195" t="s">
        <v>779</v>
      </c>
      <c r="P166" s="298">
        <v>1200</v>
      </c>
      <c r="Q166" s="297" t="s">
        <v>1407</v>
      </c>
      <c r="R166" s="9" t="s">
        <v>1417</v>
      </c>
      <c r="T166" s="195" t="s">
        <v>779</v>
      </c>
      <c r="U166" s="298">
        <f t="shared" si="43"/>
        <v>20.52865497076024</v>
      </c>
      <c r="V166" s="300">
        <f>U166/9</f>
        <v>2.2809616634178043</v>
      </c>
    </row>
    <row r="167" spans="1:22" x14ac:dyDescent="0.2">
      <c r="B167" s="244" t="s">
        <v>780</v>
      </c>
      <c r="C167" s="244" t="s">
        <v>1133</v>
      </c>
      <c r="D167" s="275">
        <f>1/(P167*0.3)</f>
        <v>4.6296296296296294E-3</v>
      </c>
      <c r="E167" s="164">
        <v>0.9</v>
      </c>
      <c r="F167" s="164">
        <v>0.9</v>
      </c>
      <c r="G167" s="275">
        <f t="shared" si="49"/>
        <v>5.7155921353452214E-3</v>
      </c>
      <c r="H167" s="319">
        <v>351.04</v>
      </c>
      <c r="I167" s="294">
        <f t="shared" si="45"/>
        <v>369.51578947368426</v>
      </c>
      <c r="J167" s="244">
        <v>2</v>
      </c>
      <c r="K167" s="275">
        <f t="shared" si="46"/>
        <v>5.4124886052871459E-3</v>
      </c>
      <c r="L167" s="164">
        <f t="shared" si="47"/>
        <v>1.0560007701008352</v>
      </c>
      <c r="M167" s="164">
        <f t="shared" si="48"/>
        <v>2</v>
      </c>
      <c r="O167" s="195" t="s">
        <v>755</v>
      </c>
      <c r="P167" s="297">
        <v>720</v>
      </c>
      <c r="Q167" s="297" t="s">
        <v>1407</v>
      </c>
      <c r="T167" s="195" t="s">
        <v>755</v>
      </c>
      <c r="U167" s="298">
        <f t="shared" si="43"/>
        <v>63.360046206050107</v>
      </c>
      <c r="V167" s="300">
        <f>U167/9</f>
        <v>7.0400051340055674</v>
      </c>
    </row>
    <row r="168" spans="1:22" x14ac:dyDescent="0.2">
      <c r="B168" s="244" t="s">
        <v>781</v>
      </c>
      <c r="C168" s="244" t="s">
        <v>1133</v>
      </c>
      <c r="D168" s="275">
        <f t="shared" si="44"/>
        <v>8.3333333333333339E-4</v>
      </c>
      <c r="E168" s="164">
        <v>0.9</v>
      </c>
      <c r="F168" s="164" t="s">
        <v>161</v>
      </c>
      <c r="G168" s="275">
        <f>D168/(E168)</f>
        <v>9.2592592592592596E-4</v>
      </c>
      <c r="H168" s="319">
        <v>351.04</v>
      </c>
      <c r="I168" s="294">
        <f t="shared" si="45"/>
        <v>369.51578947368426</v>
      </c>
      <c r="J168" s="244">
        <v>2</v>
      </c>
      <c r="K168" s="275">
        <f t="shared" si="46"/>
        <v>5.4124886052871459E-3</v>
      </c>
      <c r="L168" s="164">
        <f t="shared" si="47"/>
        <v>0.17107212475633532</v>
      </c>
      <c r="M168" s="164">
        <f t="shared" si="48"/>
        <v>1</v>
      </c>
      <c r="O168" s="195" t="s">
        <v>781</v>
      </c>
      <c r="P168" s="298">
        <v>1200</v>
      </c>
      <c r="Q168" s="297" t="s">
        <v>1407</v>
      </c>
      <c r="R168" s="9" t="s">
        <v>1417</v>
      </c>
      <c r="T168" s="195" t="s">
        <v>781</v>
      </c>
      <c r="U168" s="298">
        <f t="shared" si="43"/>
        <v>20.52865497076024</v>
      </c>
      <c r="V168" s="300">
        <f>U168/9</f>
        <v>2.2809616634178043</v>
      </c>
    </row>
    <row r="170" spans="1:22" x14ac:dyDescent="0.2">
      <c r="B170" s="527" t="s">
        <v>358</v>
      </c>
      <c r="C170" s="510" t="s">
        <v>1136</v>
      </c>
      <c r="D170" s="510" t="s">
        <v>1137</v>
      </c>
    </row>
    <row r="171" spans="1:22" x14ac:dyDescent="0.2">
      <c r="B171" s="527"/>
      <c r="C171" s="510"/>
      <c r="D171" s="510"/>
    </row>
    <row r="172" spans="1:22" ht="25.5" x14ac:dyDescent="0.2">
      <c r="B172" s="433" t="s">
        <v>1920</v>
      </c>
      <c r="C172" s="164">
        <f>L152+L153+L154+L155+L156</f>
        <v>5.7565447324650245</v>
      </c>
      <c r="D172" s="164">
        <f>ROUNDUP(C172,0)</f>
        <v>6</v>
      </c>
    </row>
    <row r="173" spans="1:22" x14ac:dyDescent="0.2">
      <c r="B173" s="433" t="s">
        <v>1921</v>
      </c>
      <c r="C173" s="164">
        <f>L157+L158</f>
        <v>0.439103313840156</v>
      </c>
      <c r="D173" s="164">
        <f t="shared" ref="D173:D176" si="51">ROUNDUP(C173,0)</f>
        <v>1</v>
      </c>
    </row>
    <row r="174" spans="1:22" ht="25.5" x14ac:dyDescent="0.2">
      <c r="B174" s="433" t="s">
        <v>1916</v>
      </c>
      <c r="C174" s="164">
        <f>L159+L160+L161+L162</f>
        <v>6.1686159831857186</v>
      </c>
      <c r="D174" s="164">
        <f t="shared" si="51"/>
        <v>7</v>
      </c>
    </row>
    <row r="175" spans="1:22" x14ac:dyDescent="0.2">
      <c r="B175" s="433" t="s">
        <v>1918</v>
      </c>
      <c r="C175" s="164">
        <f>L163+L164</f>
        <v>3.5778663831295412</v>
      </c>
      <c r="D175" s="164">
        <f t="shared" si="51"/>
        <v>4</v>
      </c>
    </row>
    <row r="176" spans="1:22" x14ac:dyDescent="0.2">
      <c r="B176" s="433" t="s">
        <v>1919</v>
      </c>
      <c r="C176" s="164">
        <f>L165+L166+L167+L168</f>
        <v>1.8205453276538399</v>
      </c>
      <c r="D176" s="164">
        <f t="shared" si="51"/>
        <v>2</v>
      </c>
    </row>
    <row r="178" spans="2:6" ht="12.75" customHeight="1" x14ac:dyDescent="0.2">
      <c r="B178" s="527" t="s">
        <v>358</v>
      </c>
      <c r="C178" s="499" t="s">
        <v>1930</v>
      </c>
      <c r="D178" s="500"/>
      <c r="E178" s="500"/>
      <c r="F178" s="501"/>
    </row>
    <row r="179" spans="2:6" x14ac:dyDescent="0.2">
      <c r="B179" s="527"/>
      <c r="C179" s="436" t="s">
        <v>147</v>
      </c>
      <c r="D179" s="436" t="s">
        <v>148</v>
      </c>
      <c r="E179" s="436" t="s">
        <v>730</v>
      </c>
      <c r="F179" s="436" t="s">
        <v>144</v>
      </c>
    </row>
    <row r="180" spans="2:6" ht="25.5" x14ac:dyDescent="0.2">
      <c r="B180" s="437" t="s">
        <v>1916</v>
      </c>
      <c r="C180" s="435">
        <v>7</v>
      </c>
      <c r="D180" s="435">
        <v>7</v>
      </c>
      <c r="E180" s="435">
        <v>4</v>
      </c>
      <c r="F180" s="435">
        <v>6</v>
      </c>
    </row>
    <row r="181" spans="2:6" x14ac:dyDescent="0.2">
      <c r="B181" s="437" t="s">
        <v>1921</v>
      </c>
      <c r="C181" s="435">
        <v>1</v>
      </c>
      <c r="D181" s="435">
        <v>1</v>
      </c>
      <c r="E181" s="435">
        <v>1</v>
      </c>
      <c r="F181" s="435">
        <v>1</v>
      </c>
    </row>
    <row r="182" spans="2:6" ht="25.5" x14ac:dyDescent="0.2">
      <c r="B182" s="437" t="s">
        <v>1916</v>
      </c>
      <c r="C182" s="435">
        <v>7</v>
      </c>
      <c r="D182" s="435">
        <v>6</v>
      </c>
      <c r="E182" s="435">
        <v>6</v>
      </c>
      <c r="F182" s="435">
        <v>7</v>
      </c>
    </row>
    <row r="183" spans="2:6" x14ac:dyDescent="0.2">
      <c r="B183" s="437" t="s">
        <v>1918</v>
      </c>
      <c r="C183" s="435">
        <v>4</v>
      </c>
      <c r="D183" s="435">
        <v>4</v>
      </c>
      <c r="E183" s="435">
        <v>4</v>
      </c>
      <c r="F183" s="435">
        <v>4</v>
      </c>
    </row>
    <row r="184" spans="2:6" x14ac:dyDescent="0.2">
      <c r="B184" s="437" t="s">
        <v>1919</v>
      </c>
      <c r="C184" s="435">
        <v>2</v>
      </c>
      <c r="D184" s="435">
        <v>2</v>
      </c>
      <c r="E184" s="435">
        <v>2</v>
      </c>
      <c r="F184" s="435">
        <v>2</v>
      </c>
    </row>
    <row r="185" spans="2:6" x14ac:dyDescent="0.2">
      <c r="B185" s="15"/>
      <c r="C185" s="435">
        <f t="shared" ref="C185:E185" si="52">SUM(C180:C184)</f>
        <v>21</v>
      </c>
      <c r="D185" s="435">
        <f t="shared" si="52"/>
        <v>20</v>
      </c>
      <c r="E185" s="435">
        <f t="shared" si="52"/>
        <v>17</v>
      </c>
      <c r="F185" s="435">
        <f>SUM(F180:F184)</f>
        <v>20</v>
      </c>
    </row>
  </sheetData>
  <mergeCells count="100">
    <mergeCell ref="B178:B179"/>
    <mergeCell ref="C178:F178"/>
    <mergeCell ref="V150:V151"/>
    <mergeCell ref="O121:O122"/>
    <mergeCell ref="P121:P122"/>
    <mergeCell ref="Q121:Q122"/>
    <mergeCell ref="T121:T122"/>
    <mergeCell ref="U121:U122"/>
    <mergeCell ref="O150:O151"/>
    <mergeCell ref="P150:P151"/>
    <mergeCell ref="Q150:Q151"/>
    <mergeCell ref="T150:T151"/>
    <mergeCell ref="U150:U151"/>
    <mergeCell ref="L121:L122"/>
    <mergeCell ref="M121:M122"/>
    <mergeCell ref="B150:B151"/>
    <mergeCell ref="O92:O93"/>
    <mergeCell ref="P92:P93"/>
    <mergeCell ref="Q92:Q93"/>
    <mergeCell ref="T92:T93"/>
    <mergeCell ref="V121:V122"/>
    <mergeCell ref="U92:U93"/>
    <mergeCell ref="V92:V93"/>
    <mergeCell ref="U63:U64"/>
    <mergeCell ref="V63:V64"/>
    <mergeCell ref="P51:P52"/>
    <mergeCell ref="T63:T64"/>
    <mergeCell ref="O51:O52"/>
    <mergeCell ref="Q51:Q52"/>
    <mergeCell ref="O63:O64"/>
    <mergeCell ref="P63:P64"/>
    <mergeCell ref="Q63:Q64"/>
    <mergeCell ref="E121:E122"/>
    <mergeCell ref="F121:F122"/>
    <mergeCell ref="M150:M151"/>
    <mergeCell ref="G121:G122"/>
    <mergeCell ref="H121:H122"/>
    <mergeCell ref="I121:I122"/>
    <mergeCell ref="J121:J122"/>
    <mergeCell ref="K121:K122"/>
    <mergeCell ref="H150:H151"/>
    <mergeCell ref="I150:I151"/>
    <mergeCell ref="J150:J151"/>
    <mergeCell ref="K150:K151"/>
    <mergeCell ref="L150:L151"/>
    <mergeCell ref="E150:E151"/>
    <mergeCell ref="F150:F151"/>
    <mergeCell ref="G150:G151"/>
    <mergeCell ref="M63:M64"/>
    <mergeCell ref="B92:B93"/>
    <mergeCell ref="C92:C93"/>
    <mergeCell ref="D92:D93"/>
    <mergeCell ref="E92:E93"/>
    <mergeCell ref="F92:F93"/>
    <mergeCell ref="G92:G93"/>
    <mergeCell ref="H92:H93"/>
    <mergeCell ref="I92:I93"/>
    <mergeCell ref="J92:J93"/>
    <mergeCell ref="K92:K93"/>
    <mergeCell ref="L92:L93"/>
    <mergeCell ref="M92:M93"/>
    <mergeCell ref="B63:B64"/>
    <mergeCell ref="C63:C64"/>
    <mergeCell ref="F63:F64"/>
    <mergeCell ref="G63:G64"/>
    <mergeCell ref="I63:I64"/>
    <mergeCell ref="J63:J64"/>
    <mergeCell ref="L63:L64"/>
    <mergeCell ref="I51:I52"/>
    <mergeCell ref="J51:J52"/>
    <mergeCell ref="K51:K52"/>
    <mergeCell ref="L51:L52"/>
    <mergeCell ref="H63:H64"/>
    <mergeCell ref="K63:K64"/>
    <mergeCell ref="F51:F52"/>
    <mergeCell ref="H51:H52"/>
    <mergeCell ref="B51:B52"/>
    <mergeCell ref="C51:C52"/>
    <mergeCell ref="G51:G52"/>
    <mergeCell ref="B83:B84"/>
    <mergeCell ref="C83:C84"/>
    <mergeCell ref="D83:D84"/>
    <mergeCell ref="D51:D52"/>
    <mergeCell ref="E51:E52"/>
    <mergeCell ref="D63:D64"/>
    <mergeCell ref="E63:E64"/>
    <mergeCell ref="B170:B171"/>
    <mergeCell ref="C170:C171"/>
    <mergeCell ref="D170:D171"/>
    <mergeCell ref="B112:B113"/>
    <mergeCell ref="C112:C113"/>
    <mergeCell ref="D112:D113"/>
    <mergeCell ref="B141:B142"/>
    <mergeCell ref="C141:C142"/>
    <mergeCell ref="D141:D142"/>
    <mergeCell ref="B121:B122"/>
    <mergeCell ref="C121:C122"/>
    <mergeCell ref="D121:D122"/>
    <mergeCell ref="C150:C151"/>
    <mergeCell ref="D150:D151"/>
  </mergeCells>
  <pageMargins left="0.7" right="0.7" top="0.75" bottom="0.75" header="0.3" footer="0.3"/>
  <pageSetup orientation="portrait" r:id="rId1"/>
  <ignoredErrors>
    <ignoredError sqref="D79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91"/>
  <sheetViews>
    <sheetView zoomScale="85" zoomScaleNormal="85" zoomScalePageLayoutView="85" workbookViewId="0"/>
  </sheetViews>
  <sheetFormatPr baseColWidth="10" defaultColWidth="10.85546875" defaultRowHeight="15" x14ac:dyDescent="0.25"/>
  <cols>
    <col min="1" max="1" width="11.42578125" customWidth="1"/>
    <col min="2" max="2" width="69.85546875" customWidth="1"/>
    <col min="4" max="4" width="24.140625" customWidth="1"/>
    <col min="5" max="7" width="17.140625" customWidth="1"/>
    <col min="8" max="8" width="24.140625" customWidth="1"/>
    <col min="9" max="9" width="17.140625" customWidth="1"/>
    <col min="11" max="11" width="18.140625" customWidth="1"/>
    <col min="12" max="12" width="29.42578125" customWidth="1"/>
    <col min="14" max="14" width="5.7109375" customWidth="1"/>
    <col min="15" max="22" width="7.140625" customWidth="1"/>
    <col min="23" max="43" width="2.85546875" customWidth="1"/>
    <col min="47" max="52" width="8.42578125" customWidth="1"/>
    <col min="54" max="59" width="4.42578125" customWidth="1"/>
    <col min="60" max="60" width="5.7109375" customWidth="1"/>
    <col min="61" max="61" width="20.7109375" bestFit="1" customWidth="1"/>
    <col min="62" max="62" width="11.42578125" customWidth="1"/>
    <col min="64" max="67" width="18.42578125" customWidth="1"/>
  </cols>
  <sheetData>
    <row r="1" spans="1:9" x14ac:dyDescent="0.25">
      <c r="A1" s="159" t="s">
        <v>384</v>
      </c>
      <c r="D1" s="568" t="s">
        <v>591</v>
      </c>
      <c r="E1" s="568"/>
    </row>
    <row r="3" spans="1:9" x14ac:dyDescent="0.25">
      <c r="A3" s="507" t="s">
        <v>382</v>
      </c>
      <c r="B3" s="507" t="s">
        <v>107</v>
      </c>
      <c r="D3" s="507" t="s">
        <v>368</v>
      </c>
      <c r="E3" s="507" t="s">
        <v>9</v>
      </c>
      <c r="F3" s="507" t="s">
        <v>136</v>
      </c>
      <c r="G3" s="507" t="s">
        <v>369</v>
      </c>
      <c r="H3" s="507" t="s">
        <v>370</v>
      </c>
      <c r="I3" s="504" t="s">
        <v>627</v>
      </c>
    </row>
    <row r="4" spans="1:9" x14ac:dyDescent="0.25">
      <c r="A4" s="509"/>
      <c r="B4" s="509"/>
      <c r="D4" s="509"/>
      <c r="E4" s="509"/>
      <c r="F4" s="509"/>
      <c r="G4" s="509"/>
      <c r="H4" s="509"/>
      <c r="I4" s="506"/>
    </row>
    <row r="5" spans="1:9" ht="15" customHeight="1" x14ac:dyDescent="0.25">
      <c r="A5" s="44">
        <v>1</v>
      </c>
      <c r="B5" s="49" t="s">
        <v>388</v>
      </c>
      <c r="D5" s="559" t="s">
        <v>543</v>
      </c>
      <c r="E5" s="573">
        <v>2</v>
      </c>
      <c r="F5" s="559" t="s">
        <v>625</v>
      </c>
      <c r="G5" s="45" t="s">
        <v>623</v>
      </c>
      <c r="H5" s="559" t="s">
        <v>1057</v>
      </c>
      <c r="I5" s="566">
        <v>3800</v>
      </c>
    </row>
    <row r="6" spans="1:9" x14ac:dyDescent="0.25">
      <c r="A6" s="44">
        <v>2</v>
      </c>
      <c r="B6" s="49" t="s">
        <v>385</v>
      </c>
      <c r="D6" s="560"/>
      <c r="E6" s="574"/>
      <c r="F6" s="560"/>
      <c r="G6" s="45" t="s">
        <v>622</v>
      </c>
      <c r="H6" s="560"/>
      <c r="I6" s="569"/>
    </row>
    <row r="7" spans="1:9" x14ac:dyDescent="0.25">
      <c r="A7" s="44">
        <v>3</v>
      </c>
      <c r="B7" s="49" t="s">
        <v>1926</v>
      </c>
      <c r="D7" s="561"/>
      <c r="E7" s="575"/>
      <c r="F7" s="561"/>
      <c r="G7" s="45" t="s">
        <v>624</v>
      </c>
      <c r="H7" s="561"/>
      <c r="I7" s="567"/>
    </row>
    <row r="8" spans="1:9" ht="15" customHeight="1" x14ac:dyDescent="0.25">
      <c r="A8" s="44">
        <v>4</v>
      </c>
      <c r="B8" s="49" t="s">
        <v>1924</v>
      </c>
      <c r="D8" s="559" t="s">
        <v>628</v>
      </c>
      <c r="E8" s="570">
        <v>1</v>
      </c>
      <c r="F8" s="492" t="s">
        <v>626</v>
      </c>
      <c r="G8" s="45" t="s">
        <v>630</v>
      </c>
      <c r="H8" s="559" t="s">
        <v>1433</v>
      </c>
      <c r="I8" s="566">
        <v>12870</v>
      </c>
    </row>
    <row r="9" spans="1:9" x14ac:dyDescent="0.25">
      <c r="A9" s="44">
        <v>5</v>
      </c>
      <c r="B9" s="49" t="s">
        <v>1925</v>
      </c>
      <c r="D9" s="560"/>
      <c r="E9" s="571"/>
      <c r="F9" s="493"/>
      <c r="G9" s="45" t="s">
        <v>629</v>
      </c>
      <c r="H9" s="560"/>
      <c r="I9" s="569"/>
    </row>
    <row r="10" spans="1:9" x14ac:dyDescent="0.25">
      <c r="A10" s="44">
        <v>6</v>
      </c>
      <c r="B10" s="49" t="s">
        <v>1927</v>
      </c>
      <c r="D10" s="561"/>
      <c r="E10" s="572"/>
      <c r="F10" s="494"/>
      <c r="G10" s="45" t="s">
        <v>615</v>
      </c>
      <c r="H10" s="561"/>
      <c r="I10" s="567"/>
    </row>
    <row r="11" spans="1:9" ht="15" customHeight="1" x14ac:dyDescent="0.25">
      <c r="A11" s="44">
        <v>7</v>
      </c>
      <c r="B11" s="49" t="s">
        <v>389</v>
      </c>
      <c r="D11" s="559" t="s">
        <v>1065</v>
      </c>
      <c r="E11" s="570">
        <v>1</v>
      </c>
      <c r="F11" s="492" t="s">
        <v>1083</v>
      </c>
      <c r="G11" s="234" t="s">
        <v>1081</v>
      </c>
      <c r="H11" s="559" t="s">
        <v>1434</v>
      </c>
      <c r="I11" s="566">
        <v>2973.6</v>
      </c>
    </row>
    <row r="12" spans="1:9" x14ac:dyDescent="0.25">
      <c r="A12" s="44">
        <v>8</v>
      </c>
      <c r="B12" s="49" t="s">
        <v>391</v>
      </c>
      <c r="D12" s="560"/>
      <c r="E12" s="571"/>
      <c r="F12" s="493"/>
      <c r="G12" s="234" t="s">
        <v>1082</v>
      </c>
      <c r="H12" s="560"/>
      <c r="I12" s="569"/>
    </row>
    <row r="13" spans="1:9" x14ac:dyDescent="0.25">
      <c r="A13" s="44">
        <v>9</v>
      </c>
      <c r="B13" s="49" t="s">
        <v>386</v>
      </c>
      <c r="D13" s="561"/>
      <c r="E13" s="572"/>
      <c r="F13" s="494"/>
      <c r="G13" s="234" t="s">
        <v>1080</v>
      </c>
      <c r="H13" s="561"/>
      <c r="I13" s="567"/>
    </row>
    <row r="14" spans="1:9" ht="15" customHeight="1" x14ac:dyDescent="0.25">
      <c r="A14" s="44">
        <v>10</v>
      </c>
      <c r="B14" s="49" t="s">
        <v>390</v>
      </c>
      <c r="D14" s="559" t="s">
        <v>585</v>
      </c>
      <c r="E14" s="570">
        <v>1</v>
      </c>
      <c r="F14" s="492" t="s">
        <v>626</v>
      </c>
      <c r="G14" s="45" t="s">
        <v>1437</v>
      </c>
      <c r="H14" s="559" t="s">
        <v>1435</v>
      </c>
      <c r="I14" s="566">
        <v>7350</v>
      </c>
    </row>
    <row r="15" spans="1:9" x14ac:dyDescent="0.25">
      <c r="A15" s="44">
        <v>11</v>
      </c>
      <c r="B15" s="49" t="s">
        <v>392</v>
      </c>
      <c r="D15" s="560"/>
      <c r="E15" s="571"/>
      <c r="F15" s="493"/>
      <c r="G15" s="45" t="s">
        <v>1438</v>
      </c>
      <c r="H15" s="560"/>
      <c r="I15" s="569"/>
    </row>
    <row r="16" spans="1:9" x14ac:dyDescent="0.25">
      <c r="A16" s="44">
        <v>12</v>
      </c>
      <c r="B16" s="49" t="s">
        <v>387</v>
      </c>
      <c r="D16" s="561"/>
      <c r="E16" s="572"/>
      <c r="F16" s="494"/>
      <c r="G16" s="45" t="s">
        <v>1436</v>
      </c>
      <c r="H16" s="561"/>
      <c r="I16" s="567"/>
    </row>
    <row r="17" spans="1:10" ht="15" customHeight="1" x14ac:dyDescent="0.25">
      <c r="A17" s="44">
        <v>13</v>
      </c>
      <c r="B17" s="49" t="s">
        <v>393</v>
      </c>
      <c r="D17" s="559" t="s">
        <v>586</v>
      </c>
      <c r="E17" s="570">
        <v>1</v>
      </c>
      <c r="F17" s="492" t="s">
        <v>631</v>
      </c>
      <c r="G17" s="45" t="s">
        <v>634</v>
      </c>
      <c r="H17" s="559" t="s">
        <v>1058</v>
      </c>
      <c r="I17" s="566">
        <v>7500</v>
      </c>
      <c r="J17" s="156"/>
    </row>
    <row r="18" spans="1:10" x14ac:dyDescent="0.25">
      <c r="A18" s="49">
        <v>14</v>
      </c>
      <c r="B18" s="49" t="s">
        <v>406</v>
      </c>
      <c r="D18" s="560"/>
      <c r="E18" s="571"/>
      <c r="F18" s="493"/>
      <c r="G18" s="45" t="s">
        <v>632</v>
      </c>
      <c r="H18" s="560"/>
      <c r="I18" s="569"/>
    </row>
    <row r="19" spans="1:10" x14ac:dyDescent="0.25">
      <c r="D19" s="561"/>
      <c r="E19" s="572"/>
      <c r="F19" s="494"/>
      <c r="G19" s="45" t="s">
        <v>633</v>
      </c>
      <c r="H19" s="561"/>
      <c r="I19" s="567"/>
    </row>
    <row r="20" spans="1:10" ht="15" customHeight="1" x14ac:dyDescent="0.25">
      <c r="B20" s="150" t="s">
        <v>619</v>
      </c>
      <c r="D20" s="559" t="s">
        <v>755</v>
      </c>
      <c r="E20" s="570">
        <v>2</v>
      </c>
      <c r="F20" s="492" t="s">
        <v>757</v>
      </c>
      <c r="G20" s="190" t="s">
        <v>759</v>
      </c>
      <c r="H20" s="559" t="s">
        <v>1432</v>
      </c>
      <c r="I20" s="566">
        <v>2780</v>
      </c>
    </row>
    <row r="21" spans="1:10" ht="15" customHeight="1" x14ac:dyDescent="0.25">
      <c r="B21" s="495" t="s">
        <v>620</v>
      </c>
      <c r="D21" s="560"/>
      <c r="E21" s="571"/>
      <c r="F21" s="493"/>
      <c r="G21" s="190" t="s">
        <v>760</v>
      </c>
      <c r="H21" s="560"/>
      <c r="I21" s="569"/>
    </row>
    <row r="22" spans="1:10" x14ac:dyDescent="0.25">
      <c r="B22" s="495"/>
      <c r="D22" s="561"/>
      <c r="E22" s="572"/>
      <c r="F22" s="494"/>
      <c r="G22" s="190" t="s">
        <v>758</v>
      </c>
      <c r="H22" s="561"/>
      <c r="I22" s="567"/>
    </row>
    <row r="23" spans="1:10" ht="15" customHeight="1" x14ac:dyDescent="0.25">
      <c r="B23" s="150" t="s">
        <v>618</v>
      </c>
    </row>
    <row r="24" spans="1:10" ht="15" customHeight="1" x14ac:dyDescent="0.25">
      <c r="B24" s="495" t="s">
        <v>617</v>
      </c>
      <c r="D24" s="168" t="s">
        <v>1084</v>
      </c>
      <c r="E24" s="353">
        <f>(E5*I5)+(E8*I8)+(E11*I11)+(E14*I14)+(E17*I17)+(E20*I20)</f>
        <v>43853.599999999999</v>
      </c>
      <c r="J24" s="1"/>
    </row>
    <row r="25" spans="1:10" x14ac:dyDescent="0.25">
      <c r="B25" s="495"/>
      <c r="G25" s="262"/>
      <c r="J25" s="1"/>
    </row>
    <row r="26" spans="1:10" ht="15" customHeight="1" x14ac:dyDescent="0.25">
      <c r="B26" s="266" t="s">
        <v>1079</v>
      </c>
      <c r="J26" s="1"/>
    </row>
    <row r="27" spans="1:10" ht="15" customHeight="1" x14ac:dyDescent="0.25">
      <c r="B27" s="495" t="s">
        <v>1078</v>
      </c>
      <c r="J27" s="1"/>
    </row>
    <row r="28" spans="1:10" x14ac:dyDescent="0.25">
      <c r="B28" s="495"/>
      <c r="J28" s="1"/>
    </row>
    <row r="29" spans="1:10" x14ac:dyDescent="0.25">
      <c r="B29" s="150" t="s">
        <v>1439</v>
      </c>
      <c r="J29" s="1"/>
    </row>
    <row r="30" spans="1:10" ht="15" customHeight="1" x14ac:dyDescent="0.25">
      <c r="B30" s="495" t="s">
        <v>616</v>
      </c>
      <c r="J30" s="1"/>
    </row>
    <row r="31" spans="1:10" x14ac:dyDescent="0.25">
      <c r="B31" s="495"/>
      <c r="J31" s="1"/>
    </row>
    <row r="32" spans="1:10" x14ac:dyDescent="0.25">
      <c r="B32" s="150" t="s">
        <v>586</v>
      </c>
      <c r="J32" s="1"/>
    </row>
    <row r="33" spans="2:10" x14ac:dyDescent="0.25">
      <c r="B33" s="495" t="s">
        <v>621</v>
      </c>
      <c r="J33" s="48"/>
    </row>
    <row r="34" spans="2:10" ht="15" customHeight="1" x14ac:dyDescent="0.25">
      <c r="B34" s="495"/>
      <c r="D34" s="568" t="s">
        <v>371</v>
      </c>
      <c r="E34" s="568"/>
      <c r="J34" s="48"/>
    </row>
    <row r="35" spans="2:10" x14ac:dyDescent="0.25">
      <c r="B35" s="150" t="s">
        <v>755</v>
      </c>
      <c r="J35" s="48"/>
    </row>
    <row r="36" spans="2:10" ht="15" customHeight="1" x14ac:dyDescent="0.25">
      <c r="B36" s="495" t="s">
        <v>756</v>
      </c>
      <c r="D36" s="527" t="s">
        <v>377</v>
      </c>
      <c r="E36" s="527" t="s">
        <v>9</v>
      </c>
      <c r="F36" s="527" t="s">
        <v>136</v>
      </c>
      <c r="G36" s="527" t="s">
        <v>176</v>
      </c>
      <c r="H36" s="527"/>
      <c r="I36" s="504" t="s">
        <v>627</v>
      </c>
      <c r="J36" s="1"/>
    </row>
    <row r="37" spans="2:10" ht="15" customHeight="1" x14ac:dyDescent="0.25">
      <c r="B37" s="495"/>
      <c r="D37" s="527"/>
      <c r="E37" s="527"/>
      <c r="F37" s="527"/>
      <c r="G37" s="527"/>
      <c r="H37" s="527"/>
      <c r="I37" s="506"/>
    </row>
    <row r="38" spans="2:10" x14ac:dyDescent="0.25">
      <c r="D38" s="492" t="s">
        <v>587</v>
      </c>
      <c r="E38" s="492">
        <v>4</v>
      </c>
      <c r="F38" s="492" t="s">
        <v>662</v>
      </c>
      <c r="G38" s="550" t="s">
        <v>637</v>
      </c>
      <c r="H38" s="552"/>
      <c r="I38" s="492">
        <v>1025</v>
      </c>
    </row>
    <row r="39" spans="2:10" x14ac:dyDescent="0.25">
      <c r="B39" s="150" t="s">
        <v>373</v>
      </c>
      <c r="D39" s="494"/>
      <c r="E39" s="494"/>
      <c r="F39" s="494"/>
      <c r="G39" s="553"/>
      <c r="H39" s="555"/>
      <c r="I39" s="494"/>
    </row>
    <row r="40" spans="2:10" ht="15" customHeight="1" x14ac:dyDescent="0.25">
      <c r="B40" s="495" t="s">
        <v>667</v>
      </c>
      <c r="D40" s="492" t="s">
        <v>588</v>
      </c>
      <c r="E40" s="492">
        <v>4</v>
      </c>
      <c r="F40" s="492" t="s">
        <v>638</v>
      </c>
      <c r="G40" s="550" t="s">
        <v>639</v>
      </c>
      <c r="H40" s="552"/>
      <c r="I40" s="492">
        <v>50</v>
      </c>
    </row>
    <row r="41" spans="2:10" x14ac:dyDescent="0.25">
      <c r="B41" s="495"/>
      <c r="D41" s="494"/>
      <c r="E41" s="494"/>
      <c r="F41" s="494"/>
      <c r="G41" s="553"/>
      <c r="H41" s="555"/>
      <c r="I41" s="494"/>
    </row>
    <row r="42" spans="2:10" x14ac:dyDescent="0.25">
      <c r="B42" s="150" t="s">
        <v>374</v>
      </c>
      <c r="D42" s="492" t="s">
        <v>372</v>
      </c>
      <c r="E42" s="492">
        <v>4</v>
      </c>
      <c r="F42" s="492" t="s">
        <v>663</v>
      </c>
      <c r="G42" s="550" t="s">
        <v>640</v>
      </c>
      <c r="H42" s="552"/>
      <c r="I42" s="492">
        <v>540</v>
      </c>
    </row>
    <row r="43" spans="2:10" ht="15" customHeight="1" x14ac:dyDescent="0.25">
      <c r="B43" s="495" t="s">
        <v>635</v>
      </c>
      <c r="D43" s="494"/>
      <c r="E43" s="494"/>
      <c r="F43" s="494"/>
      <c r="G43" s="553"/>
      <c r="H43" s="555"/>
      <c r="I43" s="494"/>
    </row>
    <row r="44" spans="2:10" x14ac:dyDescent="0.25">
      <c r="B44" s="495"/>
      <c r="D44" s="492" t="s">
        <v>374</v>
      </c>
      <c r="E44" s="492">
        <v>4</v>
      </c>
      <c r="F44" s="492" t="s">
        <v>641</v>
      </c>
      <c r="G44" s="550" t="s">
        <v>642</v>
      </c>
      <c r="H44" s="552"/>
      <c r="I44" s="492">
        <v>1500</v>
      </c>
    </row>
    <row r="45" spans="2:10" x14ac:dyDescent="0.25">
      <c r="B45" s="150" t="s">
        <v>372</v>
      </c>
      <c r="D45" s="494"/>
      <c r="E45" s="494"/>
      <c r="F45" s="494"/>
      <c r="G45" s="553"/>
      <c r="H45" s="555"/>
      <c r="I45" s="494"/>
    </row>
    <row r="46" spans="2:10" ht="15" customHeight="1" x14ac:dyDescent="0.25">
      <c r="B46" s="495" t="s">
        <v>669</v>
      </c>
      <c r="D46" s="492" t="s">
        <v>373</v>
      </c>
      <c r="E46" s="492">
        <v>4</v>
      </c>
      <c r="F46" s="492" t="s">
        <v>664</v>
      </c>
      <c r="G46" s="550" t="s">
        <v>665</v>
      </c>
      <c r="H46" s="552"/>
      <c r="I46" s="492">
        <v>300</v>
      </c>
    </row>
    <row r="47" spans="2:10" x14ac:dyDescent="0.25">
      <c r="B47" s="495"/>
      <c r="D47" s="494"/>
      <c r="E47" s="494"/>
      <c r="F47" s="494"/>
      <c r="G47" s="553"/>
      <c r="H47" s="555"/>
      <c r="I47" s="494"/>
    </row>
    <row r="48" spans="2:10" ht="15" customHeight="1" x14ac:dyDescent="0.25">
      <c r="B48" s="150" t="s">
        <v>588</v>
      </c>
      <c r="D48" s="492" t="s">
        <v>375</v>
      </c>
      <c r="E48" s="492">
        <v>4</v>
      </c>
      <c r="F48" s="492" t="s">
        <v>643</v>
      </c>
      <c r="G48" s="550" t="s">
        <v>666</v>
      </c>
      <c r="H48" s="552"/>
      <c r="I48" s="492">
        <v>120</v>
      </c>
    </row>
    <row r="49" spans="2:9" ht="15" customHeight="1" x14ac:dyDescent="0.25">
      <c r="B49" s="495" t="s">
        <v>636</v>
      </c>
      <c r="D49" s="494"/>
      <c r="E49" s="494"/>
      <c r="F49" s="494"/>
      <c r="G49" s="553"/>
      <c r="H49" s="555"/>
      <c r="I49" s="494"/>
    </row>
    <row r="50" spans="2:9" ht="15" customHeight="1" x14ac:dyDescent="0.25">
      <c r="B50" s="495"/>
      <c r="D50" s="492" t="s">
        <v>376</v>
      </c>
      <c r="E50" s="492">
        <v>4</v>
      </c>
      <c r="F50" s="492" t="s">
        <v>643</v>
      </c>
      <c r="G50" s="550" t="s">
        <v>651</v>
      </c>
      <c r="H50" s="552"/>
      <c r="I50" s="492">
        <v>60</v>
      </c>
    </row>
    <row r="51" spans="2:9" x14ac:dyDescent="0.25">
      <c r="B51" s="150" t="s">
        <v>541</v>
      </c>
      <c r="D51" s="494"/>
      <c r="E51" s="494"/>
      <c r="F51" s="494"/>
      <c r="G51" s="553"/>
      <c r="H51" s="555"/>
      <c r="I51" s="494"/>
    </row>
    <row r="52" spans="2:9" ht="15" customHeight="1" x14ac:dyDescent="0.25">
      <c r="B52" s="495" t="s">
        <v>668</v>
      </c>
      <c r="D52" s="492" t="s">
        <v>593</v>
      </c>
      <c r="E52" s="492">
        <v>1</v>
      </c>
      <c r="F52" s="492" t="s">
        <v>644</v>
      </c>
      <c r="G52" s="550" t="s">
        <v>650</v>
      </c>
      <c r="H52" s="552"/>
      <c r="I52" s="492">
        <v>17700</v>
      </c>
    </row>
    <row r="53" spans="2:9" ht="15" customHeight="1" x14ac:dyDescent="0.25">
      <c r="B53" s="495"/>
      <c r="D53" s="494"/>
      <c r="E53" s="494"/>
      <c r="F53" s="494"/>
      <c r="G53" s="553"/>
      <c r="H53" s="555"/>
      <c r="I53" s="494"/>
    </row>
    <row r="54" spans="2:9" x14ac:dyDescent="0.25">
      <c r="D54" s="492" t="s">
        <v>589</v>
      </c>
      <c r="E54" s="492">
        <v>16</v>
      </c>
      <c r="F54" s="492" t="s">
        <v>646</v>
      </c>
      <c r="G54" s="550" t="s">
        <v>649</v>
      </c>
      <c r="H54" s="552"/>
      <c r="I54" s="492">
        <v>103.2</v>
      </c>
    </row>
    <row r="55" spans="2:9" ht="15" customHeight="1" x14ac:dyDescent="0.25">
      <c r="D55" s="494"/>
      <c r="E55" s="494"/>
      <c r="F55" s="494"/>
      <c r="G55" s="553"/>
      <c r="H55" s="555"/>
      <c r="I55" s="494"/>
    </row>
    <row r="56" spans="2:9" ht="15" customHeight="1" x14ac:dyDescent="0.25">
      <c r="D56" s="492" t="s">
        <v>590</v>
      </c>
      <c r="E56" s="492">
        <v>16</v>
      </c>
      <c r="F56" s="492" t="s">
        <v>646</v>
      </c>
      <c r="G56" s="550" t="s">
        <v>731</v>
      </c>
      <c r="H56" s="552"/>
      <c r="I56" s="492">
        <v>10.9</v>
      </c>
    </row>
    <row r="57" spans="2:9" ht="15" customHeight="1" x14ac:dyDescent="0.25">
      <c r="D57" s="494"/>
      <c r="E57" s="494"/>
      <c r="F57" s="494"/>
      <c r="G57" s="553"/>
      <c r="H57" s="555"/>
      <c r="I57" s="494"/>
    </row>
    <row r="58" spans="2:9" ht="15" customHeight="1" x14ac:dyDescent="0.25">
      <c r="D58" s="492" t="s">
        <v>539</v>
      </c>
      <c r="E58" s="492">
        <v>872</v>
      </c>
      <c r="F58" s="492" t="s">
        <v>645</v>
      </c>
      <c r="G58" s="550" t="s">
        <v>648</v>
      </c>
      <c r="H58" s="552"/>
      <c r="I58" s="492">
        <v>16</v>
      </c>
    </row>
    <row r="59" spans="2:9" ht="15" customHeight="1" x14ac:dyDescent="0.25">
      <c r="D59" s="494"/>
      <c r="E59" s="494"/>
      <c r="F59" s="494"/>
      <c r="G59" s="553"/>
      <c r="H59" s="555"/>
      <c r="I59" s="494"/>
    </row>
    <row r="60" spans="2:9" ht="15" customHeight="1" x14ac:dyDescent="0.25">
      <c r="D60" s="492" t="s">
        <v>592</v>
      </c>
      <c r="E60" s="492">
        <v>40</v>
      </c>
      <c r="F60" s="492" t="s">
        <v>645</v>
      </c>
      <c r="G60" s="550" t="s">
        <v>647</v>
      </c>
      <c r="H60" s="552"/>
      <c r="I60" s="492">
        <v>25.7</v>
      </c>
    </row>
    <row r="61" spans="2:9" ht="15" customHeight="1" x14ac:dyDescent="0.25">
      <c r="D61" s="494"/>
      <c r="E61" s="494"/>
      <c r="F61" s="494"/>
      <c r="G61" s="553"/>
      <c r="H61" s="555"/>
      <c r="I61" s="494"/>
    </row>
    <row r="62" spans="2:9" ht="15" customHeight="1" x14ac:dyDescent="0.25"/>
    <row r="63" spans="2:9" x14ac:dyDescent="0.25">
      <c r="D63" s="168" t="s">
        <v>1691</v>
      </c>
      <c r="E63" s="353">
        <f>(E38*I38)+(E40*I40)+(E42*I42)+(E44*I44)+(E46*I46)+(E48*I48)+(E50*I50)+(E52*I52)+(E54*I54)+(E56*I56)+(E58*I58)+(E60*I60)</f>
        <v>48885.599999999999</v>
      </c>
    </row>
    <row r="64" spans="2:9" ht="15" customHeight="1" x14ac:dyDescent="0.25"/>
    <row r="65" spans="4:9" x14ac:dyDescent="0.25">
      <c r="D65" s="568" t="s">
        <v>594</v>
      </c>
      <c r="E65" s="568"/>
    </row>
    <row r="67" spans="4:9" x14ac:dyDescent="0.25">
      <c r="D67" s="507" t="s">
        <v>377</v>
      </c>
      <c r="E67" s="507" t="s">
        <v>9</v>
      </c>
      <c r="F67" s="315" t="s">
        <v>136</v>
      </c>
      <c r="G67" s="576" t="s">
        <v>378</v>
      </c>
      <c r="H67" s="577"/>
      <c r="I67" s="313" t="s">
        <v>627</v>
      </c>
    </row>
    <row r="68" spans="4:9" x14ac:dyDescent="0.25">
      <c r="D68" s="509"/>
      <c r="E68" s="509"/>
      <c r="F68" s="315"/>
      <c r="G68" s="578"/>
      <c r="H68" s="579"/>
      <c r="I68" s="314"/>
    </row>
    <row r="69" spans="4:9" ht="15" customHeight="1" x14ac:dyDescent="0.25">
      <c r="D69" s="492" t="s">
        <v>595</v>
      </c>
      <c r="E69" s="492">
        <v>6</v>
      </c>
      <c r="F69" s="492" t="s">
        <v>652</v>
      </c>
      <c r="G69" s="562" t="s">
        <v>655</v>
      </c>
      <c r="H69" s="563"/>
      <c r="I69" s="566">
        <v>1999</v>
      </c>
    </row>
    <row r="70" spans="4:9" x14ac:dyDescent="0.25">
      <c r="D70" s="494"/>
      <c r="E70" s="494"/>
      <c r="F70" s="494"/>
      <c r="G70" s="564"/>
      <c r="H70" s="565"/>
      <c r="I70" s="567"/>
    </row>
    <row r="71" spans="4:9" ht="15" customHeight="1" x14ac:dyDescent="0.25">
      <c r="D71" s="492" t="s">
        <v>379</v>
      </c>
      <c r="E71" s="492">
        <v>13</v>
      </c>
      <c r="F71" s="492" t="s">
        <v>652</v>
      </c>
      <c r="G71" s="562" t="s">
        <v>656</v>
      </c>
      <c r="H71" s="563"/>
      <c r="I71" s="566">
        <v>1299</v>
      </c>
    </row>
    <row r="72" spans="4:9" x14ac:dyDescent="0.25">
      <c r="D72" s="494"/>
      <c r="E72" s="494"/>
      <c r="F72" s="494"/>
      <c r="G72" s="564"/>
      <c r="H72" s="565"/>
      <c r="I72" s="567"/>
    </row>
    <row r="73" spans="4:9" ht="15" customHeight="1" x14ac:dyDescent="0.25">
      <c r="D73" s="492" t="s">
        <v>380</v>
      </c>
      <c r="E73" s="492">
        <v>4</v>
      </c>
      <c r="F73" s="492" t="s">
        <v>653</v>
      </c>
      <c r="G73" s="562" t="s">
        <v>657</v>
      </c>
      <c r="H73" s="563"/>
      <c r="I73" s="566">
        <v>165</v>
      </c>
    </row>
    <row r="74" spans="4:9" x14ac:dyDescent="0.25">
      <c r="D74" s="494"/>
      <c r="E74" s="494"/>
      <c r="F74" s="494"/>
      <c r="G74" s="564"/>
      <c r="H74" s="565"/>
      <c r="I74" s="567"/>
    </row>
    <row r="75" spans="4:9" ht="15" customHeight="1" x14ac:dyDescent="0.25">
      <c r="D75" s="492" t="s">
        <v>660</v>
      </c>
      <c r="E75" s="492">
        <v>1</v>
      </c>
      <c r="F75" s="492" t="s">
        <v>654</v>
      </c>
      <c r="G75" s="562" t="s">
        <v>658</v>
      </c>
      <c r="H75" s="563"/>
      <c r="I75" s="566">
        <v>2000</v>
      </c>
    </row>
    <row r="76" spans="4:9" x14ac:dyDescent="0.25">
      <c r="D76" s="494"/>
      <c r="E76" s="494"/>
      <c r="F76" s="494"/>
      <c r="G76" s="564"/>
      <c r="H76" s="565"/>
      <c r="I76" s="567"/>
    </row>
    <row r="77" spans="4:9" ht="15" customHeight="1" x14ac:dyDescent="0.25">
      <c r="D77" s="492" t="s">
        <v>661</v>
      </c>
      <c r="E77" s="492">
        <v>4</v>
      </c>
      <c r="F77" s="492" t="s">
        <v>654</v>
      </c>
      <c r="G77" s="562" t="s">
        <v>659</v>
      </c>
      <c r="H77" s="563"/>
      <c r="I77" s="566">
        <v>98.56</v>
      </c>
    </row>
    <row r="78" spans="4:9" x14ac:dyDescent="0.25">
      <c r="D78" s="494"/>
      <c r="E78" s="494"/>
      <c r="F78" s="494"/>
      <c r="G78" s="564"/>
      <c r="H78" s="565"/>
      <c r="I78" s="567"/>
    </row>
    <row r="80" spans="4:9" x14ac:dyDescent="0.25">
      <c r="D80" s="168" t="s">
        <v>1701</v>
      </c>
      <c r="E80" s="353">
        <f>(E69*I69)+(E71*I71)+(E73*I73)+(E75*I75)+(E77*I77)</f>
        <v>31935.24</v>
      </c>
    </row>
    <row r="82" spans="4:9" x14ac:dyDescent="0.25">
      <c r="D82" s="568" t="s">
        <v>596</v>
      </c>
      <c r="E82" s="568"/>
    </row>
    <row r="84" spans="4:9" x14ac:dyDescent="0.25">
      <c r="D84" s="527" t="s">
        <v>377</v>
      </c>
      <c r="E84" s="527" t="s">
        <v>9</v>
      </c>
      <c r="F84" s="527" t="s">
        <v>382</v>
      </c>
      <c r="G84" s="527"/>
      <c r="H84" s="527"/>
      <c r="I84" s="504" t="s">
        <v>627</v>
      </c>
    </row>
    <row r="85" spans="4:9" x14ac:dyDescent="0.25">
      <c r="D85" s="527"/>
      <c r="E85" s="527"/>
      <c r="F85" s="527"/>
      <c r="G85" s="527"/>
      <c r="H85" s="527"/>
      <c r="I85" s="506"/>
    </row>
    <row r="86" spans="4:9" x14ac:dyDescent="0.25">
      <c r="D86" s="492" t="s">
        <v>542</v>
      </c>
      <c r="E86" s="44">
        <v>4</v>
      </c>
      <c r="F86" s="491" t="s">
        <v>597</v>
      </c>
      <c r="G86" s="491"/>
      <c r="H86" s="491"/>
      <c r="I86" s="566">
        <v>770</v>
      </c>
    </row>
    <row r="87" spans="4:9" x14ac:dyDescent="0.25">
      <c r="D87" s="493"/>
      <c r="E87" s="44">
        <v>4</v>
      </c>
      <c r="F87" s="491" t="s">
        <v>598</v>
      </c>
      <c r="G87" s="491"/>
      <c r="H87" s="491"/>
      <c r="I87" s="569"/>
    </row>
    <row r="88" spans="4:9" x14ac:dyDescent="0.25">
      <c r="D88" s="493"/>
      <c r="E88" s="44">
        <v>4</v>
      </c>
      <c r="F88" s="491" t="s">
        <v>599</v>
      </c>
      <c r="G88" s="491"/>
      <c r="H88" s="491"/>
      <c r="I88" s="569"/>
    </row>
    <row r="89" spans="4:9" x14ac:dyDescent="0.25">
      <c r="D89" s="493"/>
      <c r="E89" s="44">
        <v>4</v>
      </c>
      <c r="F89" s="491" t="s">
        <v>600</v>
      </c>
      <c r="G89" s="491"/>
      <c r="H89" s="491"/>
      <c r="I89" s="569"/>
    </row>
    <row r="90" spans="4:9" x14ac:dyDescent="0.25">
      <c r="D90" s="493"/>
      <c r="E90" s="44">
        <v>4</v>
      </c>
      <c r="F90" s="491" t="s">
        <v>389</v>
      </c>
      <c r="G90" s="491"/>
      <c r="H90" s="491"/>
      <c r="I90" s="569"/>
    </row>
    <row r="91" spans="4:9" x14ac:dyDescent="0.25">
      <c r="D91" s="494"/>
      <c r="E91" s="44">
        <v>2</v>
      </c>
      <c r="F91" s="491" t="s">
        <v>610</v>
      </c>
      <c r="G91" s="491"/>
      <c r="H91" s="491"/>
      <c r="I91" s="567"/>
    </row>
    <row r="92" spans="4:9" x14ac:dyDescent="0.25">
      <c r="D92" s="44" t="s">
        <v>601</v>
      </c>
      <c r="E92" s="44">
        <v>4</v>
      </c>
      <c r="F92" s="550" t="s">
        <v>390</v>
      </c>
      <c r="G92" s="551"/>
      <c r="H92" s="552"/>
      <c r="I92" s="160">
        <v>699</v>
      </c>
    </row>
    <row r="93" spans="4:9" x14ac:dyDescent="0.25">
      <c r="D93" s="44" t="s">
        <v>602</v>
      </c>
      <c r="E93" s="44">
        <v>4</v>
      </c>
      <c r="F93" s="553"/>
      <c r="G93" s="554"/>
      <c r="H93" s="555"/>
      <c r="I93" s="160">
        <v>1070</v>
      </c>
    </row>
    <row r="94" spans="4:9" x14ac:dyDescent="0.25">
      <c r="D94" s="44" t="s">
        <v>606</v>
      </c>
      <c r="E94" s="44">
        <v>16</v>
      </c>
      <c r="F94" s="550" t="s">
        <v>603</v>
      </c>
      <c r="G94" s="551"/>
      <c r="H94" s="552"/>
      <c r="I94" s="161">
        <v>199.9</v>
      </c>
    </row>
    <row r="95" spans="4:9" x14ac:dyDescent="0.25">
      <c r="D95" s="44" t="s">
        <v>607</v>
      </c>
      <c r="E95" s="44">
        <v>4</v>
      </c>
      <c r="F95" s="556"/>
      <c r="G95" s="557"/>
      <c r="H95" s="558"/>
      <c r="I95" s="161">
        <v>59.9</v>
      </c>
    </row>
    <row r="96" spans="4:9" x14ac:dyDescent="0.25">
      <c r="D96" s="44" t="s">
        <v>383</v>
      </c>
      <c r="E96" s="44">
        <v>16</v>
      </c>
      <c r="F96" s="556"/>
      <c r="G96" s="557"/>
      <c r="H96" s="558"/>
      <c r="I96" s="161">
        <v>299.89999999999998</v>
      </c>
    </row>
    <row r="97" spans="4:9" x14ac:dyDescent="0.25">
      <c r="D97" s="44" t="s">
        <v>605</v>
      </c>
      <c r="E97" s="44">
        <v>1</v>
      </c>
      <c r="F97" s="556"/>
      <c r="G97" s="557"/>
      <c r="H97" s="558"/>
      <c r="I97" s="160">
        <v>1095</v>
      </c>
    </row>
    <row r="98" spans="4:9" x14ac:dyDescent="0.25">
      <c r="D98" s="44" t="s">
        <v>604</v>
      </c>
      <c r="E98" s="44">
        <v>4</v>
      </c>
      <c r="F98" s="553"/>
      <c r="G98" s="554"/>
      <c r="H98" s="555"/>
      <c r="I98" s="160">
        <v>86</v>
      </c>
    </row>
    <row r="99" spans="4:9" x14ac:dyDescent="0.25">
      <c r="D99" s="44" t="s">
        <v>601</v>
      </c>
      <c r="E99" s="44">
        <v>2</v>
      </c>
      <c r="F99" s="550" t="s">
        <v>387</v>
      </c>
      <c r="G99" s="551"/>
      <c r="H99" s="552"/>
      <c r="I99" s="160">
        <v>699</v>
      </c>
    </row>
    <row r="100" spans="4:9" x14ac:dyDescent="0.25">
      <c r="D100" s="44" t="s">
        <v>602</v>
      </c>
      <c r="E100" s="44">
        <v>2</v>
      </c>
      <c r="F100" s="553"/>
      <c r="G100" s="554"/>
      <c r="H100" s="555"/>
      <c r="I100" s="160">
        <v>1070</v>
      </c>
    </row>
    <row r="101" spans="4:9" x14ac:dyDescent="0.25">
      <c r="D101" s="44" t="s">
        <v>608</v>
      </c>
      <c r="E101" s="44">
        <v>1</v>
      </c>
      <c r="F101" s="550" t="s">
        <v>393</v>
      </c>
      <c r="G101" s="551"/>
      <c r="H101" s="552"/>
      <c r="I101" s="160">
        <v>450</v>
      </c>
    </row>
    <row r="102" spans="4:9" x14ac:dyDescent="0.25">
      <c r="D102" s="44" t="s">
        <v>609</v>
      </c>
      <c r="E102" s="44">
        <v>1</v>
      </c>
      <c r="F102" s="553"/>
      <c r="G102" s="554"/>
      <c r="H102" s="555"/>
      <c r="I102" s="161">
        <v>299.89999999999998</v>
      </c>
    </row>
    <row r="104" spans="4:9" x14ac:dyDescent="0.25">
      <c r="D104" s="168" t="s">
        <v>1673</v>
      </c>
      <c r="E104" s="353">
        <f>(SUM(E86:E91)*I86)+(E92*I92)+(E93*I93)+(E94*I94)+(E95*I95)+(E96*I96)+(E97*I97)+(E98*I98)+(E99*I99)+(E100*I100)+(E101*I101)+(E102*I102)</f>
        <v>37979.300000000003</v>
      </c>
    </row>
    <row r="114" spans="7:21" ht="15" customHeight="1" x14ac:dyDescent="0.25">
      <c r="K114" s="504" t="s">
        <v>394</v>
      </c>
      <c r="L114" s="504" t="s">
        <v>405</v>
      </c>
    </row>
    <row r="115" spans="7:21" x14ac:dyDescent="0.25">
      <c r="K115" s="506"/>
      <c r="L115" s="506"/>
    </row>
    <row r="116" spans="7:21" x14ac:dyDescent="0.25">
      <c r="K116" s="41" t="s">
        <v>219</v>
      </c>
      <c r="L116" s="41" t="s">
        <v>399</v>
      </c>
    </row>
    <row r="117" spans="7:21" x14ac:dyDescent="0.25">
      <c r="K117" s="41" t="s">
        <v>333</v>
      </c>
      <c r="L117" s="41" t="s">
        <v>400</v>
      </c>
    </row>
    <row r="118" spans="7:21" x14ac:dyDescent="0.25">
      <c r="K118" s="41" t="s">
        <v>395</v>
      </c>
      <c r="L118" s="41" t="s">
        <v>401</v>
      </c>
    </row>
    <row r="119" spans="7:21" x14ac:dyDescent="0.25">
      <c r="K119" s="41" t="s">
        <v>396</v>
      </c>
      <c r="L119" s="41" t="s">
        <v>402</v>
      </c>
    </row>
    <row r="120" spans="7:21" x14ac:dyDescent="0.25">
      <c r="K120" s="41" t="s">
        <v>397</v>
      </c>
      <c r="L120" s="41" t="s">
        <v>403</v>
      </c>
    </row>
    <row r="121" spans="7:21" x14ac:dyDescent="0.25">
      <c r="K121" s="41" t="s">
        <v>398</v>
      </c>
      <c r="L121" s="41" t="s">
        <v>404</v>
      </c>
    </row>
    <row r="123" spans="7:21" ht="30" customHeight="1" x14ac:dyDescent="0.25">
      <c r="N123" s="50">
        <v>1</v>
      </c>
      <c r="O123" s="31"/>
      <c r="P123" s="31"/>
      <c r="Q123" s="31"/>
      <c r="R123" s="31"/>
      <c r="S123" s="31"/>
      <c r="T123" s="31"/>
      <c r="U123" s="31"/>
    </row>
    <row r="124" spans="7:21" ht="30" customHeight="1" x14ac:dyDescent="0.25">
      <c r="N124" s="50">
        <v>2</v>
      </c>
      <c r="O124" s="31"/>
      <c r="P124" s="31"/>
      <c r="Q124" s="31"/>
      <c r="R124" s="31"/>
      <c r="S124" s="31"/>
      <c r="T124" s="31"/>
      <c r="U124" s="31"/>
    </row>
    <row r="125" spans="7:21" ht="30" customHeight="1" x14ac:dyDescent="0.25">
      <c r="N125" s="50">
        <v>3</v>
      </c>
      <c r="O125" s="31"/>
      <c r="P125" s="31"/>
      <c r="Q125" s="31"/>
      <c r="R125" s="31"/>
      <c r="S125" s="31"/>
      <c r="T125" s="31"/>
      <c r="U125" s="31"/>
    </row>
    <row r="126" spans="7:21" ht="30" customHeight="1" x14ac:dyDescent="0.25">
      <c r="G126" s="46"/>
      <c r="N126" s="50">
        <v>4</v>
      </c>
      <c r="O126" s="31"/>
      <c r="P126" s="31"/>
      <c r="Q126" s="31"/>
      <c r="R126" s="31"/>
      <c r="S126" s="31"/>
      <c r="T126" s="31"/>
      <c r="U126" s="31"/>
    </row>
    <row r="127" spans="7:21" ht="30" customHeight="1" x14ac:dyDescent="0.25">
      <c r="G127" s="12"/>
      <c r="N127" s="50">
        <v>5</v>
      </c>
      <c r="O127" s="31"/>
      <c r="P127" s="31"/>
      <c r="Q127" s="31"/>
      <c r="R127" s="31"/>
      <c r="S127" s="31"/>
      <c r="T127" s="31"/>
      <c r="U127" s="31"/>
    </row>
    <row r="128" spans="7:21" ht="30" customHeight="1" x14ac:dyDescent="0.25">
      <c r="G128" s="46"/>
      <c r="N128" s="50">
        <v>6</v>
      </c>
      <c r="O128" s="31"/>
      <c r="P128" s="31"/>
      <c r="Q128" s="31"/>
      <c r="R128" s="31"/>
      <c r="S128" s="31"/>
      <c r="T128" s="31"/>
      <c r="U128" s="31"/>
    </row>
    <row r="129" spans="4:52" ht="30" customHeight="1" x14ac:dyDescent="0.25">
      <c r="D129" s="46"/>
      <c r="E129" s="46"/>
      <c r="F129" s="46"/>
      <c r="G129" s="46"/>
      <c r="H129" s="46"/>
      <c r="N129" s="50">
        <v>7</v>
      </c>
      <c r="O129" s="31"/>
      <c r="P129" s="31"/>
      <c r="Q129" s="31"/>
      <c r="R129" s="31"/>
      <c r="S129" s="31"/>
      <c r="T129" s="31"/>
      <c r="U129" s="31"/>
    </row>
    <row r="130" spans="4:52" ht="30" customHeight="1" x14ac:dyDescent="0.25">
      <c r="D130" s="46"/>
      <c r="E130" s="46"/>
      <c r="F130" s="46"/>
      <c r="G130" s="46"/>
      <c r="H130" s="46"/>
      <c r="N130" s="50">
        <v>8</v>
      </c>
      <c r="O130" s="31"/>
      <c r="P130" s="31"/>
      <c r="Q130" s="31"/>
      <c r="R130" s="31"/>
      <c r="S130" s="31"/>
      <c r="T130" s="31"/>
      <c r="U130" s="31"/>
    </row>
    <row r="131" spans="4:52" ht="30" customHeight="1" x14ac:dyDescent="0.25">
      <c r="D131" s="46"/>
      <c r="E131" s="46"/>
      <c r="F131" s="46"/>
      <c r="G131" s="46"/>
      <c r="H131" s="46"/>
      <c r="N131" s="50">
        <v>9</v>
      </c>
      <c r="O131" s="31"/>
      <c r="P131" s="31"/>
      <c r="Q131" s="31"/>
      <c r="R131" s="31"/>
      <c r="S131" s="31"/>
      <c r="T131" s="31"/>
      <c r="U131" s="31"/>
    </row>
    <row r="132" spans="4:52" ht="30" customHeight="1" x14ac:dyDescent="0.25">
      <c r="D132" s="46"/>
      <c r="E132" s="46"/>
      <c r="F132" s="46"/>
      <c r="G132" s="46"/>
      <c r="H132" s="46"/>
      <c r="N132" s="50">
        <v>10</v>
      </c>
      <c r="O132" s="31"/>
      <c r="P132" s="31"/>
      <c r="Q132" s="31"/>
      <c r="R132" s="31"/>
      <c r="S132" s="31"/>
      <c r="T132" s="31"/>
      <c r="U132" s="31"/>
    </row>
    <row r="133" spans="4:52" ht="30" customHeight="1" x14ac:dyDescent="0.25">
      <c r="D133" s="46"/>
      <c r="E133" s="46"/>
      <c r="F133" s="46"/>
      <c r="G133" s="46"/>
      <c r="H133" s="46"/>
      <c r="N133" s="50">
        <v>11</v>
      </c>
      <c r="O133" s="31"/>
      <c r="P133" s="31"/>
      <c r="Q133" s="31"/>
      <c r="R133" s="31"/>
      <c r="S133" s="31"/>
      <c r="T133" s="31"/>
      <c r="U133" s="31"/>
    </row>
    <row r="134" spans="4:52" ht="30" customHeight="1" x14ac:dyDescent="0.25">
      <c r="D134" s="46"/>
      <c r="E134" s="46"/>
      <c r="F134" s="46"/>
      <c r="G134" s="46"/>
      <c r="H134" s="46"/>
      <c r="N134" s="50">
        <v>12</v>
      </c>
      <c r="O134" s="31"/>
      <c r="P134" s="31"/>
      <c r="Q134" s="31"/>
      <c r="R134" s="31"/>
      <c r="S134" s="31"/>
      <c r="T134" s="31"/>
      <c r="U134" s="31"/>
    </row>
    <row r="135" spans="4:52" ht="30" customHeight="1" x14ac:dyDescent="0.25">
      <c r="D135" s="46"/>
      <c r="E135" s="46"/>
      <c r="F135" s="46"/>
      <c r="G135" s="46"/>
      <c r="H135" s="46"/>
      <c r="N135" s="50">
        <v>13</v>
      </c>
      <c r="O135" s="31"/>
      <c r="P135" s="31"/>
      <c r="Q135" s="31"/>
      <c r="R135" s="31"/>
      <c r="S135" s="31"/>
      <c r="T135" s="31"/>
      <c r="U135" s="31"/>
    </row>
    <row r="136" spans="4:52" ht="30" customHeight="1" x14ac:dyDescent="0.25">
      <c r="D136" s="46"/>
      <c r="E136" s="46"/>
      <c r="F136" s="46"/>
      <c r="G136" s="46"/>
      <c r="H136" s="46"/>
      <c r="N136" s="50">
        <v>14</v>
      </c>
      <c r="O136" s="31"/>
      <c r="P136" s="31"/>
      <c r="Q136" s="31"/>
      <c r="R136" s="31"/>
      <c r="S136" s="31"/>
      <c r="T136" s="31"/>
      <c r="U136" s="31"/>
    </row>
    <row r="137" spans="4:52" x14ac:dyDescent="0.25">
      <c r="D137" s="46"/>
      <c r="E137" s="46"/>
      <c r="F137" s="46"/>
      <c r="G137" s="46"/>
      <c r="H137" s="46"/>
      <c r="O137" s="51"/>
      <c r="P137" s="51"/>
      <c r="Q137" s="51"/>
      <c r="R137" s="51"/>
      <c r="S137" s="51"/>
    </row>
    <row r="138" spans="4:52" ht="15" customHeight="1" x14ac:dyDescent="0.25">
      <c r="D138" s="46"/>
      <c r="E138" s="46"/>
      <c r="F138" s="46"/>
      <c r="G138" s="46"/>
      <c r="H138" s="46"/>
      <c r="K138" s="504" t="s">
        <v>394</v>
      </c>
      <c r="L138" s="510" t="s">
        <v>407</v>
      </c>
      <c r="O138" s="51"/>
      <c r="P138" s="51"/>
      <c r="Q138" s="51"/>
      <c r="R138" s="51"/>
      <c r="S138" s="51"/>
      <c r="W138" s="31"/>
      <c r="X138" s="499" t="s">
        <v>408</v>
      </c>
      <c r="Y138" s="500"/>
      <c r="Z138" s="500"/>
      <c r="AA138" s="500"/>
      <c r="AB138" s="500"/>
      <c r="AC138" s="500"/>
      <c r="AD138" s="500"/>
      <c r="AE138" s="500"/>
      <c r="AF138" s="500"/>
      <c r="AG138" s="500"/>
      <c r="AH138" s="500"/>
      <c r="AI138" s="500"/>
      <c r="AJ138" s="500"/>
      <c r="AK138" s="501"/>
      <c r="AL138" s="499" t="s">
        <v>409</v>
      </c>
      <c r="AM138" s="500"/>
      <c r="AN138" s="500"/>
      <c r="AO138" s="500"/>
      <c r="AP138" s="500"/>
      <c r="AQ138" s="500"/>
      <c r="AR138" s="510" t="s">
        <v>410</v>
      </c>
      <c r="AS138" s="510"/>
    </row>
    <row r="139" spans="4:52" x14ac:dyDescent="0.25">
      <c r="K139" s="506"/>
      <c r="L139" s="510"/>
      <c r="W139" s="32"/>
      <c r="X139" s="54">
        <v>1</v>
      </c>
      <c r="Y139" s="54">
        <v>2</v>
      </c>
      <c r="Z139" s="54">
        <v>3</v>
      </c>
      <c r="AA139" s="54">
        <v>4</v>
      </c>
      <c r="AB139" s="54">
        <v>5</v>
      </c>
      <c r="AC139" s="54">
        <v>6</v>
      </c>
      <c r="AD139" s="54">
        <v>7</v>
      </c>
      <c r="AE139" s="54">
        <v>8</v>
      </c>
      <c r="AF139" s="54">
        <v>9</v>
      </c>
      <c r="AG139" s="54">
        <v>10</v>
      </c>
      <c r="AH139" s="54">
        <v>11</v>
      </c>
      <c r="AI139" s="54">
        <v>12</v>
      </c>
      <c r="AJ139" s="54">
        <v>13</v>
      </c>
      <c r="AK139" s="54">
        <v>14</v>
      </c>
      <c r="AL139" s="54" t="s">
        <v>219</v>
      </c>
      <c r="AM139" s="54" t="s">
        <v>333</v>
      </c>
      <c r="AN139" s="54" t="s">
        <v>395</v>
      </c>
      <c r="AO139" s="54" t="s">
        <v>396</v>
      </c>
      <c r="AP139" s="54" t="s">
        <v>397</v>
      </c>
      <c r="AQ139" s="54" t="s">
        <v>398</v>
      </c>
      <c r="AR139" s="510"/>
      <c r="AS139" s="510"/>
      <c r="AU139" s="50" t="s">
        <v>219</v>
      </c>
      <c r="AV139" s="50" t="s">
        <v>333</v>
      </c>
      <c r="AW139" s="50" t="s">
        <v>395</v>
      </c>
      <c r="AX139" s="50" t="s">
        <v>396</v>
      </c>
      <c r="AY139" s="50" t="s">
        <v>397</v>
      </c>
      <c r="AZ139" s="50" t="s">
        <v>398</v>
      </c>
    </row>
    <row r="140" spans="4:52" x14ac:dyDescent="0.25">
      <c r="K140" s="41" t="s">
        <v>219</v>
      </c>
      <c r="L140" s="43"/>
      <c r="W140" s="54">
        <v>1</v>
      </c>
      <c r="X140" s="50"/>
      <c r="Y140" s="41" t="s">
        <v>219</v>
      </c>
      <c r="Z140" s="41" t="s">
        <v>397</v>
      </c>
      <c r="AA140" s="41" t="s">
        <v>397</v>
      </c>
      <c r="AB140" s="41" t="s">
        <v>397</v>
      </c>
      <c r="AC140" s="41" t="s">
        <v>397</v>
      </c>
      <c r="AD140" s="41" t="s">
        <v>397</v>
      </c>
      <c r="AE140" s="41" t="s">
        <v>396</v>
      </c>
      <c r="AF140" s="41" t="s">
        <v>395</v>
      </c>
      <c r="AG140" s="41" t="s">
        <v>397</v>
      </c>
      <c r="AH140" s="41" t="s">
        <v>397</v>
      </c>
      <c r="AI140" s="41" t="s">
        <v>398</v>
      </c>
      <c r="AJ140" s="41" t="s">
        <v>396</v>
      </c>
      <c r="AK140" s="41" t="s">
        <v>395</v>
      </c>
      <c r="AL140" s="41">
        <f>COUNTIF(X140:AK140,"A")</f>
        <v>1</v>
      </c>
      <c r="AM140" s="41">
        <f>COUNTIF(X140:AK140,"E")</f>
        <v>0</v>
      </c>
      <c r="AN140" s="41">
        <f>COUNTIF(X140:AK140,"I")</f>
        <v>2</v>
      </c>
      <c r="AO140" s="41">
        <f>COUNTIF(X140:AK140,"O")</f>
        <v>2</v>
      </c>
      <c r="AP140" s="41">
        <f>COUNTIF(X140:AK140,"U")</f>
        <v>7</v>
      </c>
      <c r="AQ140" s="41">
        <f>COUNTIF(X140:AK140,"X")</f>
        <v>1</v>
      </c>
      <c r="AR140" s="581">
        <f>($AU$140*AL140)+($AV$140*AM140)+($AW$140*AN140)+($AX$140*AO140)+($AY$140*AP140)+($AZ$140*AQ140)</f>
        <v>20220</v>
      </c>
      <c r="AS140" s="582"/>
      <c r="AU140" s="11">
        <v>10000</v>
      </c>
      <c r="AV140" s="11">
        <v>1000</v>
      </c>
      <c r="AW140" s="11">
        <v>100</v>
      </c>
      <c r="AX140" s="11">
        <v>10</v>
      </c>
      <c r="AY140" s="11">
        <v>0</v>
      </c>
      <c r="AZ140" s="11">
        <v>10000</v>
      </c>
    </row>
    <row r="141" spans="4:52" x14ac:dyDescent="0.25">
      <c r="K141" s="41" t="s">
        <v>333</v>
      </c>
      <c r="L141" s="43"/>
      <c r="W141" s="54">
        <v>2</v>
      </c>
      <c r="X141" s="41" t="s">
        <v>219</v>
      </c>
      <c r="Y141" s="50"/>
      <c r="Z141" s="41" t="s">
        <v>219</v>
      </c>
      <c r="AA141" s="41" t="s">
        <v>219</v>
      </c>
      <c r="AB141" s="41" t="s">
        <v>219</v>
      </c>
      <c r="AC141" s="41" t="s">
        <v>219</v>
      </c>
      <c r="AD141" s="41" t="s">
        <v>397</v>
      </c>
      <c r="AE141" s="41" t="s">
        <v>395</v>
      </c>
      <c r="AF141" s="41" t="s">
        <v>397</v>
      </c>
      <c r="AG141" s="41" t="s">
        <v>395</v>
      </c>
      <c r="AH141" s="41" t="s">
        <v>396</v>
      </c>
      <c r="AI141" s="41" t="s">
        <v>397</v>
      </c>
      <c r="AJ141" s="41" t="s">
        <v>396</v>
      </c>
      <c r="AK141" s="41" t="s">
        <v>397</v>
      </c>
      <c r="AL141" s="41">
        <f t="shared" ref="AL141:AL153" si="0">COUNTIF(X141:AK141,"A")</f>
        <v>5</v>
      </c>
      <c r="AM141" s="41">
        <f t="shared" ref="AM141:AM153" si="1">COUNTIF(X141:AK141,"E")</f>
        <v>0</v>
      </c>
      <c r="AN141" s="41">
        <f t="shared" ref="AN141:AN153" si="2">COUNTIF(X141:AK141,"I")</f>
        <v>2</v>
      </c>
      <c r="AO141" s="41">
        <f t="shared" ref="AO141:AO153" si="3">COUNTIF(X141:AK141,"O")</f>
        <v>2</v>
      </c>
      <c r="AP141" s="41">
        <f t="shared" ref="AP141:AP153" si="4">COUNTIF(X141:AK141,"U")</f>
        <v>4</v>
      </c>
      <c r="AQ141" s="41">
        <f t="shared" ref="AQ141:AQ153" si="5">COUNTIF(X141:AK141,"X")</f>
        <v>0</v>
      </c>
      <c r="AR141" s="581">
        <f t="shared" ref="AR141:AR153" si="6">($AU$140*AL141)+($AV$140*AM141)+($AW$140*AN141)+($AX$140*AO141)+($AY$140*AP141)+($AZ$140*AQ141)</f>
        <v>50220</v>
      </c>
      <c r="AS141" s="582"/>
    </row>
    <row r="142" spans="4:52" x14ac:dyDescent="0.25">
      <c r="K142" s="41" t="s">
        <v>395</v>
      </c>
      <c r="L142" s="43"/>
      <c r="W142" s="54">
        <v>3</v>
      </c>
      <c r="X142" s="41" t="s">
        <v>397</v>
      </c>
      <c r="Y142" s="41" t="s">
        <v>219</v>
      </c>
      <c r="Z142" s="50"/>
      <c r="AA142" s="41" t="s">
        <v>396</v>
      </c>
      <c r="AB142" s="41" t="s">
        <v>396</v>
      </c>
      <c r="AC142" s="41" t="s">
        <v>397</v>
      </c>
      <c r="AD142" s="41" t="s">
        <v>333</v>
      </c>
      <c r="AE142" s="41" t="s">
        <v>333</v>
      </c>
      <c r="AF142" s="41" t="s">
        <v>397</v>
      </c>
      <c r="AG142" s="41" t="s">
        <v>395</v>
      </c>
      <c r="AH142" s="41" t="s">
        <v>397</v>
      </c>
      <c r="AI142" s="41" t="s">
        <v>397</v>
      </c>
      <c r="AJ142" s="41" t="s">
        <v>397</v>
      </c>
      <c r="AK142" s="41" t="s">
        <v>397</v>
      </c>
      <c r="AL142" s="41">
        <f t="shared" si="0"/>
        <v>1</v>
      </c>
      <c r="AM142" s="41">
        <f t="shared" si="1"/>
        <v>2</v>
      </c>
      <c r="AN142" s="41">
        <f t="shared" si="2"/>
        <v>1</v>
      </c>
      <c r="AO142" s="41">
        <f t="shared" si="3"/>
        <v>2</v>
      </c>
      <c r="AP142" s="41">
        <f t="shared" si="4"/>
        <v>7</v>
      </c>
      <c r="AQ142" s="41">
        <f t="shared" si="5"/>
        <v>0</v>
      </c>
      <c r="AR142" s="581">
        <f t="shared" si="6"/>
        <v>12120</v>
      </c>
      <c r="AS142" s="582"/>
    </row>
    <row r="143" spans="4:52" x14ac:dyDescent="0.25">
      <c r="K143" s="41" t="s">
        <v>396</v>
      </c>
      <c r="L143" s="43"/>
      <c r="W143" s="54">
        <v>4</v>
      </c>
      <c r="X143" s="41" t="s">
        <v>397</v>
      </c>
      <c r="Y143" s="41" t="s">
        <v>219</v>
      </c>
      <c r="Z143" s="41" t="s">
        <v>396</v>
      </c>
      <c r="AA143" s="50"/>
      <c r="AB143" s="41" t="s">
        <v>397</v>
      </c>
      <c r="AC143" s="41" t="s">
        <v>396</v>
      </c>
      <c r="AD143" s="41" t="s">
        <v>333</v>
      </c>
      <c r="AE143" s="41" t="s">
        <v>333</v>
      </c>
      <c r="AF143" s="41" t="s">
        <v>397</v>
      </c>
      <c r="AG143" s="41" t="s">
        <v>395</v>
      </c>
      <c r="AH143" s="41" t="s">
        <v>397</v>
      </c>
      <c r="AI143" s="41" t="s">
        <v>397</v>
      </c>
      <c r="AJ143" s="41" t="s">
        <v>397</v>
      </c>
      <c r="AK143" s="41" t="s">
        <v>397</v>
      </c>
      <c r="AL143" s="41">
        <f t="shared" si="0"/>
        <v>1</v>
      </c>
      <c r="AM143" s="41">
        <f t="shared" si="1"/>
        <v>2</v>
      </c>
      <c r="AN143" s="41">
        <f t="shared" si="2"/>
        <v>1</v>
      </c>
      <c r="AO143" s="41">
        <f t="shared" si="3"/>
        <v>2</v>
      </c>
      <c r="AP143" s="41">
        <f t="shared" si="4"/>
        <v>7</v>
      </c>
      <c r="AQ143" s="41">
        <f t="shared" si="5"/>
        <v>0</v>
      </c>
      <c r="AR143" s="581">
        <f t="shared" si="6"/>
        <v>12120</v>
      </c>
      <c r="AS143" s="582"/>
    </row>
    <row r="144" spans="4:52" x14ac:dyDescent="0.25">
      <c r="K144" s="41" t="s">
        <v>398</v>
      </c>
      <c r="L144" s="43"/>
      <c r="W144" s="54">
        <v>5</v>
      </c>
      <c r="X144" s="41" t="s">
        <v>397</v>
      </c>
      <c r="Y144" s="41" t="s">
        <v>219</v>
      </c>
      <c r="Z144" s="41" t="s">
        <v>396</v>
      </c>
      <c r="AA144" s="41" t="s">
        <v>397</v>
      </c>
      <c r="AB144" s="50"/>
      <c r="AC144" s="41" t="s">
        <v>396</v>
      </c>
      <c r="AD144" s="41" t="s">
        <v>333</v>
      </c>
      <c r="AE144" s="41" t="s">
        <v>333</v>
      </c>
      <c r="AF144" s="41" t="s">
        <v>397</v>
      </c>
      <c r="AG144" s="41" t="s">
        <v>395</v>
      </c>
      <c r="AH144" s="41" t="s">
        <v>397</v>
      </c>
      <c r="AI144" s="41" t="s">
        <v>397</v>
      </c>
      <c r="AJ144" s="41" t="s">
        <v>397</v>
      </c>
      <c r="AK144" s="41" t="s">
        <v>397</v>
      </c>
      <c r="AL144" s="41">
        <f t="shared" si="0"/>
        <v>1</v>
      </c>
      <c r="AM144" s="41">
        <f t="shared" si="1"/>
        <v>2</v>
      </c>
      <c r="AN144" s="41">
        <f t="shared" si="2"/>
        <v>1</v>
      </c>
      <c r="AO144" s="41">
        <f t="shared" si="3"/>
        <v>2</v>
      </c>
      <c r="AP144" s="41">
        <f t="shared" si="4"/>
        <v>7</v>
      </c>
      <c r="AQ144" s="41">
        <f t="shared" si="5"/>
        <v>0</v>
      </c>
      <c r="AR144" s="581">
        <f t="shared" si="6"/>
        <v>12120</v>
      </c>
      <c r="AS144" s="582"/>
    </row>
    <row r="145" spans="10:52" x14ac:dyDescent="0.25">
      <c r="W145" s="54">
        <v>6</v>
      </c>
      <c r="X145" s="41" t="s">
        <v>397</v>
      </c>
      <c r="Y145" s="41" t="s">
        <v>219</v>
      </c>
      <c r="Z145" s="41" t="s">
        <v>397</v>
      </c>
      <c r="AA145" s="41" t="s">
        <v>396</v>
      </c>
      <c r="AB145" s="41" t="s">
        <v>396</v>
      </c>
      <c r="AC145" s="50"/>
      <c r="AD145" s="41" t="s">
        <v>333</v>
      </c>
      <c r="AE145" s="41" t="s">
        <v>333</v>
      </c>
      <c r="AF145" s="41" t="s">
        <v>397</v>
      </c>
      <c r="AG145" s="41" t="s">
        <v>395</v>
      </c>
      <c r="AH145" s="41" t="s">
        <v>397</v>
      </c>
      <c r="AI145" s="41" t="s">
        <v>397</v>
      </c>
      <c r="AJ145" s="41" t="s">
        <v>397</v>
      </c>
      <c r="AK145" s="41" t="s">
        <v>397</v>
      </c>
      <c r="AL145" s="41">
        <f t="shared" si="0"/>
        <v>1</v>
      </c>
      <c r="AM145" s="41">
        <f t="shared" si="1"/>
        <v>2</v>
      </c>
      <c r="AN145" s="41">
        <f t="shared" si="2"/>
        <v>1</v>
      </c>
      <c r="AO145" s="41">
        <f t="shared" si="3"/>
        <v>2</v>
      </c>
      <c r="AP145" s="41">
        <f t="shared" si="4"/>
        <v>7</v>
      </c>
      <c r="AQ145" s="41">
        <f t="shared" si="5"/>
        <v>0</v>
      </c>
      <c r="AR145" s="581">
        <f t="shared" si="6"/>
        <v>12120</v>
      </c>
      <c r="AS145" s="582"/>
    </row>
    <row r="146" spans="10:52" x14ac:dyDescent="0.25">
      <c r="J146" s="53"/>
      <c r="K146" s="53"/>
      <c r="L146" s="31"/>
      <c r="M146" s="31"/>
      <c r="W146" s="54">
        <v>7</v>
      </c>
      <c r="X146" s="41" t="s">
        <v>397</v>
      </c>
      <c r="Y146" s="41" t="s">
        <v>397</v>
      </c>
      <c r="Z146" s="41" t="s">
        <v>333</v>
      </c>
      <c r="AA146" s="41" t="s">
        <v>333</v>
      </c>
      <c r="AB146" s="41" t="s">
        <v>333</v>
      </c>
      <c r="AC146" s="41" t="s">
        <v>333</v>
      </c>
      <c r="AD146" s="50"/>
      <c r="AE146" s="41" t="s">
        <v>395</v>
      </c>
      <c r="AF146" s="41" t="s">
        <v>333</v>
      </c>
      <c r="AG146" s="41" t="s">
        <v>395</v>
      </c>
      <c r="AH146" s="41" t="s">
        <v>396</v>
      </c>
      <c r="AI146" s="41" t="s">
        <v>397</v>
      </c>
      <c r="AJ146" s="41" t="s">
        <v>396</v>
      </c>
      <c r="AK146" s="41" t="s">
        <v>397</v>
      </c>
      <c r="AL146" s="41">
        <f t="shared" si="0"/>
        <v>0</v>
      </c>
      <c r="AM146" s="41">
        <f t="shared" si="1"/>
        <v>5</v>
      </c>
      <c r="AN146" s="41">
        <f t="shared" si="2"/>
        <v>2</v>
      </c>
      <c r="AO146" s="41">
        <f t="shared" si="3"/>
        <v>2</v>
      </c>
      <c r="AP146" s="41">
        <f t="shared" si="4"/>
        <v>4</v>
      </c>
      <c r="AQ146" s="41">
        <f t="shared" si="5"/>
        <v>0</v>
      </c>
      <c r="AR146" s="581">
        <f t="shared" si="6"/>
        <v>5220</v>
      </c>
      <c r="AS146" s="582"/>
      <c r="AT146" s="55"/>
      <c r="AU146" s="55"/>
      <c r="AV146" s="55"/>
    </row>
    <row r="147" spans="10:52" x14ac:dyDescent="0.25">
      <c r="J147" s="31"/>
      <c r="K147" s="31"/>
      <c r="L147" s="31"/>
      <c r="M147" s="31"/>
      <c r="W147" s="54">
        <v>8</v>
      </c>
      <c r="X147" s="41" t="s">
        <v>396</v>
      </c>
      <c r="Y147" s="41" t="s">
        <v>395</v>
      </c>
      <c r="Z147" s="41" t="s">
        <v>333</v>
      </c>
      <c r="AA147" s="41" t="s">
        <v>333</v>
      </c>
      <c r="AB147" s="41" t="s">
        <v>333</v>
      </c>
      <c r="AC147" s="41" t="s">
        <v>333</v>
      </c>
      <c r="AD147" s="41" t="s">
        <v>395</v>
      </c>
      <c r="AE147" s="50"/>
      <c r="AF147" s="41" t="s">
        <v>395</v>
      </c>
      <c r="AG147" s="41" t="s">
        <v>395</v>
      </c>
      <c r="AH147" s="41" t="s">
        <v>396</v>
      </c>
      <c r="AI147" s="41" t="s">
        <v>397</v>
      </c>
      <c r="AJ147" s="41" t="s">
        <v>396</v>
      </c>
      <c r="AK147" s="41" t="s">
        <v>397</v>
      </c>
      <c r="AL147" s="41">
        <f t="shared" si="0"/>
        <v>0</v>
      </c>
      <c r="AM147" s="41">
        <f t="shared" si="1"/>
        <v>4</v>
      </c>
      <c r="AN147" s="41">
        <f t="shared" si="2"/>
        <v>4</v>
      </c>
      <c r="AO147" s="41">
        <f t="shared" si="3"/>
        <v>3</v>
      </c>
      <c r="AP147" s="41">
        <f t="shared" si="4"/>
        <v>2</v>
      </c>
      <c r="AQ147" s="41">
        <f t="shared" si="5"/>
        <v>0</v>
      </c>
      <c r="AR147" s="581">
        <f t="shared" si="6"/>
        <v>4430</v>
      </c>
      <c r="AS147" s="582"/>
      <c r="AT147" s="55"/>
      <c r="AU147" s="55"/>
      <c r="AV147" s="55"/>
    </row>
    <row r="148" spans="10:52" x14ac:dyDescent="0.25">
      <c r="J148" s="31"/>
      <c r="K148" s="31"/>
      <c r="L148" s="31"/>
      <c r="M148" s="31"/>
      <c r="W148" s="54">
        <v>9</v>
      </c>
      <c r="X148" s="41" t="s">
        <v>395</v>
      </c>
      <c r="Y148" s="41" t="s">
        <v>397</v>
      </c>
      <c r="Z148" s="41" t="s">
        <v>397</v>
      </c>
      <c r="AA148" s="41" t="s">
        <v>397</v>
      </c>
      <c r="AB148" s="41" t="s">
        <v>397</v>
      </c>
      <c r="AC148" s="41" t="s">
        <v>397</v>
      </c>
      <c r="AD148" s="41" t="s">
        <v>333</v>
      </c>
      <c r="AE148" s="41" t="s">
        <v>395</v>
      </c>
      <c r="AF148" s="50"/>
      <c r="AG148" s="41" t="s">
        <v>395</v>
      </c>
      <c r="AH148" s="41" t="s">
        <v>396</v>
      </c>
      <c r="AI148" s="41" t="s">
        <v>395</v>
      </c>
      <c r="AJ148" s="41" t="s">
        <v>396</v>
      </c>
      <c r="AK148" s="41" t="s">
        <v>397</v>
      </c>
      <c r="AL148" s="41">
        <f t="shared" si="0"/>
        <v>0</v>
      </c>
      <c r="AM148" s="41">
        <f t="shared" si="1"/>
        <v>1</v>
      </c>
      <c r="AN148" s="41">
        <f t="shared" si="2"/>
        <v>4</v>
      </c>
      <c r="AO148" s="41">
        <f t="shared" si="3"/>
        <v>2</v>
      </c>
      <c r="AP148" s="41">
        <f t="shared" si="4"/>
        <v>6</v>
      </c>
      <c r="AQ148" s="41">
        <f t="shared" si="5"/>
        <v>0</v>
      </c>
      <c r="AR148" s="581">
        <f t="shared" si="6"/>
        <v>1420</v>
      </c>
      <c r="AS148" s="582"/>
      <c r="AT148" s="585"/>
      <c r="AU148" s="585"/>
      <c r="AV148" s="55"/>
    </row>
    <row r="149" spans="10:52" x14ac:dyDescent="0.25">
      <c r="J149" s="31"/>
      <c r="K149" s="31"/>
      <c r="L149" s="31"/>
      <c r="M149" s="31"/>
      <c r="W149" s="54">
        <v>10</v>
      </c>
      <c r="X149" s="41" t="s">
        <v>397</v>
      </c>
      <c r="Y149" s="41" t="s">
        <v>395</v>
      </c>
      <c r="Z149" s="41" t="s">
        <v>395</v>
      </c>
      <c r="AA149" s="41" t="s">
        <v>395</v>
      </c>
      <c r="AB149" s="41" t="s">
        <v>395</v>
      </c>
      <c r="AC149" s="41" t="s">
        <v>395</v>
      </c>
      <c r="AD149" s="41" t="s">
        <v>395</v>
      </c>
      <c r="AE149" s="41" t="s">
        <v>395</v>
      </c>
      <c r="AF149" s="41" t="s">
        <v>395</v>
      </c>
      <c r="AG149" s="50"/>
      <c r="AH149" s="41" t="s">
        <v>397</v>
      </c>
      <c r="AI149" s="41" t="s">
        <v>398</v>
      </c>
      <c r="AJ149" s="41" t="s">
        <v>396</v>
      </c>
      <c r="AK149" s="41" t="s">
        <v>397</v>
      </c>
      <c r="AL149" s="41">
        <f t="shared" si="0"/>
        <v>0</v>
      </c>
      <c r="AM149" s="41">
        <f t="shared" si="1"/>
        <v>0</v>
      </c>
      <c r="AN149" s="41">
        <f t="shared" si="2"/>
        <v>8</v>
      </c>
      <c r="AO149" s="41">
        <f t="shared" si="3"/>
        <v>1</v>
      </c>
      <c r="AP149" s="41">
        <f t="shared" si="4"/>
        <v>3</v>
      </c>
      <c r="AQ149" s="41">
        <f t="shared" si="5"/>
        <v>1</v>
      </c>
      <c r="AR149" s="581">
        <f t="shared" si="6"/>
        <v>10810</v>
      </c>
      <c r="AS149" s="582"/>
      <c r="AT149" s="55"/>
      <c r="AU149" s="55"/>
      <c r="AV149" s="55"/>
    </row>
    <row r="150" spans="10:52" x14ac:dyDescent="0.25">
      <c r="J150" s="31"/>
      <c r="K150" s="31"/>
      <c r="L150" s="31"/>
      <c r="M150" s="31"/>
      <c r="W150" s="54">
        <v>11</v>
      </c>
      <c r="X150" s="41" t="s">
        <v>397</v>
      </c>
      <c r="Y150" s="41" t="s">
        <v>396</v>
      </c>
      <c r="Z150" s="41" t="s">
        <v>397</v>
      </c>
      <c r="AA150" s="41" t="s">
        <v>397</v>
      </c>
      <c r="AB150" s="41" t="s">
        <v>397</v>
      </c>
      <c r="AC150" s="41" t="s">
        <v>397</v>
      </c>
      <c r="AD150" s="41" t="s">
        <v>396</v>
      </c>
      <c r="AE150" s="41" t="s">
        <v>396</v>
      </c>
      <c r="AF150" s="41" t="s">
        <v>396</v>
      </c>
      <c r="AG150" s="41" t="s">
        <v>397</v>
      </c>
      <c r="AH150" s="50"/>
      <c r="AI150" s="41" t="s">
        <v>395</v>
      </c>
      <c r="AJ150" s="41" t="s">
        <v>396</v>
      </c>
      <c r="AK150" s="41" t="s">
        <v>397</v>
      </c>
      <c r="AL150" s="41">
        <f t="shared" si="0"/>
        <v>0</v>
      </c>
      <c r="AM150" s="41">
        <f t="shared" si="1"/>
        <v>0</v>
      </c>
      <c r="AN150" s="41">
        <f t="shared" si="2"/>
        <v>1</v>
      </c>
      <c r="AO150" s="41">
        <f t="shared" si="3"/>
        <v>5</v>
      </c>
      <c r="AP150" s="41">
        <f t="shared" si="4"/>
        <v>7</v>
      </c>
      <c r="AQ150" s="41">
        <f t="shared" si="5"/>
        <v>0</v>
      </c>
      <c r="AR150" s="581">
        <f t="shared" si="6"/>
        <v>150</v>
      </c>
      <c r="AS150" s="582"/>
      <c r="AT150" s="55"/>
      <c r="AU150" s="55"/>
      <c r="AV150" s="55"/>
    </row>
    <row r="151" spans="10:52" x14ac:dyDescent="0.25">
      <c r="J151" s="31"/>
      <c r="K151" s="31"/>
      <c r="L151" s="31"/>
      <c r="M151" s="31"/>
      <c r="W151" s="54">
        <v>12</v>
      </c>
      <c r="X151" s="41" t="s">
        <v>398</v>
      </c>
      <c r="Y151" s="41" t="s">
        <v>397</v>
      </c>
      <c r="Z151" s="41" t="s">
        <v>397</v>
      </c>
      <c r="AA151" s="41" t="s">
        <v>397</v>
      </c>
      <c r="AB151" s="41" t="s">
        <v>397</v>
      </c>
      <c r="AC151" s="41" t="s">
        <v>397</v>
      </c>
      <c r="AD151" s="41" t="s">
        <v>397</v>
      </c>
      <c r="AE151" s="41" t="s">
        <v>397</v>
      </c>
      <c r="AF151" s="41" t="s">
        <v>395</v>
      </c>
      <c r="AG151" s="41" t="s">
        <v>398</v>
      </c>
      <c r="AH151" s="41" t="s">
        <v>395</v>
      </c>
      <c r="AI151" s="50"/>
      <c r="AJ151" s="41" t="s">
        <v>396</v>
      </c>
      <c r="AK151" s="41" t="s">
        <v>397</v>
      </c>
      <c r="AL151" s="41">
        <f t="shared" si="0"/>
        <v>0</v>
      </c>
      <c r="AM151" s="41">
        <f t="shared" si="1"/>
        <v>0</v>
      </c>
      <c r="AN151" s="41">
        <f t="shared" si="2"/>
        <v>2</v>
      </c>
      <c r="AO151" s="41">
        <f t="shared" si="3"/>
        <v>1</v>
      </c>
      <c r="AP151" s="41">
        <f t="shared" si="4"/>
        <v>8</v>
      </c>
      <c r="AQ151" s="41">
        <f t="shared" si="5"/>
        <v>2</v>
      </c>
      <c r="AR151" s="581">
        <f>($AU$140*AL151)+($AV$140*AM151)+($AW$140*AN151)+($AX$140*AO151)+($AY$140*AP151)+($AZ$140*AQ151)</f>
        <v>20210</v>
      </c>
      <c r="AS151" s="582"/>
    </row>
    <row r="152" spans="10:52" x14ac:dyDescent="0.25">
      <c r="J152" s="31"/>
      <c r="K152" s="31"/>
      <c r="L152" s="31"/>
      <c r="M152" s="31"/>
      <c r="W152" s="54">
        <v>13</v>
      </c>
      <c r="X152" s="41" t="s">
        <v>396</v>
      </c>
      <c r="Y152" s="41" t="s">
        <v>396</v>
      </c>
      <c r="Z152" s="41" t="s">
        <v>397</v>
      </c>
      <c r="AA152" s="41" t="s">
        <v>397</v>
      </c>
      <c r="AB152" s="41" t="s">
        <v>397</v>
      </c>
      <c r="AC152" s="41" t="s">
        <v>397</v>
      </c>
      <c r="AD152" s="41" t="s">
        <v>396</v>
      </c>
      <c r="AE152" s="41" t="s">
        <v>396</v>
      </c>
      <c r="AF152" s="41" t="s">
        <v>396</v>
      </c>
      <c r="AG152" s="41" t="s">
        <v>396</v>
      </c>
      <c r="AH152" s="41" t="s">
        <v>396</v>
      </c>
      <c r="AI152" s="41" t="s">
        <v>396</v>
      </c>
      <c r="AJ152" s="50"/>
      <c r="AK152" s="41" t="s">
        <v>396</v>
      </c>
      <c r="AL152" s="41">
        <f t="shared" si="0"/>
        <v>0</v>
      </c>
      <c r="AM152" s="41">
        <f t="shared" si="1"/>
        <v>0</v>
      </c>
      <c r="AN152" s="41">
        <f t="shared" si="2"/>
        <v>0</v>
      </c>
      <c r="AO152" s="41">
        <f t="shared" si="3"/>
        <v>9</v>
      </c>
      <c r="AP152" s="41">
        <f t="shared" si="4"/>
        <v>4</v>
      </c>
      <c r="AQ152" s="41">
        <f t="shared" si="5"/>
        <v>0</v>
      </c>
      <c r="AR152" s="583">
        <f t="shared" si="6"/>
        <v>90</v>
      </c>
      <c r="AS152" s="584"/>
    </row>
    <row r="153" spans="10:52" x14ac:dyDescent="0.25">
      <c r="J153" s="31"/>
      <c r="K153" s="31"/>
      <c r="L153" s="31"/>
      <c r="M153" s="31"/>
      <c r="W153" s="54">
        <v>14</v>
      </c>
      <c r="X153" s="41" t="s">
        <v>395</v>
      </c>
      <c r="Y153" s="41" t="s">
        <v>397</v>
      </c>
      <c r="Z153" s="41" t="s">
        <v>397</v>
      </c>
      <c r="AA153" s="41" t="s">
        <v>397</v>
      </c>
      <c r="AB153" s="41" t="s">
        <v>397</v>
      </c>
      <c r="AC153" s="41" t="s">
        <v>397</v>
      </c>
      <c r="AD153" s="41" t="s">
        <v>397</v>
      </c>
      <c r="AE153" s="41" t="s">
        <v>397</v>
      </c>
      <c r="AF153" s="41" t="s">
        <v>397</v>
      </c>
      <c r="AG153" s="41" t="s">
        <v>397</v>
      </c>
      <c r="AH153" s="41" t="s">
        <v>397</v>
      </c>
      <c r="AI153" s="41" t="s">
        <v>397</v>
      </c>
      <c r="AJ153" s="41" t="s">
        <v>396</v>
      </c>
      <c r="AK153" s="50"/>
      <c r="AL153" s="41">
        <f t="shared" si="0"/>
        <v>0</v>
      </c>
      <c r="AM153" s="41">
        <f t="shared" si="1"/>
        <v>0</v>
      </c>
      <c r="AN153" s="41">
        <f t="shared" si="2"/>
        <v>1</v>
      </c>
      <c r="AO153" s="41">
        <f t="shared" si="3"/>
        <v>1</v>
      </c>
      <c r="AP153" s="41">
        <f t="shared" si="4"/>
        <v>11</v>
      </c>
      <c r="AQ153" s="41">
        <f t="shared" si="5"/>
        <v>0</v>
      </c>
      <c r="AR153" s="581">
        <f t="shared" si="6"/>
        <v>110</v>
      </c>
      <c r="AS153" s="582"/>
    </row>
    <row r="154" spans="10:52" x14ac:dyDescent="0.25">
      <c r="J154" s="31"/>
      <c r="K154" s="31"/>
      <c r="L154" s="31"/>
      <c r="M154" s="31"/>
      <c r="AU154" s="50" t="s">
        <v>411</v>
      </c>
      <c r="AV154" s="50" t="s">
        <v>382</v>
      </c>
      <c r="AW154" s="499" t="s">
        <v>412</v>
      </c>
      <c r="AX154" s="500"/>
      <c r="AY154" s="500"/>
      <c r="AZ154" s="501"/>
    </row>
    <row r="155" spans="10:52" x14ac:dyDescent="0.25">
      <c r="J155" s="31"/>
      <c r="K155" s="31"/>
      <c r="L155" s="31"/>
      <c r="M155" s="31"/>
      <c r="AU155" s="41" t="s">
        <v>413</v>
      </c>
      <c r="AV155" s="41">
        <v>2</v>
      </c>
      <c r="AW155" s="491" t="s">
        <v>427</v>
      </c>
      <c r="AX155" s="491"/>
      <c r="AY155" s="491"/>
      <c r="AZ155" s="491"/>
    </row>
    <row r="156" spans="10:52" x14ac:dyDescent="0.25">
      <c r="J156" s="31"/>
      <c r="K156" s="31"/>
      <c r="L156" s="31"/>
      <c r="M156" s="31"/>
      <c r="AU156" s="41" t="s">
        <v>414</v>
      </c>
      <c r="AV156" s="41">
        <v>1</v>
      </c>
      <c r="AW156" s="491"/>
      <c r="AX156" s="491"/>
      <c r="AY156" s="491"/>
      <c r="AZ156" s="491"/>
    </row>
    <row r="157" spans="10:52" x14ac:dyDescent="0.25">
      <c r="J157" s="31"/>
      <c r="K157" s="31"/>
      <c r="L157" s="31"/>
      <c r="M157" s="31"/>
      <c r="AU157" s="41" t="s">
        <v>415</v>
      </c>
      <c r="AV157" s="41">
        <v>12</v>
      </c>
      <c r="AW157" s="491"/>
      <c r="AX157" s="491"/>
      <c r="AY157" s="491"/>
      <c r="AZ157" s="491"/>
    </row>
    <row r="158" spans="10:52" x14ac:dyDescent="0.25">
      <c r="J158" s="31"/>
      <c r="K158" s="31"/>
      <c r="L158" s="31"/>
      <c r="M158" s="31"/>
      <c r="AU158" s="41" t="s">
        <v>416</v>
      </c>
      <c r="AV158" s="41">
        <v>3</v>
      </c>
      <c r="AW158" s="491"/>
      <c r="AX158" s="491"/>
      <c r="AY158" s="491"/>
      <c r="AZ158" s="491"/>
    </row>
    <row r="159" spans="10:52" x14ac:dyDescent="0.25">
      <c r="J159" s="31"/>
      <c r="K159" s="31"/>
      <c r="L159" s="31"/>
      <c r="M159" s="31"/>
      <c r="AU159" s="41" t="s">
        <v>417</v>
      </c>
      <c r="AV159" s="41">
        <v>4</v>
      </c>
      <c r="AW159" s="491"/>
      <c r="AX159" s="491"/>
      <c r="AY159" s="491"/>
      <c r="AZ159" s="491"/>
    </row>
    <row r="160" spans="10:52" x14ac:dyDescent="0.25">
      <c r="J160" s="31"/>
      <c r="K160" s="31"/>
      <c r="L160" s="31"/>
      <c r="M160" s="31"/>
      <c r="AU160" s="41" t="s">
        <v>418</v>
      </c>
      <c r="AV160" s="41">
        <v>5</v>
      </c>
      <c r="AW160" s="491"/>
      <c r="AX160" s="491"/>
      <c r="AY160" s="491"/>
      <c r="AZ160" s="491"/>
    </row>
    <row r="161" spans="8:62" x14ac:dyDescent="0.25">
      <c r="J161" s="31"/>
      <c r="K161" s="31"/>
      <c r="L161" s="31"/>
      <c r="M161" s="31"/>
      <c r="AU161" s="41" t="s">
        <v>419</v>
      </c>
      <c r="AV161" s="41">
        <v>6</v>
      </c>
      <c r="AW161" s="491"/>
      <c r="AX161" s="491"/>
      <c r="AY161" s="491"/>
      <c r="AZ161" s="491"/>
    </row>
    <row r="162" spans="8:62" x14ac:dyDescent="0.25">
      <c r="J162" s="31"/>
      <c r="K162" s="31"/>
      <c r="L162" s="31"/>
      <c r="M162" s="31"/>
      <c r="AU162" s="41" t="s">
        <v>420</v>
      </c>
      <c r="AV162" s="41">
        <v>10</v>
      </c>
      <c r="AW162" s="491"/>
      <c r="AX162" s="491"/>
      <c r="AY162" s="491"/>
      <c r="AZ162" s="491"/>
    </row>
    <row r="163" spans="8:62" x14ac:dyDescent="0.25">
      <c r="H163" s="51"/>
      <c r="I163" s="31"/>
      <c r="J163" s="31"/>
      <c r="K163" s="31"/>
      <c r="L163" s="31"/>
      <c r="M163" s="31"/>
      <c r="AU163" s="41" t="s">
        <v>421</v>
      </c>
      <c r="AV163" s="41">
        <v>7</v>
      </c>
      <c r="AW163" s="491"/>
      <c r="AX163" s="491"/>
      <c r="AY163" s="491"/>
      <c r="AZ163" s="491"/>
    </row>
    <row r="164" spans="8:62" x14ac:dyDescent="0.25">
      <c r="H164" s="51"/>
      <c r="I164" s="31"/>
      <c r="J164" s="31"/>
      <c r="K164" s="31"/>
      <c r="L164" s="31"/>
      <c r="M164" s="31"/>
      <c r="AU164" s="41" t="s">
        <v>422</v>
      </c>
      <c r="AV164" s="41">
        <v>8</v>
      </c>
      <c r="AW164" s="491"/>
      <c r="AX164" s="491"/>
      <c r="AY164" s="491"/>
      <c r="AZ164" s="491"/>
    </row>
    <row r="165" spans="8:62" x14ac:dyDescent="0.25">
      <c r="H165" s="51"/>
      <c r="I165" s="31"/>
      <c r="AU165" s="41" t="s">
        <v>423</v>
      </c>
      <c r="AV165" s="41">
        <v>9</v>
      </c>
      <c r="AW165" s="491"/>
      <c r="AX165" s="491"/>
      <c r="AY165" s="491"/>
      <c r="AZ165" s="491"/>
    </row>
    <row r="166" spans="8:62" x14ac:dyDescent="0.25">
      <c r="H166" s="51"/>
      <c r="I166" s="31"/>
      <c r="J166" s="53"/>
      <c r="K166" s="53"/>
      <c r="L166" s="31"/>
      <c r="M166" s="31"/>
      <c r="AU166" s="41" t="s">
        <v>424</v>
      </c>
      <c r="AV166" s="41">
        <v>11</v>
      </c>
      <c r="AW166" s="491"/>
      <c r="AX166" s="491"/>
      <c r="AY166" s="491"/>
      <c r="AZ166" s="491"/>
    </row>
    <row r="167" spans="8:62" x14ac:dyDescent="0.25">
      <c r="H167" s="51"/>
      <c r="I167" s="31"/>
      <c r="J167" s="31"/>
      <c r="K167" s="31"/>
      <c r="L167" s="31"/>
      <c r="M167" s="31"/>
      <c r="AU167" s="41" t="s">
        <v>425</v>
      </c>
      <c r="AV167" s="41">
        <v>14</v>
      </c>
      <c r="AW167" s="491"/>
      <c r="AX167" s="491"/>
      <c r="AY167" s="491"/>
      <c r="AZ167" s="491"/>
    </row>
    <row r="168" spans="8:62" x14ac:dyDescent="0.25">
      <c r="H168" s="51"/>
      <c r="I168" s="31"/>
      <c r="J168" s="31"/>
      <c r="K168" s="31"/>
      <c r="L168" s="31"/>
      <c r="M168" s="31"/>
      <c r="AU168" s="41" t="s">
        <v>426</v>
      </c>
      <c r="AV168" s="41">
        <v>13</v>
      </c>
      <c r="AW168" s="491"/>
      <c r="AX168" s="491"/>
      <c r="AY168" s="491"/>
      <c r="AZ168" s="491"/>
    </row>
    <row r="169" spans="8:62" ht="15.75" thickBot="1" x14ac:dyDescent="0.3">
      <c r="H169" s="51"/>
      <c r="I169" s="31"/>
      <c r="J169" s="31"/>
      <c r="K169" s="31"/>
      <c r="L169" s="31"/>
      <c r="M169" s="31"/>
      <c r="BE169" s="41">
        <v>8</v>
      </c>
      <c r="BF169" s="69">
        <v>7</v>
      </c>
      <c r="BG169" s="41">
        <v>6</v>
      </c>
      <c r="BH169" s="67"/>
      <c r="BI169" s="61" t="s">
        <v>138</v>
      </c>
      <c r="BJ169" s="62" t="s">
        <v>429</v>
      </c>
    </row>
    <row r="170" spans="8:62" ht="15.75" thickBot="1" x14ac:dyDescent="0.3">
      <c r="H170" s="51"/>
      <c r="I170" s="31"/>
      <c r="J170" s="31"/>
      <c r="K170" s="31"/>
      <c r="L170" s="31"/>
      <c r="M170" s="31"/>
      <c r="BE170" s="66">
        <v>1</v>
      </c>
      <c r="BF170" s="71" t="s">
        <v>428</v>
      </c>
      <c r="BG170" s="68">
        <v>5</v>
      </c>
      <c r="BH170" s="67"/>
      <c r="BI170" s="63" t="s">
        <v>431</v>
      </c>
      <c r="BJ170" s="64">
        <v>10000</v>
      </c>
    </row>
    <row r="171" spans="8:62" x14ac:dyDescent="0.25">
      <c r="H171" s="51"/>
      <c r="I171" s="31"/>
      <c r="J171" s="31"/>
      <c r="K171" s="31"/>
      <c r="L171" s="31"/>
      <c r="M171" s="31"/>
      <c r="BE171" s="41">
        <v>2</v>
      </c>
      <c r="BF171" s="70">
        <v>3</v>
      </c>
      <c r="BG171" s="41">
        <v>4</v>
      </c>
      <c r="BH171" s="67"/>
      <c r="BI171" s="63" t="s">
        <v>430</v>
      </c>
      <c r="BJ171" s="64">
        <v>5000</v>
      </c>
    </row>
    <row r="172" spans="8:62" x14ac:dyDescent="0.25">
      <c r="H172" s="51"/>
      <c r="I172" s="31"/>
      <c r="J172" s="31"/>
      <c r="K172" s="31"/>
      <c r="L172" s="31"/>
      <c r="M172" s="31"/>
    </row>
    <row r="173" spans="8:62" ht="15.75" thickBot="1" x14ac:dyDescent="0.3">
      <c r="H173" s="51"/>
      <c r="I173" s="31"/>
      <c r="J173" s="31"/>
      <c r="K173" s="31"/>
      <c r="L173" s="31"/>
      <c r="M173" s="31"/>
      <c r="BD173" s="59">
        <v>10</v>
      </c>
      <c r="BE173" s="69">
        <v>9</v>
      </c>
      <c r="BF173" s="69">
        <v>8</v>
      </c>
      <c r="BG173" s="41">
        <v>7</v>
      </c>
      <c r="BH173" s="67"/>
      <c r="BI173" s="61" t="s">
        <v>138</v>
      </c>
      <c r="BJ173" s="62" t="s">
        <v>429</v>
      </c>
    </row>
    <row r="174" spans="8:62" ht="15.75" thickBot="1" x14ac:dyDescent="0.3">
      <c r="H174" s="51"/>
      <c r="I174" s="31"/>
      <c r="J174" s="31"/>
      <c r="K174" s="31"/>
      <c r="L174" s="31"/>
      <c r="M174" s="31"/>
      <c r="BD174" s="59">
        <v>1</v>
      </c>
      <c r="BE174" s="73" t="s">
        <v>433</v>
      </c>
      <c r="BF174" s="74" t="s">
        <v>432</v>
      </c>
      <c r="BG174" s="72">
        <v>6</v>
      </c>
      <c r="BH174" s="67"/>
      <c r="BI174" s="63" t="s">
        <v>434</v>
      </c>
      <c r="BJ174" s="64">
        <v>0</v>
      </c>
    </row>
    <row r="175" spans="8:62" x14ac:dyDescent="0.25">
      <c r="H175" s="51"/>
      <c r="I175" s="31"/>
      <c r="J175" s="31"/>
      <c r="K175" s="31"/>
      <c r="L175" s="31"/>
      <c r="M175" s="31"/>
      <c r="BD175" s="59">
        <v>2</v>
      </c>
      <c r="BE175" s="70">
        <v>3</v>
      </c>
      <c r="BF175" s="70">
        <v>4</v>
      </c>
      <c r="BG175" s="41">
        <v>5</v>
      </c>
      <c r="BH175" s="67"/>
      <c r="BI175" s="31"/>
      <c r="BJ175" s="31"/>
    </row>
    <row r="176" spans="8:62" x14ac:dyDescent="0.25">
      <c r="H176" s="51"/>
      <c r="I176" s="31"/>
      <c r="J176" s="31"/>
      <c r="K176" s="31"/>
      <c r="L176" s="31"/>
      <c r="M176" s="31"/>
    </row>
    <row r="177" spans="8:62" ht="15.75" thickBot="1" x14ac:dyDescent="0.3">
      <c r="H177" s="51"/>
      <c r="I177" s="31"/>
      <c r="J177" s="31"/>
      <c r="K177" s="31"/>
      <c r="L177" s="31"/>
      <c r="M177" s="31"/>
      <c r="BC177" s="59">
        <v>12</v>
      </c>
      <c r="BD177" s="69">
        <v>11</v>
      </c>
      <c r="BE177" s="69">
        <v>10</v>
      </c>
      <c r="BF177" s="75">
        <v>9</v>
      </c>
      <c r="BG177" s="59">
        <v>8</v>
      </c>
      <c r="BH177" s="60"/>
      <c r="BI177" s="61" t="s">
        <v>138</v>
      </c>
      <c r="BJ177" s="62" t="s">
        <v>429</v>
      </c>
    </row>
    <row r="178" spans="8:62" ht="15.75" thickBot="1" x14ac:dyDescent="0.3">
      <c r="J178" s="31"/>
      <c r="K178" s="31"/>
      <c r="L178" s="31"/>
      <c r="M178" s="31"/>
      <c r="BC178" s="59">
        <v>1</v>
      </c>
      <c r="BD178" s="73" t="s">
        <v>435</v>
      </c>
      <c r="BE178" s="78" t="s">
        <v>428</v>
      </c>
      <c r="BF178" s="74" t="s">
        <v>440</v>
      </c>
      <c r="BG178" s="68">
        <v>7</v>
      </c>
      <c r="BH178" s="60"/>
      <c r="BI178" s="63" t="s">
        <v>439</v>
      </c>
      <c r="BJ178" s="64">
        <v>10000</v>
      </c>
    </row>
    <row r="179" spans="8:62" x14ac:dyDescent="0.25">
      <c r="I179" s="53"/>
      <c r="J179" s="31"/>
      <c r="K179" s="31"/>
      <c r="L179" s="31"/>
      <c r="M179" s="31"/>
      <c r="BC179" s="59">
        <v>2</v>
      </c>
      <c r="BD179" s="70">
        <v>3</v>
      </c>
      <c r="BE179" s="76">
        <v>4</v>
      </c>
      <c r="BF179" s="77">
        <v>5</v>
      </c>
      <c r="BG179" s="59">
        <v>6</v>
      </c>
      <c r="BH179" s="60"/>
      <c r="BI179" s="63" t="s">
        <v>437</v>
      </c>
      <c r="BJ179" s="64">
        <v>5000</v>
      </c>
    </row>
    <row r="180" spans="8:62" x14ac:dyDescent="0.25">
      <c r="I180" s="31"/>
      <c r="J180" s="31"/>
      <c r="K180" s="31"/>
      <c r="L180" s="31"/>
      <c r="M180" s="31"/>
      <c r="BC180" s="31"/>
      <c r="BD180" s="31"/>
      <c r="BE180" s="31"/>
      <c r="BF180" s="31"/>
      <c r="BG180" s="31"/>
      <c r="BH180" s="31"/>
      <c r="BI180" s="63" t="s">
        <v>438</v>
      </c>
      <c r="BJ180" s="64">
        <v>0</v>
      </c>
    </row>
    <row r="181" spans="8:62" x14ac:dyDescent="0.25">
      <c r="I181" s="31"/>
      <c r="J181" s="31"/>
      <c r="K181" s="31"/>
      <c r="L181" s="31"/>
      <c r="M181" s="31"/>
      <c r="BG181" s="55"/>
      <c r="BH181" s="55"/>
    </row>
    <row r="182" spans="8:62" x14ac:dyDescent="0.25">
      <c r="I182" s="31"/>
      <c r="J182" s="31"/>
      <c r="K182" s="31"/>
      <c r="L182" s="31"/>
      <c r="M182" s="31"/>
      <c r="BC182" s="31"/>
      <c r="BD182" s="31"/>
      <c r="BE182" s="31"/>
      <c r="BF182" s="31"/>
      <c r="BG182" s="85"/>
      <c r="BH182" s="67"/>
      <c r="BI182" s="61" t="s">
        <v>138</v>
      </c>
      <c r="BJ182" s="62" t="s">
        <v>429</v>
      </c>
    </row>
    <row r="183" spans="8:62" ht="15.75" thickBot="1" x14ac:dyDescent="0.3">
      <c r="I183" s="31"/>
      <c r="J183" s="31"/>
      <c r="K183" s="31"/>
      <c r="L183" s="31"/>
      <c r="M183" s="31"/>
      <c r="BC183" s="59">
        <v>14</v>
      </c>
      <c r="BD183" s="69">
        <v>13</v>
      </c>
      <c r="BE183" s="86">
        <v>12</v>
      </c>
      <c r="BF183" s="75">
        <v>11</v>
      </c>
      <c r="BG183" s="77">
        <v>10</v>
      </c>
      <c r="BH183" s="60"/>
      <c r="BI183" s="65">
        <v>12</v>
      </c>
      <c r="BJ183" s="64">
        <v>10000</v>
      </c>
    </row>
    <row r="184" spans="8:62" ht="15.75" thickBot="1" x14ac:dyDescent="0.3">
      <c r="I184" s="31"/>
      <c r="J184" s="31"/>
      <c r="K184" s="31"/>
      <c r="L184" s="31"/>
      <c r="M184" s="31"/>
      <c r="BC184" s="59">
        <v>1</v>
      </c>
      <c r="BD184" s="73" t="s">
        <v>435</v>
      </c>
      <c r="BE184" s="79" t="s">
        <v>428</v>
      </c>
      <c r="BF184" s="74" t="s">
        <v>440</v>
      </c>
      <c r="BG184" s="68">
        <v>9</v>
      </c>
      <c r="BH184" s="60"/>
      <c r="BI184" s="63" t="s">
        <v>442</v>
      </c>
      <c r="BJ184" s="64">
        <v>5010</v>
      </c>
    </row>
    <row r="185" spans="8:62" ht="15.75" thickBot="1" x14ac:dyDescent="0.3">
      <c r="I185" s="31"/>
      <c r="BC185" s="59">
        <v>2</v>
      </c>
      <c r="BD185" s="77">
        <v>3</v>
      </c>
      <c r="BE185" s="83" t="s">
        <v>441</v>
      </c>
      <c r="BF185" s="58">
        <v>7</v>
      </c>
      <c r="BG185" s="41">
        <v>8</v>
      </c>
      <c r="BH185" s="31"/>
      <c r="BI185" s="63" t="s">
        <v>443</v>
      </c>
      <c r="BJ185" s="64">
        <v>5000</v>
      </c>
    </row>
    <row r="186" spans="8:62" x14ac:dyDescent="0.25">
      <c r="I186" s="31"/>
      <c r="J186" s="31"/>
      <c r="K186" s="31"/>
      <c r="L186" s="31"/>
      <c r="M186" s="31"/>
      <c r="N186" s="31"/>
      <c r="BC186" s="59"/>
      <c r="BD186" s="41">
        <v>4</v>
      </c>
      <c r="BE186" s="70">
        <v>5</v>
      </c>
      <c r="BF186" s="59">
        <v>6</v>
      </c>
      <c r="BG186" s="41"/>
      <c r="BH186" s="31"/>
      <c r="BI186" s="63">
        <v>5</v>
      </c>
      <c r="BJ186" s="64">
        <v>10</v>
      </c>
    </row>
    <row r="187" spans="8:62" x14ac:dyDescent="0.25">
      <c r="I187" s="31"/>
      <c r="J187" s="31"/>
      <c r="K187" s="31"/>
      <c r="L187" s="31"/>
      <c r="M187" s="31"/>
      <c r="N187" s="31"/>
      <c r="BC187" s="31"/>
      <c r="BD187" s="31"/>
      <c r="BE187" s="31"/>
      <c r="BF187" s="31"/>
      <c r="BG187" s="31"/>
      <c r="BH187" s="31"/>
      <c r="BI187" s="63" t="s">
        <v>444</v>
      </c>
      <c r="BJ187" s="64">
        <v>5</v>
      </c>
    </row>
    <row r="188" spans="8:62" x14ac:dyDescent="0.25">
      <c r="I188" s="31"/>
      <c r="J188" s="31"/>
      <c r="K188" s="31"/>
      <c r="L188" s="31"/>
      <c r="M188" s="31"/>
      <c r="N188" s="31"/>
      <c r="BC188" s="31"/>
      <c r="BD188" s="31"/>
      <c r="BE188" s="31"/>
      <c r="BF188" s="31"/>
      <c r="BG188" s="31"/>
      <c r="BH188" s="31"/>
      <c r="BI188" s="63" t="s">
        <v>445</v>
      </c>
      <c r="BJ188" s="64">
        <v>0</v>
      </c>
    </row>
    <row r="189" spans="8:62" x14ac:dyDescent="0.25">
      <c r="I189" s="31"/>
      <c r="J189" s="53"/>
      <c r="K189" s="53"/>
      <c r="L189" s="31"/>
      <c r="M189" s="31"/>
      <c r="N189" s="31"/>
    </row>
    <row r="190" spans="8:62" x14ac:dyDescent="0.25">
      <c r="I190" s="31"/>
      <c r="J190" s="31"/>
      <c r="K190" s="31"/>
      <c r="L190" s="31"/>
      <c r="M190" s="31"/>
      <c r="N190" s="31"/>
      <c r="BC190" s="31"/>
      <c r="BD190" s="31"/>
      <c r="BE190" s="31"/>
      <c r="BF190" s="31"/>
      <c r="BG190" s="85"/>
      <c r="BH190" s="67"/>
      <c r="BI190" s="61" t="s">
        <v>138</v>
      </c>
      <c r="BJ190" s="62" t="s">
        <v>429</v>
      </c>
    </row>
    <row r="191" spans="8:62" ht="15.75" thickBot="1" x14ac:dyDescent="0.3">
      <c r="I191" s="31"/>
      <c r="J191" s="31"/>
      <c r="K191" s="31"/>
      <c r="L191" s="31"/>
      <c r="M191" s="31"/>
      <c r="N191" s="31"/>
      <c r="BC191" s="41"/>
      <c r="BD191" s="41">
        <v>14</v>
      </c>
      <c r="BE191" s="69">
        <v>13</v>
      </c>
      <c r="BF191" s="41">
        <v>12</v>
      </c>
      <c r="BG191" s="41"/>
      <c r="BH191" s="60"/>
      <c r="BI191" s="63" t="s">
        <v>449</v>
      </c>
      <c r="BJ191" s="64">
        <v>5010</v>
      </c>
    </row>
    <row r="192" spans="8:62" ht="15.75" thickBot="1" x14ac:dyDescent="0.3">
      <c r="I192" s="31"/>
      <c r="J192" s="31"/>
      <c r="K192" s="31"/>
      <c r="L192" s="31"/>
      <c r="M192" s="31"/>
      <c r="N192" s="31"/>
      <c r="BC192" s="41">
        <v>16</v>
      </c>
      <c r="BD192" s="75">
        <v>15</v>
      </c>
      <c r="BE192" s="88" t="s">
        <v>446</v>
      </c>
      <c r="BF192" s="87">
        <v>11</v>
      </c>
      <c r="BG192" s="41">
        <v>10</v>
      </c>
      <c r="BH192" s="60"/>
      <c r="BI192" s="63" t="s">
        <v>447</v>
      </c>
      <c r="BJ192" s="64">
        <v>5000</v>
      </c>
    </row>
    <row r="193" spans="9:62" ht="15.75" thickBot="1" x14ac:dyDescent="0.3">
      <c r="I193" s="31"/>
      <c r="J193" s="31"/>
      <c r="K193" s="31"/>
      <c r="L193" s="31"/>
      <c r="M193" s="31"/>
      <c r="N193" s="31"/>
      <c r="BC193" s="59">
        <v>1</v>
      </c>
      <c r="BD193" s="73" t="s">
        <v>435</v>
      </c>
      <c r="BE193" s="56" t="s">
        <v>428</v>
      </c>
      <c r="BF193" s="74" t="s">
        <v>440</v>
      </c>
      <c r="BG193" s="68">
        <v>9</v>
      </c>
      <c r="BH193" s="31"/>
      <c r="BI193" s="63">
        <v>5</v>
      </c>
      <c r="BJ193" s="64">
        <v>10</v>
      </c>
    </row>
    <row r="194" spans="9:62" ht="15.75" thickBot="1" x14ac:dyDescent="0.3">
      <c r="I194" s="31"/>
      <c r="J194" s="31"/>
      <c r="K194" s="31"/>
      <c r="L194" s="31"/>
      <c r="M194" s="31"/>
      <c r="N194" s="31"/>
      <c r="BC194" s="41">
        <v>2</v>
      </c>
      <c r="BD194" s="89">
        <v>3</v>
      </c>
      <c r="BE194" s="83" t="s">
        <v>441</v>
      </c>
      <c r="BF194" s="57">
        <v>7</v>
      </c>
      <c r="BG194" s="41">
        <v>8</v>
      </c>
      <c r="BH194" s="31"/>
      <c r="BI194" s="63" t="s">
        <v>444</v>
      </c>
      <c r="BJ194" s="64">
        <v>5</v>
      </c>
    </row>
    <row r="195" spans="9:62" x14ac:dyDescent="0.25">
      <c r="I195" s="31"/>
      <c r="J195" s="31"/>
      <c r="K195" s="31"/>
      <c r="L195" s="31"/>
      <c r="M195" s="31"/>
      <c r="N195" s="31"/>
      <c r="BC195" s="41"/>
      <c r="BD195" s="41">
        <v>4</v>
      </c>
      <c r="BE195" s="70">
        <v>5</v>
      </c>
      <c r="BF195" s="41">
        <v>6</v>
      </c>
      <c r="BG195" s="41"/>
      <c r="BH195" s="31"/>
      <c r="BI195" s="63" t="s">
        <v>448</v>
      </c>
      <c r="BJ195" s="64">
        <v>0</v>
      </c>
    </row>
    <row r="196" spans="9:62" x14ac:dyDescent="0.25">
      <c r="I196" s="31"/>
      <c r="J196" s="31"/>
      <c r="K196" s="31"/>
      <c r="L196" s="31"/>
      <c r="M196" s="31"/>
      <c r="N196" s="31"/>
      <c r="BC196" s="31"/>
      <c r="BD196" s="31"/>
      <c r="BE196" s="31"/>
      <c r="BF196" s="31"/>
      <c r="BG196" s="31"/>
      <c r="BH196" s="31"/>
      <c r="BI196" s="63"/>
      <c r="BJ196" s="64"/>
    </row>
    <row r="197" spans="9:62" x14ac:dyDescent="0.25">
      <c r="I197" s="31"/>
      <c r="J197" s="31"/>
      <c r="K197" s="31"/>
      <c r="L197" s="31"/>
      <c r="M197" s="31"/>
      <c r="N197" s="31"/>
    </row>
    <row r="198" spans="9:62" x14ac:dyDescent="0.25">
      <c r="I198" s="31"/>
      <c r="J198" s="31"/>
      <c r="K198" s="31"/>
      <c r="L198" s="31"/>
      <c r="M198" s="31"/>
      <c r="N198" s="31"/>
      <c r="BC198" s="31"/>
      <c r="BD198" s="31"/>
      <c r="BE198" s="31"/>
      <c r="BF198" s="31"/>
      <c r="BG198" s="85"/>
      <c r="BH198" s="67"/>
      <c r="BI198" s="61" t="s">
        <v>138</v>
      </c>
      <c r="BJ198" s="62" t="s">
        <v>429</v>
      </c>
    </row>
    <row r="199" spans="9:62" ht="15.75" thickBot="1" x14ac:dyDescent="0.3">
      <c r="I199" s="31"/>
      <c r="J199" s="31"/>
      <c r="K199" s="31"/>
      <c r="L199" s="31"/>
      <c r="M199" s="31"/>
      <c r="N199" s="31"/>
      <c r="BC199" s="41"/>
      <c r="BD199" s="69">
        <v>14</v>
      </c>
      <c r="BE199" s="69">
        <v>13</v>
      </c>
      <c r="BF199" s="69">
        <v>12</v>
      </c>
      <c r="BG199" s="69"/>
      <c r="BH199" s="60"/>
      <c r="BI199" s="63" t="s">
        <v>456</v>
      </c>
      <c r="BJ199" s="64">
        <v>5010</v>
      </c>
    </row>
    <row r="200" spans="9:62" ht="15.75" thickBot="1" x14ac:dyDescent="0.3">
      <c r="I200" s="31"/>
      <c r="J200" s="31"/>
      <c r="K200" s="31"/>
      <c r="L200" s="31"/>
      <c r="M200" s="31"/>
      <c r="N200" s="31"/>
      <c r="BC200" s="59">
        <v>16</v>
      </c>
      <c r="BD200" s="75">
        <v>15</v>
      </c>
      <c r="BE200" s="88" t="s">
        <v>450</v>
      </c>
      <c r="BF200" s="92">
        <v>11</v>
      </c>
      <c r="BG200" s="41">
        <v>10</v>
      </c>
      <c r="BH200" s="60"/>
      <c r="BI200" s="63">
        <v>7</v>
      </c>
      <c r="BJ200" s="64">
        <v>5000</v>
      </c>
    </row>
    <row r="201" spans="9:62" ht="15.75" thickBot="1" x14ac:dyDescent="0.3">
      <c r="I201" s="31"/>
      <c r="J201" s="31"/>
      <c r="K201" s="31"/>
      <c r="L201" s="31"/>
      <c r="M201" s="31"/>
      <c r="N201" s="31"/>
      <c r="BC201" s="59">
        <v>1</v>
      </c>
      <c r="BD201" s="80" t="s">
        <v>435</v>
      </c>
      <c r="BE201" s="56" t="s">
        <v>428</v>
      </c>
      <c r="BF201" s="74" t="s">
        <v>440</v>
      </c>
      <c r="BG201" s="68">
        <v>9</v>
      </c>
      <c r="BH201" s="31"/>
      <c r="BI201" s="63" t="s">
        <v>453</v>
      </c>
      <c r="BJ201" s="64">
        <v>10</v>
      </c>
    </row>
    <row r="202" spans="9:62" ht="15.75" thickBot="1" x14ac:dyDescent="0.3">
      <c r="I202" s="31"/>
      <c r="J202" s="31"/>
      <c r="K202" s="31"/>
      <c r="L202" s="31"/>
      <c r="M202" s="31"/>
      <c r="N202" s="31"/>
      <c r="BC202" s="59">
        <v>2</v>
      </c>
      <c r="BD202" s="91" t="s">
        <v>451</v>
      </c>
      <c r="BE202" s="82" t="s">
        <v>452</v>
      </c>
      <c r="BF202" s="57">
        <v>7</v>
      </c>
      <c r="BG202" s="41">
        <v>8</v>
      </c>
      <c r="BH202" s="31"/>
      <c r="BI202" s="63" t="s">
        <v>454</v>
      </c>
      <c r="BJ202" s="64">
        <v>5</v>
      </c>
    </row>
    <row r="203" spans="9:62" x14ac:dyDescent="0.25">
      <c r="I203" s="31"/>
      <c r="J203" s="31"/>
      <c r="K203" s="31"/>
      <c r="L203" s="31"/>
      <c r="M203" s="31"/>
      <c r="N203" s="31"/>
      <c r="BC203" s="41">
        <v>3</v>
      </c>
      <c r="BD203" s="70">
        <v>4</v>
      </c>
      <c r="BE203" s="70">
        <v>5</v>
      </c>
      <c r="BF203" s="70">
        <v>6</v>
      </c>
      <c r="BG203" s="70"/>
      <c r="BH203" s="31"/>
      <c r="BI203" s="63" t="s">
        <v>455</v>
      </c>
      <c r="BJ203" s="64">
        <v>0</v>
      </c>
    </row>
    <row r="204" spans="9:62" x14ac:dyDescent="0.25">
      <c r="I204" s="31"/>
      <c r="J204" s="31"/>
      <c r="K204" s="31"/>
      <c r="L204" s="31"/>
      <c r="M204" s="31"/>
      <c r="N204" s="31"/>
      <c r="BC204" s="31"/>
      <c r="BD204" s="31"/>
      <c r="BE204" s="31"/>
      <c r="BF204" s="31"/>
      <c r="BG204" s="31"/>
      <c r="BH204" s="31"/>
      <c r="BI204" s="63"/>
      <c r="BJ204" s="64"/>
    </row>
    <row r="205" spans="9:62" x14ac:dyDescent="0.25">
      <c r="I205" s="31"/>
      <c r="J205" s="31"/>
      <c r="K205" s="31"/>
      <c r="L205" s="31"/>
      <c r="M205" s="31"/>
      <c r="N205" s="31"/>
    </row>
    <row r="206" spans="9:62" x14ac:dyDescent="0.25">
      <c r="I206" s="31"/>
      <c r="J206" s="31"/>
      <c r="K206" s="31"/>
      <c r="L206" s="31"/>
      <c r="M206" s="31"/>
      <c r="N206" s="31"/>
      <c r="BC206" s="31"/>
      <c r="BD206" s="31"/>
      <c r="BE206" s="31"/>
      <c r="BF206" s="31"/>
      <c r="BG206" s="85"/>
      <c r="BH206" s="67"/>
      <c r="BI206" s="61" t="s">
        <v>138</v>
      </c>
      <c r="BJ206" s="62" t="s">
        <v>429</v>
      </c>
    </row>
    <row r="207" spans="9:62" ht="15.75" thickBot="1" x14ac:dyDescent="0.3">
      <c r="I207" s="31"/>
      <c r="J207" s="31"/>
      <c r="K207" s="31"/>
      <c r="L207" s="31"/>
      <c r="M207" s="31"/>
      <c r="N207" s="31"/>
      <c r="BC207" s="41"/>
      <c r="BD207" s="41">
        <v>14</v>
      </c>
      <c r="BE207" s="69">
        <v>13</v>
      </c>
      <c r="BF207" s="69">
        <v>12</v>
      </c>
      <c r="BG207" s="41">
        <v>11</v>
      </c>
      <c r="BH207" s="60"/>
      <c r="BI207" s="63" t="s">
        <v>466</v>
      </c>
      <c r="BJ207" s="64">
        <v>150</v>
      </c>
    </row>
    <row r="208" spans="9:62" ht="15.75" thickBot="1" x14ac:dyDescent="0.3">
      <c r="N208" s="31"/>
      <c r="BC208" s="41">
        <v>16</v>
      </c>
      <c r="BD208" s="75">
        <v>15</v>
      </c>
      <c r="BE208" s="80" t="s">
        <v>457</v>
      </c>
      <c r="BF208" s="81" t="s">
        <v>458</v>
      </c>
      <c r="BG208" s="68">
        <v>10</v>
      </c>
      <c r="BH208" s="60"/>
      <c r="BI208" s="63" t="s">
        <v>463</v>
      </c>
      <c r="BJ208" s="64">
        <v>100</v>
      </c>
    </row>
    <row r="209" spans="9:62" ht="15.75" thickBot="1" x14ac:dyDescent="0.3">
      <c r="I209" s="31"/>
      <c r="J209" s="31"/>
      <c r="K209" s="31"/>
      <c r="L209" s="31"/>
      <c r="M209" s="31"/>
      <c r="N209" s="31"/>
      <c r="BC209" s="59">
        <v>1</v>
      </c>
      <c r="BD209" s="80" t="s">
        <v>435</v>
      </c>
      <c r="BE209" s="56" t="s">
        <v>459</v>
      </c>
      <c r="BF209" s="82" t="s">
        <v>460</v>
      </c>
      <c r="BG209" s="68">
        <v>9</v>
      </c>
      <c r="BH209" s="31"/>
      <c r="BI209" s="63" t="s">
        <v>464</v>
      </c>
      <c r="BJ209" s="64">
        <v>50</v>
      </c>
    </row>
    <row r="210" spans="9:62" ht="15.75" thickBot="1" x14ac:dyDescent="0.3">
      <c r="I210" s="31"/>
      <c r="J210" s="31"/>
      <c r="K210" s="31"/>
      <c r="L210" s="31"/>
      <c r="M210" s="31"/>
      <c r="N210" s="31"/>
      <c r="BC210" s="59">
        <v>2</v>
      </c>
      <c r="BD210" s="91" t="s">
        <v>461</v>
      </c>
      <c r="BE210" s="82" t="s">
        <v>462</v>
      </c>
      <c r="BF210" s="57">
        <v>7</v>
      </c>
      <c r="BG210" s="41">
        <v>8</v>
      </c>
      <c r="BH210" s="31"/>
      <c r="BI210" s="63" t="s">
        <v>465</v>
      </c>
      <c r="BJ210" s="64">
        <v>0</v>
      </c>
    </row>
    <row r="211" spans="9:62" x14ac:dyDescent="0.25">
      <c r="I211" s="31"/>
      <c r="J211" s="31"/>
      <c r="K211" s="31"/>
      <c r="L211" s="31"/>
      <c r="M211" s="31"/>
      <c r="N211" s="31"/>
      <c r="BC211" s="41">
        <v>3</v>
      </c>
      <c r="BD211" s="76">
        <v>4</v>
      </c>
      <c r="BE211" s="70">
        <v>5</v>
      </c>
      <c r="BF211" s="41">
        <v>6</v>
      </c>
      <c r="BG211" s="41"/>
      <c r="BH211" s="31"/>
      <c r="BI211" s="63"/>
      <c r="BJ211" s="64"/>
    </row>
    <row r="212" spans="9:62" x14ac:dyDescent="0.25">
      <c r="I212" s="53"/>
      <c r="J212" s="53"/>
      <c r="K212" s="53"/>
      <c r="L212" s="31"/>
      <c r="M212" s="31"/>
      <c r="N212" s="31"/>
      <c r="BC212" s="31"/>
      <c r="BD212" s="31"/>
      <c r="BE212" s="31"/>
      <c r="BF212" s="31"/>
      <c r="BG212" s="31"/>
      <c r="BH212" s="31"/>
      <c r="BI212" s="63"/>
      <c r="BJ212" s="64"/>
    </row>
    <row r="213" spans="9:62" x14ac:dyDescent="0.25">
      <c r="I213" s="31"/>
      <c r="J213" s="31"/>
      <c r="K213" s="31"/>
      <c r="L213" s="31"/>
      <c r="M213" s="31"/>
      <c r="N213" s="31"/>
    </row>
    <row r="214" spans="9:62" x14ac:dyDescent="0.25">
      <c r="I214" s="31"/>
      <c r="J214" s="31"/>
      <c r="K214" s="31"/>
      <c r="L214" s="31"/>
      <c r="M214" s="31"/>
      <c r="N214" s="31"/>
      <c r="BC214" s="31"/>
      <c r="BD214" s="31"/>
      <c r="BE214" s="31"/>
      <c r="BF214" s="31"/>
      <c r="BG214" s="84"/>
      <c r="BH214" s="67"/>
      <c r="BI214" s="61" t="s">
        <v>138</v>
      </c>
      <c r="BJ214" s="62" t="s">
        <v>429</v>
      </c>
    </row>
    <row r="215" spans="9:62" x14ac:dyDescent="0.25">
      <c r="I215" s="31"/>
      <c r="J215" s="31"/>
      <c r="K215" s="31"/>
      <c r="L215" s="31"/>
      <c r="M215" s="31"/>
      <c r="N215" s="31"/>
      <c r="BC215" s="85"/>
      <c r="BD215" s="85"/>
      <c r="BE215" s="85"/>
      <c r="BF215" s="85"/>
      <c r="BG215" s="85"/>
      <c r="BH215" s="67"/>
      <c r="BI215" s="65">
        <v>7</v>
      </c>
      <c r="BJ215" s="64">
        <v>1600</v>
      </c>
    </row>
    <row r="216" spans="9:62" ht="15.75" thickBot="1" x14ac:dyDescent="0.3">
      <c r="I216" s="31"/>
      <c r="J216" s="31"/>
      <c r="K216" s="31"/>
      <c r="L216" s="31"/>
      <c r="M216" s="31"/>
      <c r="N216" s="31"/>
      <c r="BC216" s="70"/>
      <c r="BD216" s="70">
        <v>16</v>
      </c>
      <c r="BE216" s="95">
        <v>15</v>
      </c>
      <c r="BF216" s="95">
        <v>14</v>
      </c>
      <c r="BG216" s="70">
        <v>13</v>
      </c>
      <c r="BH216" s="60"/>
      <c r="BI216" s="63" t="s">
        <v>472</v>
      </c>
      <c r="BJ216" s="64">
        <v>1500</v>
      </c>
    </row>
    <row r="217" spans="9:62" ht="15.75" thickBot="1" x14ac:dyDescent="0.3">
      <c r="I217" s="31"/>
      <c r="J217" s="31"/>
      <c r="K217" s="31"/>
      <c r="L217" s="31"/>
      <c r="M217" s="31"/>
      <c r="N217" s="31"/>
      <c r="BC217" s="41">
        <v>18</v>
      </c>
      <c r="BD217" s="75">
        <v>17</v>
      </c>
      <c r="BE217" s="80" t="s">
        <v>470</v>
      </c>
      <c r="BF217" s="81" t="s">
        <v>469</v>
      </c>
      <c r="BG217" s="68">
        <v>12</v>
      </c>
      <c r="BH217" s="31"/>
      <c r="BI217" s="63">
        <v>2</v>
      </c>
      <c r="BJ217" s="64">
        <v>1050</v>
      </c>
    </row>
    <row r="218" spans="9:62" ht="15.75" thickBot="1" x14ac:dyDescent="0.3">
      <c r="I218" s="31"/>
      <c r="J218" s="31"/>
      <c r="K218" s="31"/>
      <c r="L218" s="31"/>
      <c r="M218" s="31"/>
      <c r="N218" s="31"/>
      <c r="BC218" s="75">
        <v>1</v>
      </c>
      <c r="BD218" s="94" t="s">
        <v>435</v>
      </c>
      <c r="BE218" s="56" t="s">
        <v>432</v>
      </c>
      <c r="BF218" s="82" t="s">
        <v>440</v>
      </c>
      <c r="BG218" s="68">
        <v>11</v>
      </c>
      <c r="BH218" s="31"/>
      <c r="BI218" s="63" t="s">
        <v>473</v>
      </c>
      <c r="BJ218" s="64">
        <v>1000</v>
      </c>
    </row>
    <row r="219" spans="9:62" ht="15.75" thickBot="1" x14ac:dyDescent="0.3">
      <c r="I219" s="31"/>
      <c r="J219" s="31"/>
      <c r="K219" s="31"/>
      <c r="L219" s="31"/>
      <c r="M219" s="31"/>
      <c r="N219" s="31"/>
      <c r="BC219" s="59">
        <v>2</v>
      </c>
      <c r="BD219" s="90" t="s">
        <v>468</v>
      </c>
      <c r="BE219" s="93" t="s">
        <v>467</v>
      </c>
      <c r="BF219" s="57">
        <v>9</v>
      </c>
      <c r="BG219" s="41">
        <v>10</v>
      </c>
      <c r="BH219" s="31"/>
      <c r="BI219" s="63">
        <v>3</v>
      </c>
      <c r="BJ219" s="64">
        <v>600</v>
      </c>
    </row>
    <row r="220" spans="9:62" ht="15.75" thickBot="1" x14ac:dyDescent="0.3">
      <c r="I220" s="31"/>
      <c r="J220" s="31"/>
      <c r="K220" s="31"/>
      <c r="L220" s="31"/>
      <c r="M220" s="31"/>
      <c r="N220" s="31"/>
      <c r="BC220" s="59">
        <v>3</v>
      </c>
      <c r="BD220" s="83" t="s">
        <v>471</v>
      </c>
      <c r="BE220" s="100">
        <v>7</v>
      </c>
      <c r="BF220" s="69">
        <v>8</v>
      </c>
      <c r="BG220" s="69"/>
      <c r="BH220" s="31"/>
      <c r="BI220" s="63" t="s">
        <v>474</v>
      </c>
      <c r="BJ220" s="64">
        <v>500</v>
      </c>
    </row>
    <row r="221" spans="9:62" x14ac:dyDescent="0.25">
      <c r="I221" s="31"/>
      <c r="J221" s="31"/>
      <c r="K221" s="31"/>
      <c r="L221" s="31"/>
      <c r="M221" s="31"/>
      <c r="N221" s="31"/>
      <c r="BC221" s="96">
        <v>4</v>
      </c>
      <c r="BD221" s="97">
        <v>5</v>
      </c>
      <c r="BE221" s="96">
        <v>6</v>
      </c>
      <c r="BF221" s="96"/>
      <c r="BG221" s="96"/>
      <c r="BI221" s="98">
        <v>5</v>
      </c>
      <c r="BJ221" s="101">
        <v>100</v>
      </c>
    </row>
    <row r="222" spans="9:62" x14ac:dyDescent="0.25">
      <c r="I222" s="31"/>
      <c r="J222" s="31"/>
      <c r="K222" s="31"/>
      <c r="L222" s="31"/>
      <c r="M222" s="31"/>
      <c r="N222" s="31"/>
      <c r="BC222" s="31"/>
      <c r="BD222" s="31"/>
      <c r="BE222" s="31"/>
      <c r="BF222" s="31"/>
      <c r="BG222" s="31"/>
      <c r="BH222" s="31"/>
      <c r="BI222" s="12" t="s">
        <v>444</v>
      </c>
      <c r="BJ222" s="99">
        <v>50</v>
      </c>
    </row>
    <row r="223" spans="9:62" x14ac:dyDescent="0.25">
      <c r="I223" s="31"/>
      <c r="J223" s="31"/>
      <c r="K223" s="31"/>
      <c r="L223" s="31"/>
      <c r="M223" s="31"/>
      <c r="N223" s="31"/>
      <c r="BC223" s="31"/>
      <c r="BD223" s="31"/>
      <c r="BE223" s="31"/>
      <c r="BF223" s="31"/>
      <c r="BG223" s="31"/>
      <c r="BH223" s="31"/>
      <c r="BI223" s="67" t="s">
        <v>475</v>
      </c>
      <c r="BJ223" s="60">
        <v>0</v>
      </c>
    </row>
    <row r="224" spans="9:62" x14ac:dyDescent="0.25">
      <c r="I224" s="31"/>
      <c r="J224" s="31"/>
      <c r="K224" s="31"/>
      <c r="L224" s="31"/>
      <c r="M224" s="31"/>
      <c r="N224" s="31"/>
    </row>
    <row r="225" spans="9:62" x14ac:dyDescent="0.25">
      <c r="I225" s="31"/>
      <c r="J225" s="31"/>
      <c r="K225" s="31"/>
      <c r="L225" s="31"/>
      <c r="M225" s="31"/>
      <c r="N225" s="31"/>
      <c r="BC225" s="31"/>
      <c r="BD225" s="31"/>
      <c r="BE225" s="31"/>
      <c r="BF225" s="31"/>
      <c r="BG225" s="84"/>
      <c r="BH225" s="67"/>
      <c r="BI225" s="61" t="s">
        <v>138</v>
      </c>
      <c r="BJ225" s="62" t="s">
        <v>429</v>
      </c>
    </row>
    <row r="226" spans="9:62" x14ac:dyDescent="0.25">
      <c r="I226" s="31"/>
      <c r="J226" s="31"/>
      <c r="K226" s="31"/>
      <c r="L226" s="31"/>
      <c r="M226" s="31"/>
      <c r="N226" s="31"/>
      <c r="BC226" s="84"/>
      <c r="BD226" s="84"/>
      <c r="BE226" s="84"/>
      <c r="BF226" s="84"/>
      <c r="BG226" s="84"/>
      <c r="BH226" s="67"/>
      <c r="BI226" s="65" t="s">
        <v>472</v>
      </c>
      <c r="BJ226" s="64">
        <v>1500</v>
      </c>
    </row>
    <row r="227" spans="9:62" x14ac:dyDescent="0.25">
      <c r="I227" s="31"/>
      <c r="J227" s="31"/>
      <c r="K227" s="31"/>
      <c r="L227" s="31"/>
      <c r="M227" s="31"/>
      <c r="N227" s="31"/>
      <c r="BC227" s="85"/>
      <c r="BD227" s="85"/>
      <c r="BE227" s="85"/>
      <c r="BF227" s="85"/>
      <c r="BG227" s="85"/>
      <c r="BH227" s="67"/>
      <c r="BI227" s="63">
        <v>9</v>
      </c>
      <c r="BJ227" s="64">
        <v>1100</v>
      </c>
    </row>
    <row r="228" spans="9:62" ht="15.75" thickBot="1" x14ac:dyDescent="0.3">
      <c r="I228" s="31"/>
      <c r="J228" s="31"/>
      <c r="K228" s="31"/>
      <c r="L228" s="31"/>
      <c r="M228" s="31"/>
      <c r="N228" s="31"/>
      <c r="BC228" s="97"/>
      <c r="BD228" s="97">
        <v>16</v>
      </c>
      <c r="BE228" s="102">
        <v>15</v>
      </c>
      <c r="BF228" s="116">
        <v>14</v>
      </c>
      <c r="BG228" s="97">
        <v>13</v>
      </c>
      <c r="BH228" s="31"/>
      <c r="BI228" s="63">
        <v>17</v>
      </c>
      <c r="BJ228" s="64">
        <v>1060</v>
      </c>
    </row>
    <row r="229" spans="9:62" ht="15.75" thickBot="1" x14ac:dyDescent="0.3">
      <c r="I229" s="31"/>
      <c r="J229" s="31"/>
      <c r="K229" s="31"/>
      <c r="L229" s="31"/>
      <c r="M229" s="31"/>
      <c r="N229" s="31"/>
      <c r="BC229" s="96">
        <v>18</v>
      </c>
      <c r="BD229" s="103">
        <v>17</v>
      </c>
      <c r="BE229" s="104" t="s">
        <v>470</v>
      </c>
      <c r="BF229" s="105" t="s">
        <v>469</v>
      </c>
      <c r="BG229" s="106">
        <v>12</v>
      </c>
      <c r="BH229" s="31"/>
      <c r="BI229" s="63">
        <v>2</v>
      </c>
      <c r="BJ229" s="64">
        <v>1055</v>
      </c>
    </row>
    <row r="230" spans="9:62" ht="15.75" thickBot="1" x14ac:dyDescent="0.3">
      <c r="I230" s="31"/>
      <c r="J230" s="31"/>
      <c r="K230" s="31"/>
      <c r="L230" s="31"/>
      <c r="M230" s="31"/>
      <c r="N230" s="31"/>
      <c r="BC230" s="103">
        <v>1</v>
      </c>
      <c r="BD230" s="107" t="s">
        <v>476</v>
      </c>
      <c r="BE230" s="108" t="s">
        <v>459</v>
      </c>
      <c r="BF230" s="109" t="s">
        <v>440</v>
      </c>
      <c r="BG230" s="106">
        <v>11</v>
      </c>
      <c r="BH230" s="31"/>
      <c r="BI230" s="63">
        <v>12</v>
      </c>
      <c r="BJ230" s="64">
        <v>1000</v>
      </c>
    </row>
    <row r="231" spans="9:62" x14ac:dyDescent="0.25">
      <c r="I231" s="31"/>
      <c r="J231" s="31"/>
      <c r="K231" s="31"/>
      <c r="L231" s="31"/>
      <c r="M231" s="31"/>
      <c r="N231" s="31"/>
      <c r="BC231" s="110">
        <v>2</v>
      </c>
      <c r="BD231" s="111" t="s">
        <v>468</v>
      </c>
      <c r="BE231" s="112" t="s">
        <v>467</v>
      </c>
      <c r="BF231" s="61">
        <v>9</v>
      </c>
      <c r="BG231" s="96">
        <v>10</v>
      </c>
      <c r="BH231" s="31"/>
      <c r="BI231" s="63" t="s">
        <v>478</v>
      </c>
      <c r="BJ231" s="64">
        <v>600</v>
      </c>
    </row>
    <row r="232" spans="9:62" ht="15.75" thickBot="1" x14ac:dyDescent="0.3">
      <c r="I232" s="31"/>
      <c r="J232" s="31"/>
      <c r="K232" s="31"/>
      <c r="L232" s="31"/>
      <c r="M232" s="31"/>
      <c r="N232" s="31"/>
      <c r="BC232" s="110">
        <v>3</v>
      </c>
      <c r="BD232" s="113" t="s">
        <v>471</v>
      </c>
      <c r="BE232" s="114" t="s">
        <v>477</v>
      </c>
      <c r="BF232" s="115">
        <v>8</v>
      </c>
      <c r="BG232" s="115"/>
      <c r="BH232" s="31"/>
      <c r="BI232" s="98">
        <v>1</v>
      </c>
      <c r="BJ232" s="101">
        <v>510</v>
      </c>
    </row>
    <row r="233" spans="9:62" x14ac:dyDescent="0.25">
      <c r="BC233" s="96">
        <v>4</v>
      </c>
      <c r="BD233" s="97">
        <v>5</v>
      </c>
      <c r="BE233" s="96">
        <v>6</v>
      </c>
      <c r="BF233" s="96">
        <v>7</v>
      </c>
      <c r="BG233" s="96"/>
      <c r="BH233" s="31"/>
      <c r="BI233" s="101" t="s">
        <v>479</v>
      </c>
      <c r="BJ233" s="99">
        <v>500</v>
      </c>
    </row>
    <row r="234" spans="9:62" x14ac:dyDescent="0.25">
      <c r="I234" s="31"/>
      <c r="J234" s="31"/>
      <c r="K234" s="31"/>
      <c r="L234" s="31"/>
      <c r="M234" s="31"/>
      <c r="N234" s="31"/>
      <c r="BC234" s="31"/>
      <c r="BD234" s="31"/>
      <c r="BE234" s="31"/>
      <c r="BF234" s="31"/>
      <c r="BG234" s="31"/>
      <c r="BH234" s="31"/>
      <c r="BI234" s="67" t="s">
        <v>480</v>
      </c>
      <c r="BJ234" s="60">
        <v>150</v>
      </c>
    </row>
    <row r="235" spans="9:62" x14ac:dyDescent="0.25">
      <c r="I235" s="31"/>
      <c r="J235" s="31"/>
      <c r="K235" s="31"/>
      <c r="L235" s="31"/>
      <c r="M235" s="31"/>
      <c r="N235" s="31"/>
      <c r="BC235" s="31"/>
      <c r="BD235" s="31"/>
      <c r="BE235" s="31"/>
      <c r="BF235" s="31"/>
      <c r="BG235" s="31"/>
      <c r="BH235" s="31"/>
      <c r="BI235" s="101" t="s">
        <v>481</v>
      </c>
      <c r="BJ235" s="99">
        <v>50</v>
      </c>
    </row>
    <row r="236" spans="9:62" x14ac:dyDescent="0.25">
      <c r="I236" s="31"/>
      <c r="J236" s="31"/>
      <c r="K236" s="31"/>
      <c r="L236" s="31"/>
      <c r="M236" s="31"/>
      <c r="N236" s="31"/>
      <c r="BC236" s="31"/>
      <c r="BD236" s="31"/>
      <c r="BE236" s="31"/>
      <c r="BF236" s="31"/>
      <c r="BG236" s="31"/>
      <c r="BH236" s="31"/>
      <c r="BI236" s="67">
        <v>18</v>
      </c>
      <c r="BJ236" s="60">
        <v>5</v>
      </c>
    </row>
    <row r="237" spans="9:62" x14ac:dyDescent="0.25">
      <c r="I237" s="53"/>
      <c r="J237" s="53"/>
      <c r="K237" s="53"/>
      <c r="L237" s="31"/>
      <c r="M237" s="31"/>
      <c r="N237" s="31"/>
      <c r="BC237" s="31"/>
      <c r="BD237" s="31"/>
      <c r="BE237" s="31"/>
      <c r="BF237" s="31"/>
      <c r="BG237" s="31"/>
      <c r="BH237" s="31"/>
      <c r="BI237" s="101">
        <v>10</v>
      </c>
      <c r="BJ237" s="99">
        <v>0</v>
      </c>
    </row>
    <row r="238" spans="9:62" x14ac:dyDescent="0.25">
      <c r="I238" s="31"/>
      <c r="J238" s="31"/>
      <c r="K238" s="31"/>
      <c r="L238" s="31"/>
      <c r="M238" s="31"/>
      <c r="N238" s="31"/>
    </row>
    <row r="239" spans="9:62" x14ac:dyDescent="0.25">
      <c r="I239" s="31"/>
      <c r="J239" s="31"/>
      <c r="K239" s="31"/>
      <c r="L239" s="31"/>
      <c r="M239" s="31"/>
      <c r="N239" s="31"/>
      <c r="BC239" s="31"/>
      <c r="BD239" s="31"/>
      <c r="BE239" s="31"/>
      <c r="BF239" s="31"/>
      <c r="BG239" s="31"/>
      <c r="BH239" s="67"/>
      <c r="BI239" s="61" t="s">
        <v>138</v>
      </c>
      <c r="BJ239" s="62" t="s">
        <v>429</v>
      </c>
    </row>
    <row r="240" spans="9:62" ht="15.75" thickBot="1" x14ac:dyDescent="0.3">
      <c r="I240" s="31"/>
      <c r="J240" s="31"/>
      <c r="K240" s="31"/>
      <c r="L240" s="31"/>
      <c r="M240" s="31"/>
      <c r="N240" s="31"/>
      <c r="BC240" s="41"/>
      <c r="BD240" s="41"/>
      <c r="BE240" s="41">
        <v>16</v>
      </c>
      <c r="BF240" s="121">
        <v>15</v>
      </c>
      <c r="BG240" s="41">
        <v>14</v>
      </c>
      <c r="BH240" s="67"/>
      <c r="BI240" s="65">
        <v>6</v>
      </c>
      <c r="BJ240" s="64">
        <v>1050</v>
      </c>
    </row>
    <row r="241" spans="9:62" ht="15.75" thickBot="1" x14ac:dyDescent="0.3">
      <c r="I241" s="31"/>
      <c r="J241" s="31"/>
      <c r="K241" s="31"/>
      <c r="L241" s="31"/>
      <c r="M241" s="31"/>
      <c r="N241" s="31"/>
      <c r="BC241" s="96"/>
      <c r="BD241" s="96">
        <v>18</v>
      </c>
      <c r="BE241" s="103">
        <v>17</v>
      </c>
      <c r="BF241" s="120" t="s">
        <v>485</v>
      </c>
      <c r="BG241" s="119">
        <v>13</v>
      </c>
      <c r="BH241" s="67"/>
      <c r="BI241" s="63">
        <v>8</v>
      </c>
      <c r="BJ241" s="64">
        <v>1000</v>
      </c>
    </row>
    <row r="242" spans="9:62" ht="15.75" thickBot="1" x14ac:dyDescent="0.3">
      <c r="I242" s="31"/>
      <c r="J242" s="31"/>
      <c r="K242" s="31"/>
      <c r="L242" s="31"/>
      <c r="M242" s="31"/>
      <c r="N242" s="31"/>
      <c r="BC242" s="97">
        <v>20</v>
      </c>
      <c r="BD242" s="60">
        <v>19</v>
      </c>
      <c r="BE242" s="104" t="s">
        <v>446</v>
      </c>
      <c r="BF242" s="117" t="s">
        <v>436</v>
      </c>
      <c r="BG242" s="61">
        <v>12</v>
      </c>
      <c r="BH242" s="31"/>
      <c r="BI242" s="63" t="s">
        <v>487</v>
      </c>
      <c r="BJ242" s="64">
        <v>600</v>
      </c>
    </row>
    <row r="243" spans="9:62" ht="15.75" thickBot="1" x14ac:dyDescent="0.3">
      <c r="I243" s="31"/>
      <c r="J243" s="31"/>
      <c r="K243" s="31"/>
      <c r="L243" s="31"/>
      <c r="M243" s="31"/>
      <c r="N243" s="31"/>
      <c r="BC243" s="103">
        <v>1</v>
      </c>
      <c r="BD243" s="107" t="s">
        <v>482</v>
      </c>
      <c r="BE243" s="108" t="s">
        <v>432</v>
      </c>
      <c r="BF243" s="109" t="s">
        <v>486</v>
      </c>
      <c r="BG243" s="106">
        <v>11</v>
      </c>
      <c r="BH243" s="31"/>
      <c r="BI243" s="63">
        <v>7</v>
      </c>
      <c r="BJ243" s="64">
        <v>500</v>
      </c>
    </row>
    <row r="244" spans="9:62" x14ac:dyDescent="0.25">
      <c r="I244" s="31"/>
      <c r="J244" s="31"/>
      <c r="K244" s="31"/>
      <c r="L244" s="31"/>
      <c r="M244" s="31"/>
      <c r="N244" s="31"/>
      <c r="BC244" s="110">
        <v>2</v>
      </c>
      <c r="BD244" s="111" t="s">
        <v>483</v>
      </c>
      <c r="BE244" s="112" t="s">
        <v>452</v>
      </c>
      <c r="BF244" s="61">
        <v>9</v>
      </c>
      <c r="BG244" s="96">
        <v>10</v>
      </c>
      <c r="BH244" s="31"/>
      <c r="BI244" s="63" t="s">
        <v>488</v>
      </c>
      <c r="BJ244" s="64">
        <v>100</v>
      </c>
    </row>
    <row r="245" spans="9:62" ht="15.75" thickBot="1" x14ac:dyDescent="0.3">
      <c r="I245" s="31"/>
      <c r="J245" s="31"/>
      <c r="K245" s="31"/>
      <c r="L245" s="31"/>
      <c r="M245" s="31"/>
      <c r="N245" s="31"/>
      <c r="BC245" s="110">
        <v>3</v>
      </c>
      <c r="BD245" s="113" t="s">
        <v>471</v>
      </c>
      <c r="BE245" s="114" t="s">
        <v>484</v>
      </c>
      <c r="BF245" s="115">
        <v>8</v>
      </c>
      <c r="BG245" s="115"/>
      <c r="BH245" s="31"/>
      <c r="BI245" s="63" t="s">
        <v>489</v>
      </c>
      <c r="BJ245" s="64">
        <v>50</v>
      </c>
    </row>
    <row r="246" spans="9:62" x14ac:dyDescent="0.25">
      <c r="I246" s="31"/>
      <c r="J246" s="31"/>
      <c r="K246" s="31"/>
      <c r="L246" s="31"/>
      <c r="M246" s="31"/>
      <c r="N246" s="31"/>
      <c r="BC246" s="96">
        <v>4</v>
      </c>
      <c r="BD246" s="97">
        <v>5</v>
      </c>
      <c r="BE246" s="122">
        <v>6</v>
      </c>
      <c r="BF246" s="96">
        <v>7</v>
      </c>
      <c r="BG246" s="96"/>
      <c r="BH246" s="31"/>
      <c r="BI246" s="98" t="s">
        <v>490</v>
      </c>
      <c r="BJ246" s="101">
        <v>0</v>
      </c>
    </row>
    <row r="247" spans="9:62" x14ac:dyDescent="0.25">
      <c r="I247" s="31"/>
      <c r="J247" s="31"/>
      <c r="K247" s="31"/>
      <c r="L247" s="31"/>
      <c r="M247" s="31"/>
      <c r="N247" s="31"/>
    </row>
    <row r="248" spans="9:62" x14ac:dyDescent="0.25">
      <c r="I248" s="31"/>
      <c r="J248" s="31"/>
      <c r="K248" s="31"/>
      <c r="L248" s="31"/>
      <c r="M248" s="31"/>
      <c r="N248" s="31"/>
      <c r="BC248" s="31"/>
      <c r="BD248" s="31"/>
      <c r="BE248" s="31"/>
      <c r="BF248" s="31"/>
      <c r="BG248" s="31"/>
      <c r="BH248" s="67"/>
      <c r="BI248" s="61" t="s">
        <v>138</v>
      </c>
      <c r="BJ248" s="62" t="s">
        <v>429</v>
      </c>
    </row>
    <row r="249" spans="9:62" ht="15.75" thickBot="1" x14ac:dyDescent="0.3">
      <c r="I249" s="31"/>
      <c r="J249" s="31"/>
      <c r="K249" s="31"/>
      <c r="L249" s="31"/>
      <c r="M249" s="31"/>
      <c r="N249" s="31"/>
      <c r="BC249" s="96"/>
      <c r="BD249" s="96"/>
      <c r="BE249" s="96">
        <v>18</v>
      </c>
      <c r="BF249" s="130">
        <v>17</v>
      </c>
      <c r="BG249" s="96">
        <v>16</v>
      </c>
      <c r="BH249" s="67"/>
      <c r="BI249" s="65">
        <v>11</v>
      </c>
      <c r="BJ249" s="64">
        <v>110</v>
      </c>
    </row>
    <row r="250" spans="9:62" ht="15.75" thickBot="1" x14ac:dyDescent="0.3">
      <c r="I250" s="31"/>
      <c r="J250" s="31"/>
      <c r="K250" s="31"/>
      <c r="L250" s="31"/>
      <c r="M250" s="31"/>
      <c r="N250" s="31"/>
      <c r="BC250" s="96"/>
      <c r="BD250" s="96">
        <v>20</v>
      </c>
      <c r="BE250" s="103">
        <v>19</v>
      </c>
      <c r="BF250" s="120" t="s">
        <v>493</v>
      </c>
      <c r="BG250" s="119">
        <v>15</v>
      </c>
      <c r="BH250" s="67"/>
      <c r="BI250" s="63">
        <v>13</v>
      </c>
      <c r="BJ250" s="64">
        <v>100</v>
      </c>
    </row>
    <row r="251" spans="9:62" ht="15.75" thickBot="1" x14ac:dyDescent="0.3">
      <c r="I251" s="31"/>
      <c r="J251" s="31"/>
      <c r="K251" s="31"/>
      <c r="L251" s="31"/>
      <c r="M251" s="31"/>
      <c r="N251" s="31"/>
      <c r="BC251" s="97">
        <v>22</v>
      </c>
      <c r="BD251" s="60">
        <v>21</v>
      </c>
      <c r="BE251" s="104" t="s">
        <v>446</v>
      </c>
      <c r="BF251" s="117" t="s">
        <v>436</v>
      </c>
      <c r="BG251" s="61">
        <v>14</v>
      </c>
      <c r="BH251" s="31"/>
      <c r="BI251" s="63">
        <v>14</v>
      </c>
      <c r="BJ251" s="64">
        <v>55</v>
      </c>
    </row>
    <row r="252" spans="9:62" ht="15.75" thickBot="1" x14ac:dyDescent="0.3">
      <c r="I252" s="31"/>
      <c r="J252" s="31"/>
      <c r="K252" s="31"/>
      <c r="L252" s="31"/>
      <c r="M252" s="31"/>
      <c r="N252" s="31"/>
      <c r="BC252" s="103">
        <v>1</v>
      </c>
      <c r="BD252" s="107" t="s">
        <v>435</v>
      </c>
      <c r="BE252" s="108" t="s">
        <v>491</v>
      </c>
      <c r="BF252" s="109" t="s">
        <v>486</v>
      </c>
      <c r="BG252" s="106">
        <v>13</v>
      </c>
      <c r="BH252" s="31"/>
      <c r="BI252" s="63">
        <v>12</v>
      </c>
      <c r="BJ252" s="64">
        <v>50</v>
      </c>
    </row>
    <row r="253" spans="9:62" x14ac:dyDescent="0.25">
      <c r="I253" s="31"/>
      <c r="J253" s="31"/>
      <c r="K253" s="31"/>
      <c r="L253" s="31"/>
      <c r="M253" s="31"/>
      <c r="N253" s="31"/>
      <c r="BC253" s="110">
        <v>2</v>
      </c>
      <c r="BD253" s="111" t="s">
        <v>483</v>
      </c>
      <c r="BE253" s="126" t="s">
        <v>452</v>
      </c>
      <c r="BF253" s="129">
        <v>11</v>
      </c>
      <c r="BG253" s="96">
        <v>12</v>
      </c>
      <c r="BH253" s="31"/>
      <c r="BI253" s="63" t="s">
        <v>496</v>
      </c>
      <c r="BJ253" s="64">
        <v>15</v>
      </c>
    </row>
    <row r="254" spans="9:62" ht="15.75" thickBot="1" x14ac:dyDescent="0.3">
      <c r="I254" s="31"/>
      <c r="J254" s="31"/>
      <c r="K254" s="31"/>
      <c r="L254" s="31"/>
      <c r="M254" s="31"/>
      <c r="N254" s="31"/>
      <c r="BC254" s="110">
        <v>3</v>
      </c>
      <c r="BD254" s="125" t="s">
        <v>495</v>
      </c>
      <c r="BE254" s="112" t="s">
        <v>492</v>
      </c>
      <c r="BF254" s="119">
        <v>10</v>
      </c>
      <c r="BG254" s="115"/>
      <c r="BH254" s="31"/>
      <c r="BI254" s="63" t="s">
        <v>497</v>
      </c>
      <c r="BJ254" s="64">
        <v>10</v>
      </c>
    </row>
    <row r="255" spans="9:62" ht="15.75" thickBot="1" x14ac:dyDescent="0.3">
      <c r="I255" s="31"/>
      <c r="J255" s="31"/>
      <c r="K255" s="31"/>
      <c r="L255" s="31"/>
      <c r="M255" s="31"/>
      <c r="N255" s="31"/>
      <c r="BC255" s="96">
        <v>4</v>
      </c>
      <c r="BD255" s="123">
        <v>5</v>
      </c>
      <c r="BE255" s="127" t="s">
        <v>494</v>
      </c>
      <c r="BF255" s="119">
        <v>9</v>
      </c>
      <c r="BG255" s="96"/>
      <c r="BH255" s="31"/>
      <c r="BI255" s="98" t="s">
        <v>498</v>
      </c>
      <c r="BJ255" s="101">
        <v>5</v>
      </c>
    </row>
    <row r="256" spans="9:62" x14ac:dyDescent="0.25">
      <c r="I256" s="31"/>
      <c r="J256" s="31"/>
      <c r="K256" s="31"/>
      <c r="L256" s="31"/>
      <c r="M256" s="31"/>
      <c r="N256" s="31"/>
      <c r="BC256" s="131"/>
      <c r="BD256" s="132">
        <v>6</v>
      </c>
      <c r="BE256" s="133">
        <v>7</v>
      </c>
      <c r="BF256" s="134">
        <v>8</v>
      </c>
      <c r="BG256" s="134"/>
      <c r="BH256" s="135"/>
      <c r="BI256" s="63" t="s">
        <v>499</v>
      </c>
      <c r="BJ256" s="64">
        <v>0</v>
      </c>
    </row>
    <row r="257" spans="9:62" x14ac:dyDescent="0.25">
      <c r="I257" s="31"/>
      <c r="J257" s="31"/>
      <c r="K257" s="31"/>
      <c r="L257" s="31"/>
      <c r="M257" s="31"/>
      <c r="N257" s="31"/>
      <c r="BD257" s="128"/>
    </row>
    <row r="258" spans="9:62" x14ac:dyDescent="0.25">
      <c r="BC258" s="31"/>
      <c r="BD258" s="31"/>
      <c r="BE258" s="31"/>
      <c r="BF258" s="31"/>
      <c r="BG258" s="31"/>
      <c r="BH258" s="67"/>
      <c r="BI258" s="61" t="s">
        <v>138</v>
      </c>
      <c r="BJ258" s="62" t="s">
        <v>429</v>
      </c>
    </row>
    <row r="259" spans="9:62" ht="15.75" thickBot="1" x14ac:dyDescent="0.3">
      <c r="BC259" s="96"/>
      <c r="BD259" s="96"/>
      <c r="BE259" s="96">
        <v>18</v>
      </c>
      <c r="BF259" s="130">
        <v>17</v>
      </c>
      <c r="BG259" s="96">
        <v>16</v>
      </c>
      <c r="BH259" s="67"/>
      <c r="BI259" s="65" t="s">
        <v>504</v>
      </c>
      <c r="BJ259" s="64">
        <v>100</v>
      </c>
    </row>
    <row r="260" spans="9:62" ht="15.75" thickBot="1" x14ac:dyDescent="0.3">
      <c r="BC260" s="96"/>
      <c r="BD260" s="96">
        <v>20</v>
      </c>
      <c r="BE260" s="103">
        <v>19</v>
      </c>
      <c r="BF260" s="120" t="s">
        <v>501</v>
      </c>
      <c r="BG260" s="119">
        <v>15</v>
      </c>
      <c r="BH260" s="67"/>
      <c r="BI260" s="63" t="s">
        <v>505</v>
      </c>
      <c r="BJ260" s="64">
        <v>50</v>
      </c>
    </row>
    <row r="261" spans="9:62" ht="15.75" thickBot="1" x14ac:dyDescent="0.3">
      <c r="BC261" s="97">
        <v>22</v>
      </c>
      <c r="BD261" s="60">
        <v>21</v>
      </c>
      <c r="BE261" s="104" t="s">
        <v>446</v>
      </c>
      <c r="BF261" s="117" t="s">
        <v>436</v>
      </c>
      <c r="BG261" s="61">
        <v>14</v>
      </c>
      <c r="BH261" s="31"/>
      <c r="BI261" s="63" t="s">
        <v>506</v>
      </c>
      <c r="BJ261" s="580">
        <v>0</v>
      </c>
    </row>
    <row r="262" spans="9:62" x14ac:dyDescent="0.25">
      <c r="BC262" s="138">
        <v>1</v>
      </c>
      <c r="BD262" s="107" t="s">
        <v>482</v>
      </c>
      <c r="BE262" s="108" t="s">
        <v>432</v>
      </c>
      <c r="BF262" s="112" t="s">
        <v>440</v>
      </c>
      <c r="BG262" s="106">
        <v>13</v>
      </c>
      <c r="BH262" s="31"/>
      <c r="BI262" s="63" t="s">
        <v>507</v>
      </c>
      <c r="BJ262" s="580"/>
    </row>
    <row r="263" spans="9:62" ht="15.75" thickBot="1" x14ac:dyDescent="0.3">
      <c r="BC263" s="110">
        <v>2</v>
      </c>
      <c r="BD263" s="111" t="s">
        <v>483</v>
      </c>
      <c r="BE263" s="118" t="s">
        <v>452</v>
      </c>
      <c r="BF263" s="124" t="s">
        <v>503</v>
      </c>
      <c r="BG263" s="96">
        <v>12</v>
      </c>
      <c r="BH263" s="31"/>
      <c r="BI263" s="63"/>
      <c r="BJ263" s="64"/>
    </row>
    <row r="264" spans="9:62" ht="15.75" thickBot="1" x14ac:dyDescent="0.3">
      <c r="BC264" s="110">
        <v>3</v>
      </c>
      <c r="BD264" s="125" t="s">
        <v>495</v>
      </c>
      <c r="BE264" s="112" t="s">
        <v>500</v>
      </c>
      <c r="BF264" s="136">
        <v>10</v>
      </c>
      <c r="BG264" s="115">
        <v>11</v>
      </c>
      <c r="BH264" s="31"/>
      <c r="BI264" s="63"/>
      <c r="BJ264" s="64"/>
    </row>
    <row r="265" spans="9:62" ht="15.75" thickBot="1" x14ac:dyDescent="0.3">
      <c r="BC265" s="96">
        <v>4</v>
      </c>
      <c r="BD265" s="123">
        <v>5</v>
      </c>
      <c r="BE265" s="127" t="s">
        <v>502</v>
      </c>
      <c r="BF265" s="119">
        <v>9</v>
      </c>
      <c r="BG265" s="96"/>
      <c r="BH265" s="31"/>
      <c r="BI265" s="98"/>
      <c r="BJ265" s="101"/>
    </row>
    <row r="266" spans="9:62" x14ac:dyDescent="0.25">
      <c r="BC266" s="131"/>
      <c r="BD266" s="137">
        <v>6</v>
      </c>
      <c r="BE266" s="133">
        <v>7</v>
      </c>
      <c r="BF266" s="134">
        <v>8</v>
      </c>
      <c r="BG266" s="134"/>
      <c r="BH266" s="135"/>
      <c r="BI266" s="63"/>
      <c r="BJ266" s="64"/>
    </row>
    <row r="267" spans="9:62" x14ac:dyDescent="0.25">
      <c r="BD267" s="128"/>
    </row>
    <row r="268" spans="9:62" x14ac:dyDescent="0.25">
      <c r="BB268" s="31"/>
      <c r="BC268" s="31"/>
      <c r="BD268" s="31"/>
      <c r="BE268" s="31"/>
      <c r="BF268" s="31"/>
      <c r="BG268" s="31"/>
      <c r="BH268" s="67"/>
      <c r="BI268" s="61" t="s">
        <v>138</v>
      </c>
      <c r="BJ268" s="62" t="s">
        <v>429</v>
      </c>
    </row>
    <row r="269" spans="9:62" ht="15.75" thickBot="1" x14ac:dyDescent="0.3">
      <c r="BB269" s="96"/>
      <c r="BC269" s="106"/>
      <c r="BD269" s="96"/>
      <c r="BE269" s="96">
        <v>19</v>
      </c>
      <c r="BF269" s="130">
        <v>18</v>
      </c>
      <c r="BG269" s="96">
        <v>17</v>
      </c>
      <c r="BH269" s="67"/>
      <c r="BI269" s="65">
        <v>6</v>
      </c>
      <c r="BJ269" s="64">
        <v>25</v>
      </c>
    </row>
    <row r="270" spans="9:62" ht="15.75" thickBot="1" x14ac:dyDescent="0.3">
      <c r="BB270" s="96"/>
      <c r="BC270" s="106"/>
      <c r="BD270" s="96">
        <v>21</v>
      </c>
      <c r="BE270" s="103">
        <v>20</v>
      </c>
      <c r="BF270" s="120" t="s">
        <v>493</v>
      </c>
      <c r="BG270" s="119">
        <v>16</v>
      </c>
      <c r="BH270" s="67"/>
      <c r="BI270" s="63" t="s">
        <v>512</v>
      </c>
      <c r="BJ270" s="64">
        <v>20</v>
      </c>
    </row>
    <row r="271" spans="9:62" ht="15.75" thickBot="1" x14ac:dyDescent="0.3">
      <c r="BB271" s="96">
        <v>24</v>
      </c>
      <c r="BC271" s="98">
        <v>23</v>
      </c>
      <c r="BD271" s="60">
        <v>22</v>
      </c>
      <c r="BE271" s="104" t="s">
        <v>446</v>
      </c>
      <c r="BF271" s="117" t="s">
        <v>436</v>
      </c>
      <c r="BG271" s="61">
        <v>15</v>
      </c>
      <c r="BH271" s="31"/>
      <c r="BI271" s="63" t="s">
        <v>515</v>
      </c>
      <c r="BJ271" s="99">
        <v>15</v>
      </c>
    </row>
    <row r="272" spans="9:62" ht="15.75" thickBot="1" x14ac:dyDescent="0.3">
      <c r="BB272" s="144">
        <v>1</v>
      </c>
      <c r="BC272" s="141" t="s">
        <v>511</v>
      </c>
      <c r="BD272" s="139" t="s">
        <v>476</v>
      </c>
      <c r="BE272" s="108" t="s">
        <v>491</v>
      </c>
      <c r="BF272" s="112" t="s">
        <v>510</v>
      </c>
      <c r="BG272" s="106">
        <v>14</v>
      </c>
      <c r="BH272" s="31"/>
      <c r="BI272" s="63" t="s">
        <v>514</v>
      </c>
      <c r="BJ272" s="99">
        <v>10</v>
      </c>
    </row>
    <row r="273" spans="54:69" ht="15.75" thickBot="1" x14ac:dyDescent="0.3">
      <c r="BB273" s="96">
        <v>2</v>
      </c>
      <c r="BC273" s="62">
        <v>3</v>
      </c>
      <c r="BD273" s="111" t="s">
        <v>483</v>
      </c>
      <c r="BE273" s="118" t="s">
        <v>452</v>
      </c>
      <c r="BF273" s="124" t="s">
        <v>509</v>
      </c>
      <c r="BG273" s="96">
        <v>13</v>
      </c>
      <c r="BH273" s="31"/>
      <c r="BI273" s="63" t="s">
        <v>513</v>
      </c>
      <c r="BJ273" s="64">
        <v>5</v>
      </c>
    </row>
    <row r="274" spans="54:69" ht="15.75" thickBot="1" x14ac:dyDescent="0.3">
      <c r="BB274" s="96"/>
      <c r="BC274" s="140">
        <v>4</v>
      </c>
      <c r="BD274" s="125" t="s">
        <v>508</v>
      </c>
      <c r="BE274" s="112" t="s">
        <v>492</v>
      </c>
      <c r="BF274" s="136">
        <v>11</v>
      </c>
      <c r="BG274" s="115">
        <v>12</v>
      </c>
      <c r="BH274" s="31"/>
      <c r="BI274" s="63">
        <v>21</v>
      </c>
      <c r="BJ274" s="64">
        <v>0</v>
      </c>
    </row>
    <row r="275" spans="54:69" ht="15.75" thickBot="1" x14ac:dyDescent="0.3">
      <c r="BB275" s="96"/>
      <c r="BC275" s="106">
        <v>5</v>
      </c>
      <c r="BD275" s="143">
        <v>6</v>
      </c>
      <c r="BE275" s="127" t="s">
        <v>494</v>
      </c>
      <c r="BF275" s="119">
        <v>10</v>
      </c>
      <c r="BG275" s="96"/>
      <c r="BH275" s="31"/>
      <c r="BI275" s="98"/>
      <c r="BJ275" s="101"/>
    </row>
    <row r="276" spans="54:69" x14ac:dyDescent="0.25">
      <c r="BB276" s="96"/>
      <c r="BC276" s="106"/>
      <c r="BD276" s="115">
        <v>7</v>
      </c>
      <c r="BE276" s="142">
        <v>8</v>
      </c>
      <c r="BF276" s="110">
        <v>9</v>
      </c>
      <c r="BG276" s="110"/>
      <c r="BH276" s="135"/>
      <c r="BI276" s="63"/>
      <c r="BJ276" s="64"/>
    </row>
    <row r="277" spans="54:69" x14ac:dyDescent="0.25">
      <c r="BD277" s="128"/>
    </row>
    <row r="278" spans="54:69" x14ac:dyDescent="0.25">
      <c r="BC278" s="101"/>
      <c r="BD278" s="101"/>
      <c r="BE278" s="101"/>
      <c r="BF278" s="118">
        <v>8</v>
      </c>
      <c r="BG278" s="12"/>
    </row>
    <row r="279" spans="54:69" x14ac:dyDescent="0.25">
      <c r="BC279" s="101"/>
      <c r="BD279" s="101"/>
      <c r="BE279" s="118">
        <v>4</v>
      </c>
      <c r="BF279" s="145">
        <v>6</v>
      </c>
      <c r="BG279" s="12"/>
    </row>
    <row r="280" spans="54:69" x14ac:dyDescent="0.25">
      <c r="BC280" s="118">
        <v>14</v>
      </c>
      <c r="BD280" s="118">
        <v>1</v>
      </c>
      <c r="BE280" s="118">
        <v>2</v>
      </c>
      <c r="BF280" s="145">
        <v>12</v>
      </c>
      <c r="BG280" s="12"/>
    </row>
    <row r="281" spans="54:69" x14ac:dyDescent="0.25">
      <c r="BC281" s="101"/>
      <c r="BD281" s="118">
        <v>5</v>
      </c>
      <c r="BE281" s="118">
        <v>3</v>
      </c>
      <c r="BF281" s="145">
        <v>11</v>
      </c>
      <c r="BG281" s="12"/>
    </row>
    <row r="282" spans="54:69" x14ac:dyDescent="0.25">
      <c r="BC282" s="101"/>
      <c r="BD282" s="118">
        <v>10</v>
      </c>
      <c r="BE282" s="118">
        <v>7</v>
      </c>
      <c r="BF282" s="101"/>
      <c r="BG282" s="12"/>
    </row>
    <row r="283" spans="54:69" x14ac:dyDescent="0.25">
      <c r="BC283" s="101"/>
      <c r="BD283" s="118">
        <v>13</v>
      </c>
      <c r="BE283" s="118">
        <v>9</v>
      </c>
      <c r="BF283" s="101"/>
      <c r="BG283" s="12"/>
    </row>
    <row r="286" spans="54:69" ht="45" customHeight="1" x14ac:dyDescent="0.25">
      <c r="BL286" s="146"/>
      <c r="BM286" s="146"/>
      <c r="BN286" s="146"/>
      <c r="BO286" s="147" t="s">
        <v>516</v>
      </c>
      <c r="BP286" s="42"/>
      <c r="BQ286" s="42"/>
    </row>
    <row r="287" spans="54:69" ht="45" customHeight="1" x14ac:dyDescent="0.25">
      <c r="BL287" s="146"/>
      <c r="BM287" s="146"/>
      <c r="BN287" s="147" t="s">
        <v>612</v>
      </c>
      <c r="BO287" s="148" t="s">
        <v>614</v>
      </c>
      <c r="BP287" s="42"/>
      <c r="BQ287" s="42"/>
    </row>
    <row r="288" spans="54:69" ht="45" customHeight="1" x14ac:dyDescent="0.25">
      <c r="BL288" s="147" t="s">
        <v>406</v>
      </c>
      <c r="BM288" s="147" t="s">
        <v>517</v>
      </c>
      <c r="BN288" s="147" t="s">
        <v>518</v>
      </c>
      <c r="BO288" s="148" t="s">
        <v>519</v>
      </c>
      <c r="BP288" s="42"/>
      <c r="BQ288" s="42"/>
    </row>
    <row r="289" spans="64:69" ht="45" customHeight="1" x14ac:dyDescent="0.25">
      <c r="BL289" s="146"/>
      <c r="BM289" s="147" t="s">
        <v>613</v>
      </c>
      <c r="BN289" s="147" t="s">
        <v>611</v>
      </c>
      <c r="BO289" s="148" t="s">
        <v>392</v>
      </c>
      <c r="BP289" s="42"/>
      <c r="BQ289" s="42"/>
    </row>
    <row r="290" spans="64:69" ht="45" customHeight="1" x14ac:dyDescent="0.25">
      <c r="BL290" s="146"/>
      <c r="BM290" s="147" t="s">
        <v>520</v>
      </c>
      <c r="BN290" s="147" t="s">
        <v>389</v>
      </c>
      <c r="BO290" s="146"/>
      <c r="BP290" s="42"/>
      <c r="BQ290" s="42"/>
    </row>
    <row r="291" spans="64:69" ht="45" customHeight="1" x14ac:dyDescent="0.25">
      <c r="BL291" s="146"/>
      <c r="BM291" s="147" t="s">
        <v>393</v>
      </c>
      <c r="BN291" s="147" t="s">
        <v>521</v>
      </c>
      <c r="BO291" s="146"/>
      <c r="BP291" s="42"/>
      <c r="BQ291" s="42"/>
    </row>
  </sheetData>
  <mergeCells count="200">
    <mergeCell ref="F46:F47"/>
    <mergeCell ref="F56:F57"/>
    <mergeCell ref="F58:F59"/>
    <mergeCell ref="I38:I39"/>
    <mergeCell ref="I56:I57"/>
    <mergeCell ref="I58:I59"/>
    <mergeCell ref="G38:H39"/>
    <mergeCell ref="G56:H57"/>
    <mergeCell ref="E40:E41"/>
    <mergeCell ref="F52:F53"/>
    <mergeCell ref="F54:F55"/>
    <mergeCell ref="G52:H53"/>
    <mergeCell ref="G54:H55"/>
    <mergeCell ref="G58:H59"/>
    <mergeCell ref="I48:I49"/>
    <mergeCell ref="I50:I51"/>
    <mergeCell ref="G48:H49"/>
    <mergeCell ref="G50:H51"/>
    <mergeCell ref="E46:E47"/>
    <mergeCell ref="I46:I47"/>
    <mergeCell ref="I42:I43"/>
    <mergeCell ref="I44:I45"/>
    <mergeCell ref="D56:D57"/>
    <mergeCell ref="E56:E57"/>
    <mergeCell ref="D58:D59"/>
    <mergeCell ref="E58:E59"/>
    <mergeCell ref="AW167:AZ167"/>
    <mergeCell ref="AR150:AS150"/>
    <mergeCell ref="AR151:AS151"/>
    <mergeCell ref="AR152:AS152"/>
    <mergeCell ref="AR153:AS153"/>
    <mergeCell ref="AT148:AU148"/>
    <mergeCell ref="AW154:AZ154"/>
    <mergeCell ref="AW155:AZ155"/>
    <mergeCell ref="AW156:AZ156"/>
    <mergeCell ref="AW157:AZ157"/>
    <mergeCell ref="AR141:AS141"/>
    <mergeCell ref="AR142:AS142"/>
    <mergeCell ref="AR143:AS143"/>
    <mergeCell ref="AR144:AS144"/>
    <mergeCell ref="AR145:AS145"/>
    <mergeCell ref="AR146:AS146"/>
    <mergeCell ref="AR147:AS147"/>
    <mergeCell ref="AR148:AS148"/>
    <mergeCell ref="AR149:AS149"/>
    <mergeCell ref="AR140:AS140"/>
    <mergeCell ref="AW168:AZ168"/>
    <mergeCell ref="BJ261:BJ262"/>
    <mergeCell ref="AW158:AZ158"/>
    <mergeCell ref="AW159:AZ159"/>
    <mergeCell ref="AW160:AZ160"/>
    <mergeCell ref="AW161:AZ161"/>
    <mergeCell ref="AW162:AZ162"/>
    <mergeCell ref="AW163:AZ163"/>
    <mergeCell ref="AW164:AZ164"/>
    <mergeCell ref="AW165:AZ165"/>
    <mergeCell ref="AW166:AZ166"/>
    <mergeCell ref="D48:D49"/>
    <mergeCell ref="D50:D51"/>
    <mergeCell ref="E48:E49"/>
    <mergeCell ref="E50:E51"/>
    <mergeCell ref="E52:E53"/>
    <mergeCell ref="E54:E55"/>
    <mergeCell ref="K114:K115"/>
    <mergeCell ref="L114:L115"/>
    <mergeCell ref="AR138:AS139"/>
    <mergeCell ref="D67:D68"/>
    <mergeCell ref="E67:E68"/>
    <mergeCell ref="G67:H68"/>
    <mergeCell ref="I73:I74"/>
    <mergeCell ref="I75:I76"/>
    <mergeCell ref="F48:F49"/>
    <mergeCell ref="F50:F51"/>
    <mergeCell ref="K138:K139"/>
    <mergeCell ref="L138:L139"/>
    <mergeCell ref="X138:AK138"/>
    <mergeCell ref="AL138:AQ138"/>
    <mergeCell ref="I52:I53"/>
    <mergeCell ref="I54:I55"/>
    <mergeCell ref="I69:I70"/>
    <mergeCell ref="D65:E65"/>
    <mergeCell ref="A3:A4"/>
    <mergeCell ref="B3:B4"/>
    <mergeCell ref="D40:D41"/>
    <mergeCell ref="D46:D47"/>
    <mergeCell ref="I3:I4"/>
    <mergeCell ref="D5:D7"/>
    <mergeCell ref="E5:E7"/>
    <mergeCell ref="F5:F7"/>
    <mergeCell ref="H5:H7"/>
    <mergeCell ref="I5:I7"/>
    <mergeCell ref="D3:D4"/>
    <mergeCell ref="E3:E4"/>
    <mergeCell ref="F3:F4"/>
    <mergeCell ref="G3:G4"/>
    <mergeCell ref="H3:H4"/>
    <mergeCell ref="I11:I13"/>
    <mergeCell ref="G42:H43"/>
    <mergeCell ref="G44:H45"/>
    <mergeCell ref="G46:H47"/>
    <mergeCell ref="I40:I41"/>
    <mergeCell ref="E44:E45"/>
    <mergeCell ref="B27:B28"/>
    <mergeCell ref="E38:E39"/>
    <mergeCell ref="F38:F39"/>
    <mergeCell ref="B40:B41"/>
    <mergeCell ref="B36:B37"/>
    <mergeCell ref="I8:I10"/>
    <mergeCell ref="I17:I19"/>
    <mergeCell ref="D8:D10"/>
    <mergeCell ref="E8:E10"/>
    <mergeCell ref="D17:D19"/>
    <mergeCell ref="E17:E19"/>
    <mergeCell ref="I36:I37"/>
    <mergeCell ref="D36:D37"/>
    <mergeCell ref="E36:E37"/>
    <mergeCell ref="F36:F37"/>
    <mergeCell ref="G36:H37"/>
    <mergeCell ref="I20:I22"/>
    <mergeCell ref="E20:E22"/>
    <mergeCell ref="F40:F41"/>
    <mergeCell ref="D38:D39"/>
    <mergeCell ref="G40:H41"/>
    <mergeCell ref="I14:I16"/>
    <mergeCell ref="D42:D43"/>
    <mergeCell ref="E42:E43"/>
    <mergeCell ref="D44:D45"/>
    <mergeCell ref="D1:E1"/>
    <mergeCell ref="D34:E34"/>
    <mergeCell ref="F11:F13"/>
    <mergeCell ref="H11:H13"/>
    <mergeCell ref="F17:F19"/>
    <mergeCell ref="F20:F22"/>
    <mergeCell ref="H20:H22"/>
    <mergeCell ref="H8:H10"/>
    <mergeCell ref="H17:H19"/>
    <mergeCell ref="H14:H16"/>
    <mergeCell ref="D11:D13"/>
    <mergeCell ref="E11:E13"/>
    <mergeCell ref="F8:F10"/>
    <mergeCell ref="D14:D16"/>
    <mergeCell ref="E14:E16"/>
    <mergeCell ref="F14:F16"/>
    <mergeCell ref="F42:F43"/>
    <mergeCell ref="F44:F45"/>
    <mergeCell ref="D60:D61"/>
    <mergeCell ref="E60:E61"/>
    <mergeCell ref="F60:F61"/>
    <mergeCell ref="G60:H61"/>
    <mergeCell ref="I60:I61"/>
    <mergeCell ref="D75:D76"/>
    <mergeCell ref="E75:E76"/>
    <mergeCell ref="F75:F76"/>
    <mergeCell ref="G75:H76"/>
    <mergeCell ref="D71:D72"/>
    <mergeCell ref="E71:E72"/>
    <mergeCell ref="F71:F72"/>
    <mergeCell ref="G71:H72"/>
    <mergeCell ref="I71:I72"/>
    <mergeCell ref="F101:H102"/>
    <mergeCell ref="F89:H89"/>
    <mergeCell ref="F92:H93"/>
    <mergeCell ref="F84:H85"/>
    <mergeCell ref="F86:H86"/>
    <mergeCell ref="F87:H87"/>
    <mergeCell ref="F88:H88"/>
    <mergeCell ref="I84:I85"/>
    <mergeCell ref="D77:D78"/>
    <mergeCell ref="E77:E78"/>
    <mergeCell ref="F77:F78"/>
    <mergeCell ref="G77:H78"/>
    <mergeCell ref="I77:I78"/>
    <mergeCell ref="D82:E82"/>
    <mergeCell ref="D84:D85"/>
    <mergeCell ref="E84:E85"/>
    <mergeCell ref="I86:I91"/>
    <mergeCell ref="B49:B50"/>
    <mergeCell ref="B52:B53"/>
    <mergeCell ref="F99:H100"/>
    <mergeCell ref="D86:D91"/>
    <mergeCell ref="F90:H90"/>
    <mergeCell ref="B21:B22"/>
    <mergeCell ref="B24:B25"/>
    <mergeCell ref="B30:B31"/>
    <mergeCell ref="B33:B34"/>
    <mergeCell ref="B43:B44"/>
    <mergeCell ref="B46:B47"/>
    <mergeCell ref="F91:H91"/>
    <mergeCell ref="F94:H98"/>
    <mergeCell ref="D20:D22"/>
    <mergeCell ref="D73:D74"/>
    <mergeCell ref="E73:E74"/>
    <mergeCell ref="F73:F74"/>
    <mergeCell ref="G73:H74"/>
    <mergeCell ref="D69:D70"/>
    <mergeCell ref="E69:E70"/>
    <mergeCell ref="F69:F70"/>
    <mergeCell ref="G69:H70"/>
    <mergeCell ref="D52:D53"/>
    <mergeCell ref="D54:D55"/>
  </mergeCells>
  <hyperlinks>
    <hyperlink ref="B49" r:id="rId1"/>
    <hyperlink ref="B40" r:id="rId2"/>
    <hyperlink ref="B52" r:id="rId3"/>
    <hyperlink ref="B46" r:id="rId4"/>
    <hyperlink ref="B36" r:id="rId5"/>
    <hyperlink ref="B33" r:id="rId6"/>
    <hyperlink ref="B21" r:id="rId7"/>
    <hyperlink ref="B24" r:id="rId8"/>
    <hyperlink ref="B27" r:id="rId9"/>
  </hyperlinks>
  <pageMargins left="0.7" right="0.7" top="0.75" bottom="0.75" header="0.3" footer="0.3"/>
  <pageSetup paperSize="9" orientation="portrait" r:id="rId10"/>
  <drawing r:id="rId1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48"/>
  <sheetViews>
    <sheetView topLeftCell="AF1" zoomScale="60" zoomScaleNormal="60" workbookViewId="0">
      <selection activeCell="AJ23" sqref="AJ23:AK23"/>
    </sheetView>
  </sheetViews>
  <sheetFormatPr baseColWidth="10" defaultColWidth="10.85546875" defaultRowHeight="15" x14ac:dyDescent="0.25"/>
  <cols>
    <col min="3" max="3" width="46.28515625" bestFit="1" customWidth="1"/>
    <col min="5" max="5" width="25.7109375" customWidth="1"/>
    <col min="6" max="13" width="9.28515625" customWidth="1"/>
    <col min="14" max="14" width="14.28515625" customWidth="1"/>
    <col min="15" max="15" width="9.28515625" customWidth="1"/>
    <col min="17" max="18" width="5.7109375" customWidth="1"/>
    <col min="19" max="19" width="18.140625" bestFit="1" customWidth="1"/>
    <col min="22" max="22" width="42.140625" bestFit="1" customWidth="1"/>
    <col min="23" max="25" width="15.7109375" customWidth="1"/>
    <col min="27" max="27" width="27.85546875" bestFit="1" customWidth="1"/>
    <col min="34" max="34" width="25.85546875" bestFit="1" customWidth="1"/>
    <col min="35" max="38" width="21.42578125" customWidth="1"/>
    <col min="40" max="40" width="18.7109375" bestFit="1" customWidth="1"/>
    <col min="41" max="41" width="19.140625" bestFit="1" customWidth="1"/>
    <col min="44" max="73" width="2.28515625" bestFit="1" customWidth="1"/>
  </cols>
  <sheetData>
    <row r="1" spans="2:41" x14ac:dyDescent="0.25">
      <c r="E1" s="176" t="s">
        <v>1926</v>
      </c>
      <c r="F1" s="156"/>
      <c r="G1" s="156"/>
      <c r="H1" s="156"/>
      <c r="I1" s="156"/>
    </row>
    <row r="2" spans="2:41" ht="15" customHeight="1" x14ac:dyDescent="0.25">
      <c r="B2" s="149" t="s">
        <v>381</v>
      </c>
      <c r="C2" s="149" t="s">
        <v>107</v>
      </c>
      <c r="AA2" s="261"/>
      <c r="AB2" s="246" t="s">
        <v>147</v>
      </c>
      <c r="AC2" s="246" t="s">
        <v>148</v>
      </c>
      <c r="AD2" s="246" t="s">
        <v>730</v>
      </c>
      <c r="AE2" s="246" t="s">
        <v>144</v>
      </c>
      <c r="AF2" s="246" t="s">
        <v>126</v>
      </c>
      <c r="AH2" s="285"/>
      <c r="AI2" s="504" t="s">
        <v>1163</v>
      </c>
      <c r="AJ2" s="504" t="s">
        <v>1164</v>
      </c>
      <c r="AK2" s="504" t="s">
        <v>1165</v>
      </c>
      <c r="AL2" s="504" t="s">
        <v>1166</v>
      </c>
      <c r="AN2" s="247" t="s">
        <v>1176</v>
      </c>
      <c r="AO2" s="247" t="s">
        <v>751</v>
      </c>
    </row>
    <row r="3" spans="2:41" ht="15" customHeight="1" x14ac:dyDescent="0.25">
      <c r="B3" s="41" t="s">
        <v>69</v>
      </c>
      <c r="C3" s="41" t="s">
        <v>527</v>
      </c>
      <c r="E3" s="527" t="s">
        <v>535</v>
      </c>
      <c r="F3" s="527" t="s">
        <v>69</v>
      </c>
      <c r="G3" s="527" t="s">
        <v>522</v>
      </c>
      <c r="H3" s="527" t="s">
        <v>536</v>
      </c>
      <c r="I3" s="527" t="s">
        <v>537</v>
      </c>
      <c r="J3" s="527" t="s">
        <v>523</v>
      </c>
      <c r="K3" s="527" t="s">
        <v>524</v>
      </c>
      <c r="L3" s="527" t="s">
        <v>538</v>
      </c>
      <c r="M3" s="527" t="s">
        <v>526</v>
      </c>
      <c r="N3" s="510" t="s">
        <v>738</v>
      </c>
      <c r="O3" s="510" t="s">
        <v>739</v>
      </c>
      <c r="Q3" s="12" t="s">
        <v>734</v>
      </c>
      <c r="R3" s="12">
        <f>(J9*F9*L9)/(J9*F9)</f>
        <v>1.7</v>
      </c>
      <c r="S3" t="s">
        <v>736</v>
      </c>
      <c r="V3" s="527" t="s">
        <v>748</v>
      </c>
      <c r="W3" s="527" t="s">
        <v>749</v>
      </c>
      <c r="X3" s="527" t="s">
        <v>750</v>
      </c>
      <c r="Y3" s="510" t="s">
        <v>751</v>
      </c>
      <c r="AA3" s="244" t="s">
        <v>1144</v>
      </c>
      <c r="AB3" s="164">
        <v>151.19999999999999</v>
      </c>
      <c r="AC3" s="164">
        <v>168.58</v>
      </c>
      <c r="AD3" s="164">
        <v>168.92</v>
      </c>
      <c r="AE3" s="164">
        <v>146.28</v>
      </c>
      <c r="AF3" s="164">
        <v>254.83</v>
      </c>
      <c r="AH3" s="285"/>
      <c r="AI3" s="506"/>
      <c r="AJ3" s="506"/>
      <c r="AK3" s="506"/>
      <c r="AL3" s="506"/>
      <c r="AN3" s="244" t="s">
        <v>1174</v>
      </c>
      <c r="AO3" s="244">
        <v>297</v>
      </c>
    </row>
    <row r="4" spans="2:41" x14ac:dyDescent="0.25">
      <c r="B4" s="41" t="s">
        <v>522</v>
      </c>
      <c r="C4" s="41" t="s">
        <v>528</v>
      </c>
      <c r="E4" s="527"/>
      <c r="F4" s="527"/>
      <c r="G4" s="527"/>
      <c r="H4" s="527"/>
      <c r="I4" s="527"/>
      <c r="J4" s="527"/>
      <c r="K4" s="527"/>
      <c r="L4" s="527"/>
      <c r="M4" s="527"/>
      <c r="N4" s="510"/>
      <c r="O4" s="510"/>
      <c r="Q4" s="12" t="s">
        <v>735</v>
      </c>
      <c r="R4" s="180">
        <f>SUMPRODUCT(J5:J8,F5:F8,L5:L8)/SUMPRODUCT(J5:J8,F5:F8)</f>
        <v>0.97969746403677871</v>
      </c>
      <c r="S4" t="s">
        <v>737</v>
      </c>
      <c r="V4" s="527"/>
      <c r="W4" s="527"/>
      <c r="X4" s="527"/>
      <c r="Y4" s="510"/>
      <c r="AA4" s="244" t="s">
        <v>1146</v>
      </c>
      <c r="AB4" s="172">
        <v>0.95</v>
      </c>
      <c r="AC4" s="172">
        <v>0.95</v>
      </c>
      <c r="AD4" s="172">
        <v>0.95</v>
      </c>
      <c r="AE4" s="172">
        <v>0.95</v>
      </c>
      <c r="AF4" s="172">
        <v>0.95</v>
      </c>
      <c r="AH4" s="244" t="s">
        <v>1167</v>
      </c>
      <c r="AI4" s="248">
        <v>1194</v>
      </c>
      <c r="AJ4" s="248">
        <v>1194</v>
      </c>
      <c r="AK4" s="248">
        <v>1194</v>
      </c>
      <c r="AL4" s="248">
        <v>1194</v>
      </c>
      <c r="AN4" s="244" t="s">
        <v>1173</v>
      </c>
      <c r="AO4" s="248">
        <f>O10+O24+O36+O48+O58</f>
        <v>169.48977771736003</v>
      </c>
    </row>
    <row r="5" spans="2:41" x14ac:dyDescent="0.25">
      <c r="B5" s="41" t="s">
        <v>523</v>
      </c>
      <c r="C5" s="41" t="s">
        <v>529</v>
      </c>
      <c r="E5" s="44" t="s">
        <v>541</v>
      </c>
      <c r="F5" s="11">
        <v>1</v>
      </c>
      <c r="G5" s="11">
        <v>4</v>
      </c>
      <c r="H5" s="177">
        <v>0.52</v>
      </c>
      <c r="I5" s="177">
        <v>0.42</v>
      </c>
      <c r="J5" s="164">
        <f>H5*I5</f>
        <v>0.21840000000000001</v>
      </c>
      <c r="K5" s="177">
        <f>G5*J5</f>
        <v>0.87360000000000004</v>
      </c>
      <c r="L5" s="177">
        <v>1.5</v>
      </c>
      <c r="M5" s="177">
        <f t="shared" ref="M5:M7" si="0">(0.5*($R$3/$R$4))*(J5+K5)</f>
        <v>0.94743534006448604</v>
      </c>
      <c r="N5" s="177">
        <f>J5+K5+M5</f>
        <v>2.039435340064486</v>
      </c>
      <c r="O5" s="177">
        <f>N5*F5</f>
        <v>2.039435340064486</v>
      </c>
      <c r="Q5" s="12" t="s">
        <v>741</v>
      </c>
      <c r="R5" s="180">
        <f>0.5*(R3/R4)</f>
        <v>0.86761478027883332</v>
      </c>
      <c r="S5" t="s">
        <v>742</v>
      </c>
      <c r="V5" s="189" t="s">
        <v>392</v>
      </c>
      <c r="W5" s="191">
        <v>15</v>
      </c>
      <c r="X5" s="191">
        <v>12</v>
      </c>
      <c r="Y5" s="191">
        <f t="shared" ref="Y5:Y10" si="1">W5*X5</f>
        <v>180</v>
      </c>
      <c r="AA5" s="244" t="s">
        <v>1145</v>
      </c>
      <c r="AB5" s="279">
        <f>AB3/AB4</f>
        <v>159.15789473684211</v>
      </c>
      <c r="AC5" s="279">
        <f t="shared" ref="AC5:AF5" si="2">AC3/AC4</f>
        <v>177.4526315789474</v>
      </c>
      <c r="AD5" s="279">
        <f t="shared" si="2"/>
        <v>177.81052631578947</v>
      </c>
      <c r="AE5" s="279">
        <f t="shared" si="2"/>
        <v>153.97894736842107</v>
      </c>
      <c r="AF5" s="279">
        <f t="shared" si="2"/>
        <v>268.2421052631579</v>
      </c>
      <c r="AH5" s="244" t="s">
        <v>1148</v>
      </c>
      <c r="AI5" s="244">
        <v>8</v>
      </c>
      <c r="AJ5" s="244">
        <v>8</v>
      </c>
      <c r="AK5" s="244">
        <v>8</v>
      </c>
      <c r="AL5" s="244">
        <v>8</v>
      </c>
      <c r="AN5" s="244" t="s">
        <v>1175</v>
      </c>
      <c r="AO5" s="248">
        <f>AF24+AL23</f>
        <v>204.27400326315791</v>
      </c>
    </row>
    <row r="6" spans="2:41" x14ac:dyDescent="0.25">
      <c r="B6" s="41" t="s">
        <v>524</v>
      </c>
      <c r="C6" s="41" t="s">
        <v>530</v>
      </c>
      <c r="E6" s="44" t="s">
        <v>542</v>
      </c>
      <c r="F6" s="11">
        <v>4</v>
      </c>
      <c r="G6" s="11">
        <v>2</v>
      </c>
      <c r="H6" s="177">
        <v>0.9</v>
      </c>
      <c r="I6" s="177">
        <v>0.7</v>
      </c>
      <c r="J6" s="164">
        <f t="shared" ref="J6:J7" si="3">H6*I6</f>
        <v>0.63</v>
      </c>
      <c r="K6" s="177">
        <f t="shared" ref="K6:K7" si="4">G6*J6</f>
        <v>1.26</v>
      </c>
      <c r="L6" s="177">
        <v>0.9</v>
      </c>
      <c r="M6" s="177">
        <f t="shared" si="0"/>
        <v>1.6397919347269951</v>
      </c>
      <c r="N6" s="177">
        <f t="shared" ref="N6:N7" si="5">J6+K6+M6</f>
        <v>3.5297919347269953</v>
      </c>
      <c r="O6" s="177">
        <f t="shared" ref="O6:O7" si="6">N6*F6</f>
        <v>14.119167738907981</v>
      </c>
      <c r="V6" s="189" t="s">
        <v>610</v>
      </c>
      <c r="W6" s="191">
        <v>4</v>
      </c>
      <c r="X6" s="191">
        <v>4</v>
      </c>
      <c r="Y6" s="191">
        <f t="shared" si="1"/>
        <v>16</v>
      </c>
      <c r="AA6" s="244" t="s">
        <v>1147</v>
      </c>
      <c r="AB6" s="248">
        <f>AB5*26</f>
        <v>4138.105263157895</v>
      </c>
      <c r="AC6" s="248">
        <f t="shared" ref="AC6:AF6" si="7">AC5*26</f>
        <v>4613.7684210526322</v>
      </c>
      <c r="AD6" s="248">
        <f t="shared" si="7"/>
        <v>4623.0736842105262</v>
      </c>
      <c r="AE6" s="248">
        <f t="shared" si="7"/>
        <v>4003.4526315789481</v>
      </c>
      <c r="AF6" s="248">
        <f t="shared" si="7"/>
        <v>6974.2947368421055</v>
      </c>
      <c r="AH6" s="244" t="s">
        <v>1149</v>
      </c>
      <c r="AI6" s="279">
        <f>AI4/AI5</f>
        <v>149.25</v>
      </c>
      <c r="AJ6" s="279">
        <f t="shared" ref="AJ6:AL6" si="8">AJ4/AJ5</f>
        <v>149.25</v>
      </c>
      <c r="AK6" s="279">
        <f t="shared" si="8"/>
        <v>149.25</v>
      </c>
      <c r="AL6" s="279">
        <f t="shared" si="8"/>
        <v>149.25</v>
      </c>
      <c r="AN6" s="247" t="s">
        <v>1177</v>
      </c>
      <c r="AO6" s="196" t="s">
        <v>1929</v>
      </c>
    </row>
    <row r="7" spans="2:41" x14ac:dyDescent="0.25">
      <c r="B7" s="41" t="s">
        <v>525</v>
      </c>
      <c r="C7" s="41" t="s">
        <v>531</v>
      </c>
      <c r="E7" s="44" t="s">
        <v>540</v>
      </c>
      <c r="F7" s="11">
        <v>1</v>
      </c>
      <c r="G7" s="11">
        <v>2</v>
      </c>
      <c r="H7" s="177">
        <v>1.5</v>
      </c>
      <c r="I7" s="177">
        <v>1</v>
      </c>
      <c r="J7" s="164">
        <f t="shared" si="3"/>
        <v>1.5</v>
      </c>
      <c r="K7" s="177">
        <f t="shared" si="4"/>
        <v>3</v>
      </c>
      <c r="L7" s="177">
        <v>1.5</v>
      </c>
      <c r="M7" s="177">
        <f t="shared" si="0"/>
        <v>3.9042665112547499</v>
      </c>
      <c r="N7" s="177">
        <f t="shared" si="5"/>
        <v>8.4042665112547503</v>
      </c>
      <c r="O7" s="177">
        <f t="shared" si="6"/>
        <v>8.4042665112547503</v>
      </c>
      <c r="V7" s="189" t="s">
        <v>752</v>
      </c>
      <c r="W7" s="191">
        <v>5</v>
      </c>
      <c r="X7" s="191">
        <v>4</v>
      </c>
      <c r="Y7" s="191">
        <f t="shared" si="1"/>
        <v>20</v>
      </c>
      <c r="AA7" s="244" t="s">
        <v>1148</v>
      </c>
      <c r="AB7" s="244">
        <v>8</v>
      </c>
      <c r="AC7" s="244">
        <v>8</v>
      </c>
      <c r="AD7" s="244">
        <v>8</v>
      </c>
      <c r="AE7" s="244">
        <v>8</v>
      </c>
      <c r="AF7" s="244">
        <v>1</v>
      </c>
      <c r="AN7" s="12"/>
      <c r="AO7" s="12"/>
    </row>
    <row r="8" spans="2:41" x14ac:dyDescent="0.25">
      <c r="B8" s="41" t="s">
        <v>526</v>
      </c>
      <c r="C8" s="41" t="s">
        <v>532</v>
      </c>
      <c r="E8" s="44" t="s">
        <v>732</v>
      </c>
      <c r="F8" s="11">
        <v>10</v>
      </c>
      <c r="G8" s="11">
        <v>2</v>
      </c>
      <c r="H8" s="177">
        <v>0.34</v>
      </c>
      <c r="I8" s="177">
        <v>0.34</v>
      </c>
      <c r="J8" s="164">
        <f>H8*I8</f>
        <v>0.11560000000000002</v>
      </c>
      <c r="K8" s="177">
        <f>G8*J8</f>
        <v>0.23120000000000004</v>
      </c>
      <c r="L8" s="177">
        <v>0.38</v>
      </c>
      <c r="M8" s="177">
        <f>(0.5*($R$3/$R$4))*(J8+K8)</f>
        <v>0.30088880580069943</v>
      </c>
      <c r="N8" s="177">
        <f>J8+K8+M8</f>
        <v>0.64768880580069954</v>
      </c>
      <c r="O8" s="177">
        <f>N8*F8</f>
        <v>6.4768880580069954</v>
      </c>
      <c r="V8" s="189" t="s">
        <v>753</v>
      </c>
      <c r="W8" s="191">
        <v>5</v>
      </c>
      <c r="X8" s="191">
        <v>4</v>
      </c>
      <c r="Y8" s="191">
        <f t="shared" si="1"/>
        <v>20</v>
      </c>
      <c r="AA8" s="244" t="s">
        <v>1149</v>
      </c>
      <c r="AB8" s="279">
        <f>AB6/AB7</f>
        <v>517.26315789473688</v>
      </c>
      <c r="AC8" s="279">
        <f t="shared" ref="AC8:AF8" si="9">AC6/AC7</f>
        <v>576.72105263157903</v>
      </c>
      <c r="AD8" s="279">
        <f t="shared" si="9"/>
        <v>577.88421052631577</v>
      </c>
      <c r="AE8" s="279">
        <f t="shared" si="9"/>
        <v>500.43157894736851</v>
      </c>
      <c r="AF8" s="279">
        <f t="shared" si="9"/>
        <v>6974.2947368421055</v>
      </c>
      <c r="AH8" s="261"/>
      <c r="AI8" s="504" t="s">
        <v>1163</v>
      </c>
      <c r="AJ8" s="504" t="s">
        <v>1164</v>
      </c>
      <c r="AK8" s="504" t="s">
        <v>1165</v>
      </c>
      <c r="AL8" s="504" t="s">
        <v>1166</v>
      </c>
    </row>
    <row r="9" spans="2:41" x14ac:dyDescent="0.25">
      <c r="B9" s="41" t="s">
        <v>533</v>
      </c>
      <c r="C9" s="41" t="s">
        <v>534</v>
      </c>
      <c r="E9" s="44" t="s">
        <v>733</v>
      </c>
      <c r="F9" s="11">
        <v>7</v>
      </c>
      <c r="G9" s="11" t="s">
        <v>161</v>
      </c>
      <c r="H9" s="177" t="s">
        <v>161</v>
      </c>
      <c r="I9" s="177" t="s">
        <v>161</v>
      </c>
      <c r="J9" s="164">
        <v>0.5</v>
      </c>
      <c r="K9" s="177" t="s">
        <v>161</v>
      </c>
      <c r="L9" s="177">
        <v>1.7</v>
      </c>
      <c r="M9" s="177">
        <f>(0.5*($R$3/$R$4))*(J9)</f>
        <v>0.43380739013941666</v>
      </c>
      <c r="N9" s="177">
        <f>J9+M9</f>
        <v>0.9338073901394166</v>
      </c>
      <c r="O9" s="177">
        <f>N9*F9</f>
        <v>6.5366517309759162</v>
      </c>
      <c r="V9" s="189" t="s">
        <v>393</v>
      </c>
      <c r="W9" s="191">
        <v>5</v>
      </c>
      <c r="X9" s="191">
        <v>5</v>
      </c>
      <c r="Y9" s="191">
        <f t="shared" si="1"/>
        <v>25</v>
      </c>
      <c r="AA9" s="12"/>
      <c r="AB9" s="12"/>
      <c r="AC9" s="12"/>
      <c r="AD9" s="12"/>
      <c r="AE9" s="12"/>
      <c r="AF9" s="280"/>
      <c r="AH9" s="261"/>
      <c r="AI9" s="505"/>
      <c r="AJ9" s="505"/>
      <c r="AK9" s="505"/>
      <c r="AL9" s="505"/>
    </row>
    <row r="10" spans="2:41" x14ac:dyDescent="0.25">
      <c r="L10" s="527" t="s">
        <v>740</v>
      </c>
      <c r="M10" s="527"/>
      <c r="N10" s="527"/>
      <c r="O10" s="182">
        <f>SUM(O5:O9)</f>
        <v>37.576409379210133</v>
      </c>
      <c r="V10" s="189" t="s">
        <v>754</v>
      </c>
      <c r="W10" s="191">
        <v>6</v>
      </c>
      <c r="X10" s="191">
        <v>6</v>
      </c>
      <c r="Y10" s="191">
        <f t="shared" si="1"/>
        <v>36</v>
      </c>
      <c r="AA10" s="261"/>
      <c r="AB10" s="246" t="s">
        <v>147</v>
      </c>
      <c r="AC10" s="246" t="s">
        <v>148</v>
      </c>
      <c r="AD10" s="246" t="s">
        <v>730</v>
      </c>
      <c r="AE10" s="246" t="s">
        <v>144</v>
      </c>
      <c r="AF10" s="246" t="s">
        <v>126</v>
      </c>
      <c r="AH10" s="244" t="s">
        <v>109</v>
      </c>
      <c r="AI10" s="279">
        <f>AI6</f>
        <v>149.25</v>
      </c>
      <c r="AJ10" s="279">
        <f t="shared" ref="AJ10:AK10" si="10">AJ6</f>
        <v>149.25</v>
      </c>
      <c r="AK10" s="279">
        <f t="shared" si="10"/>
        <v>149.25</v>
      </c>
      <c r="AL10" s="279">
        <f>AL6</f>
        <v>149.25</v>
      </c>
    </row>
    <row r="11" spans="2:41" x14ac:dyDescent="0.25">
      <c r="E11" s="31"/>
      <c r="F11" s="31"/>
      <c r="G11" s="31"/>
      <c r="H11" s="31"/>
      <c r="I11" s="31"/>
      <c r="J11" s="31"/>
      <c r="K11" s="31"/>
      <c r="V11" s="12"/>
      <c r="W11" s="610" t="s">
        <v>740</v>
      </c>
      <c r="X11" s="577"/>
      <c r="Y11" s="196">
        <f>SUM(Y5:Y10)</f>
        <v>297</v>
      </c>
      <c r="AA11" s="244" t="s">
        <v>1150</v>
      </c>
      <c r="AB11" s="279">
        <f>AB8</f>
        <v>517.26315789473688</v>
      </c>
      <c r="AC11" s="279">
        <f t="shared" ref="AC11:AF11" si="11">AC8</f>
        <v>576.72105263157903</v>
      </c>
      <c r="AD11" s="279">
        <f t="shared" si="11"/>
        <v>577.88421052631577</v>
      </c>
      <c r="AE11" s="279">
        <f t="shared" si="11"/>
        <v>500.43157894736851</v>
      </c>
      <c r="AF11" s="279">
        <f t="shared" si="11"/>
        <v>6974.2947368421055</v>
      </c>
      <c r="AH11" s="244" t="s">
        <v>1168</v>
      </c>
      <c r="AI11" s="244">
        <v>12</v>
      </c>
      <c r="AJ11" s="244">
        <v>12</v>
      </c>
      <c r="AK11" s="244">
        <v>12</v>
      </c>
      <c r="AL11" s="244">
        <v>12</v>
      </c>
    </row>
    <row r="12" spans="2:41" x14ac:dyDescent="0.25">
      <c r="Q12" s="12"/>
      <c r="R12" s="12"/>
      <c r="V12" s="12"/>
      <c r="W12" s="12"/>
      <c r="X12" s="12"/>
      <c r="Y12" s="12"/>
      <c r="AA12" s="244" t="s">
        <v>1151</v>
      </c>
      <c r="AB12" s="244">
        <v>14</v>
      </c>
      <c r="AC12" s="244">
        <v>12</v>
      </c>
      <c r="AD12" s="244">
        <v>12</v>
      </c>
      <c r="AE12" s="244">
        <v>12</v>
      </c>
      <c r="AF12" s="244">
        <v>10</v>
      </c>
      <c r="AH12" s="247" t="s">
        <v>1169</v>
      </c>
      <c r="AI12" s="281">
        <f>ROUNDUP(AI10/AI11,0)</f>
        <v>13</v>
      </c>
      <c r="AJ12" s="281">
        <f t="shared" ref="AJ12:AL12" si="12">ROUNDUP(AJ10/AJ11,0)</f>
        <v>13</v>
      </c>
      <c r="AK12" s="281">
        <f t="shared" si="12"/>
        <v>13</v>
      </c>
      <c r="AL12" s="281">
        <f t="shared" si="12"/>
        <v>13</v>
      </c>
    </row>
    <row r="13" spans="2:41" x14ac:dyDescent="0.25">
      <c r="E13" s="176" t="s">
        <v>1924</v>
      </c>
      <c r="F13" s="156"/>
      <c r="G13" s="156"/>
      <c r="H13" s="156"/>
      <c r="I13" s="156"/>
      <c r="Q13" s="12"/>
      <c r="R13" s="180"/>
      <c r="AA13" s="247" t="s">
        <v>1152</v>
      </c>
      <c r="AB13" s="281">
        <f>AB11/AB12</f>
        <v>36.947368421052637</v>
      </c>
      <c r="AC13" s="281">
        <f t="shared" ref="AC13:AF13" si="13">AC11/AC12</f>
        <v>48.060087719298252</v>
      </c>
      <c r="AD13" s="281">
        <f t="shared" si="13"/>
        <v>48.157017543859645</v>
      </c>
      <c r="AE13" s="281">
        <f t="shared" si="13"/>
        <v>41.702631578947376</v>
      </c>
      <c r="AF13" s="281">
        <f t="shared" si="13"/>
        <v>697.42947368421051</v>
      </c>
      <c r="AH13" s="244" t="s">
        <v>1155</v>
      </c>
      <c r="AI13" s="244">
        <v>2</v>
      </c>
      <c r="AJ13" s="244">
        <v>2</v>
      </c>
      <c r="AK13" s="244">
        <v>2</v>
      </c>
      <c r="AL13" s="244">
        <v>2</v>
      </c>
    </row>
    <row r="14" spans="2:41" x14ac:dyDescent="0.25">
      <c r="AA14" s="244" t="s">
        <v>1155</v>
      </c>
      <c r="AB14" s="244">
        <v>2</v>
      </c>
      <c r="AC14" s="244">
        <v>2</v>
      </c>
      <c r="AD14" s="244">
        <v>2</v>
      </c>
      <c r="AE14" s="244">
        <v>2</v>
      </c>
      <c r="AF14" s="244">
        <v>2</v>
      </c>
      <c r="AH14" s="244" t="s">
        <v>1170</v>
      </c>
      <c r="AI14" s="244">
        <v>0.17</v>
      </c>
      <c r="AJ14" s="244">
        <v>0.17</v>
      </c>
      <c r="AK14" s="244">
        <v>0.17</v>
      </c>
      <c r="AL14" s="244">
        <v>0.17</v>
      </c>
    </row>
    <row r="15" spans="2:41" x14ac:dyDescent="0.25">
      <c r="E15" s="507" t="s">
        <v>535</v>
      </c>
      <c r="F15" s="507" t="s">
        <v>69</v>
      </c>
      <c r="G15" s="507" t="s">
        <v>522</v>
      </c>
      <c r="H15" s="507" t="s">
        <v>536</v>
      </c>
      <c r="I15" s="507" t="s">
        <v>537</v>
      </c>
      <c r="J15" s="507" t="s">
        <v>523</v>
      </c>
      <c r="K15" s="507" t="s">
        <v>524</v>
      </c>
      <c r="L15" s="507" t="s">
        <v>538</v>
      </c>
      <c r="M15" s="507" t="s">
        <v>526</v>
      </c>
      <c r="N15" s="504" t="s">
        <v>738</v>
      </c>
      <c r="O15" s="507" t="s">
        <v>739</v>
      </c>
      <c r="AA15" s="244" t="s">
        <v>1153</v>
      </c>
      <c r="AB15" s="244">
        <v>0.36</v>
      </c>
      <c r="AC15" s="244">
        <v>0.36</v>
      </c>
      <c r="AD15" s="244">
        <v>0.36</v>
      </c>
      <c r="AE15" s="244">
        <v>0.36</v>
      </c>
      <c r="AF15" s="244">
        <v>0.36</v>
      </c>
      <c r="AH15" s="244" t="s">
        <v>1171</v>
      </c>
      <c r="AI15" s="244">
        <v>0.22500000000000001</v>
      </c>
      <c r="AJ15" s="244">
        <v>0.22500000000000001</v>
      </c>
      <c r="AK15" s="244">
        <v>0.22500000000000001</v>
      </c>
      <c r="AL15" s="244">
        <v>0.22500000000000001</v>
      </c>
    </row>
    <row r="16" spans="2:41" x14ac:dyDescent="0.25">
      <c r="E16" s="509"/>
      <c r="F16" s="509"/>
      <c r="G16" s="509"/>
      <c r="H16" s="509"/>
      <c r="I16" s="509"/>
      <c r="J16" s="509"/>
      <c r="K16" s="509"/>
      <c r="L16" s="509"/>
      <c r="M16" s="509"/>
      <c r="N16" s="506"/>
      <c r="O16" s="509"/>
      <c r="AA16" s="244" t="s">
        <v>1154</v>
      </c>
      <c r="AB16" s="244">
        <v>0.53</v>
      </c>
      <c r="AC16" s="244">
        <v>0.53</v>
      </c>
      <c r="AD16" s="244">
        <v>0.53</v>
      </c>
      <c r="AE16" s="244">
        <v>0.53</v>
      </c>
      <c r="AF16" s="244">
        <v>0.53</v>
      </c>
      <c r="AH16" s="244" t="s">
        <v>1159</v>
      </c>
      <c r="AI16" s="244">
        <v>0.37</v>
      </c>
      <c r="AJ16" s="244">
        <v>0.37</v>
      </c>
      <c r="AK16" s="244">
        <v>0.37</v>
      </c>
      <c r="AL16" s="244">
        <v>0.37</v>
      </c>
    </row>
    <row r="17" spans="5:38" x14ac:dyDescent="0.25">
      <c r="E17" s="432" t="s">
        <v>541</v>
      </c>
      <c r="F17" s="319">
        <v>1</v>
      </c>
      <c r="G17" s="319">
        <v>4</v>
      </c>
      <c r="H17" s="177">
        <v>0.52</v>
      </c>
      <c r="I17" s="177">
        <v>0.42</v>
      </c>
      <c r="J17" s="164">
        <f>H17*I17</f>
        <v>0.21840000000000001</v>
      </c>
      <c r="K17" s="177">
        <f>G17*J17</f>
        <v>0.87360000000000004</v>
      </c>
      <c r="L17" s="177">
        <v>1.5</v>
      </c>
      <c r="M17" s="177">
        <f t="shared" ref="M17:M18" si="14">(0.5*($R$3/$R$4))*(J17+K17)</f>
        <v>0.94743534006448604</v>
      </c>
      <c r="N17" s="177">
        <f>J17+K17+M17</f>
        <v>2.039435340064486</v>
      </c>
      <c r="O17" s="177">
        <f>N17*F17</f>
        <v>2.039435340064486</v>
      </c>
      <c r="AA17" s="244" t="s">
        <v>1159</v>
      </c>
      <c r="AB17" s="244">
        <f>0.2+AB15</f>
        <v>0.56000000000000005</v>
      </c>
      <c r="AC17" s="244">
        <f t="shared" ref="AC17:AF17" si="15">0.2+AC15</f>
        <v>0.56000000000000005</v>
      </c>
      <c r="AD17" s="244">
        <f t="shared" si="15"/>
        <v>0.56000000000000005</v>
      </c>
      <c r="AE17" s="244">
        <f t="shared" si="15"/>
        <v>0.56000000000000005</v>
      </c>
      <c r="AF17" s="244">
        <f t="shared" si="15"/>
        <v>0.56000000000000005</v>
      </c>
      <c r="AH17" s="244" t="s">
        <v>1158</v>
      </c>
      <c r="AI17" s="244">
        <v>2.5499999999999998</v>
      </c>
      <c r="AJ17" s="244">
        <v>2.5499999999999998</v>
      </c>
      <c r="AK17" s="244">
        <v>2.5499999999999998</v>
      </c>
      <c r="AL17" s="244">
        <v>2.5499999999999998</v>
      </c>
    </row>
    <row r="18" spans="5:38" x14ac:dyDescent="0.25">
      <c r="E18" s="233" t="s">
        <v>542</v>
      </c>
      <c r="F18" s="241">
        <v>4</v>
      </c>
      <c r="G18" s="241">
        <v>2</v>
      </c>
      <c r="H18" s="177">
        <v>0.9</v>
      </c>
      <c r="I18" s="177">
        <v>0.7</v>
      </c>
      <c r="J18" s="164">
        <f t="shared" ref="J18" si="16">H18*I18</f>
        <v>0.63</v>
      </c>
      <c r="K18" s="177">
        <f t="shared" ref="K18" si="17">G18*J18</f>
        <v>1.26</v>
      </c>
      <c r="L18" s="177">
        <v>0.9</v>
      </c>
      <c r="M18" s="177">
        <f t="shared" si="14"/>
        <v>1.6397919347269951</v>
      </c>
      <c r="N18" s="177">
        <f t="shared" ref="N18" si="18">J18+K18+M18</f>
        <v>3.5297919347269953</v>
      </c>
      <c r="O18" s="177">
        <f t="shared" ref="O18" si="19">N18*F18</f>
        <v>14.119167738907981</v>
      </c>
      <c r="AA18" s="244" t="s">
        <v>1158</v>
      </c>
      <c r="AB18" s="244">
        <v>3.16</v>
      </c>
      <c r="AC18" s="244">
        <v>3.16</v>
      </c>
      <c r="AD18" s="244">
        <v>3.16</v>
      </c>
      <c r="AE18" s="244">
        <v>3.16</v>
      </c>
      <c r="AF18" s="244">
        <v>3.16</v>
      </c>
      <c r="AH18" s="247" t="s">
        <v>1161</v>
      </c>
      <c r="AI18" s="283">
        <f>AI16*AI17</f>
        <v>0.94349999999999989</v>
      </c>
      <c r="AJ18" s="283">
        <f t="shared" ref="AJ18:AL18" si="20">AJ16*AJ17</f>
        <v>0.94349999999999989</v>
      </c>
      <c r="AK18" s="283">
        <f t="shared" si="20"/>
        <v>0.94349999999999989</v>
      </c>
      <c r="AL18" s="283">
        <f t="shared" si="20"/>
        <v>0.94349999999999989</v>
      </c>
    </row>
    <row r="19" spans="5:38" x14ac:dyDescent="0.25">
      <c r="E19" s="233" t="s">
        <v>628</v>
      </c>
      <c r="F19" s="241">
        <v>1</v>
      </c>
      <c r="G19" s="241">
        <v>2</v>
      </c>
      <c r="H19" s="177">
        <v>1.1000000000000001</v>
      </c>
      <c r="I19" s="177">
        <v>0.9</v>
      </c>
      <c r="J19" s="164">
        <f>H19*I19</f>
        <v>0.9900000000000001</v>
      </c>
      <c r="K19" s="177">
        <f>G19*J19</f>
        <v>1.9800000000000002</v>
      </c>
      <c r="L19" s="177">
        <v>1.3</v>
      </c>
      <c r="M19" s="177">
        <f>(0.5*($R$3/$R$4))*(J19+K19)</f>
        <v>2.5768158974281352</v>
      </c>
      <c r="N19" s="177">
        <f>J19+K19+M19</f>
        <v>5.5468158974281359</v>
      </c>
      <c r="O19" s="177">
        <f>N19*F19</f>
        <v>5.5468158974281359</v>
      </c>
      <c r="AA19" s="247" t="s">
        <v>1161</v>
      </c>
      <c r="AB19" s="283">
        <f>AB17*AB18</f>
        <v>1.7696000000000003</v>
      </c>
      <c r="AC19" s="283">
        <f t="shared" ref="AC19:AF19" si="21">AC17*AC18</f>
        <v>1.7696000000000003</v>
      </c>
      <c r="AD19" s="283">
        <f t="shared" si="21"/>
        <v>1.7696000000000003</v>
      </c>
      <c r="AE19" s="283">
        <f t="shared" si="21"/>
        <v>1.7696000000000003</v>
      </c>
      <c r="AF19" s="283">
        <f t="shared" si="21"/>
        <v>1.7696000000000003</v>
      </c>
      <c r="AH19" s="244" t="s">
        <v>1156</v>
      </c>
      <c r="AI19" s="244">
        <v>3</v>
      </c>
      <c r="AJ19" s="244">
        <v>3</v>
      </c>
      <c r="AK19" s="244">
        <v>3</v>
      </c>
      <c r="AL19" s="244">
        <v>3</v>
      </c>
    </row>
    <row r="20" spans="5:38" x14ac:dyDescent="0.25">
      <c r="E20" s="49" t="s">
        <v>1079</v>
      </c>
      <c r="F20" s="241">
        <v>1</v>
      </c>
      <c r="G20" s="241">
        <v>2</v>
      </c>
      <c r="H20" s="177">
        <v>0.41</v>
      </c>
      <c r="I20" s="177">
        <v>0.52500000000000002</v>
      </c>
      <c r="J20" s="164">
        <f>H20*I20</f>
        <v>0.21525</v>
      </c>
      <c r="K20" s="177">
        <f>G20*J20</f>
        <v>0.43049999999999999</v>
      </c>
      <c r="L20" s="177">
        <v>1.18</v>
      </c>
      <c r="M20" s="177">
        <f>(0.5*($R$3/$R$4))*(J20+K20)</f>
        <v>0.56026224436505667</v>
      </c>
      <c r="N20" s="177">
        <f>J20+K20+M20</f>
        <v>1.2060122443650567</v>
      </c>
      <c r="O20" s="177">
        <f>N20*F20</f>
        <v>1.2060122443650567</v>
      </c>
      <c r="AA20" s="244" t="s">
        <v>1156</v>
      </c>
      <c r="AB20" s="244">
        <v>4</v>
      </c>
      <c r="AC20" s="244">
        <v>4</v>
      </c>
      <c r="AD20" s="244">
        <v>4</v>
      </c>
      <c r="AE20" s="244">
        <v>4</v>
      </c>
      <c r="AF20" s="244">
        <v>4</v>
      </c>
      <c r="AH20" s="244" t="s">
        <v>1172</v>
      </c>
      <c r="AI20" s="244">
        <v>6</v>
      </c>
      <c r="AJ20" s="244">
        <v>6</v>
      </c>
      <c r="AK20" s="244">
        <v>6</v>
      </c>
      <c r="AL20" s="244">
        <v>6</v>
      </c>
    </row>
    <row r="21" spans="5:38" x14ac:dyDescent="0.25">
      <c r="E21" s="233" t="s">
        <v>544</v>
      </c>
      <c r="F21" s="241">
        <v>1</v>
      </c>
      <c r="G21" s="241">
        <v>2</v>
      </c>
      <c r="H21" s="177">
        <v>0.6</v>
      </c>
      <c r="I21" s="177">
        <v>0.8</v>
      </c>
      <c r="J21" s="164">
        <f>H21*I21</f>
        <v>0.48</v>
      </c>
      <c r="K21" s="177">
        <f>G21*J21</f>
        <v>0.96</v>
      </c>
      <c r="L21" s="177">
        <v>1.2</v>
      </c>
      <c r="M21" s="177">
        <f>(0.5*($R$3/$R$4))*(J21+K21)</f>
        <v>1.2493652836015199</v>
      </c>
      <c r="N21" s="177">
        <f>J21+K21+M21</f>
        <v>2.6893652836015196</v>
      </c>
      <c r="O21" s="177">
        <f>N21*F21</f>
        <v>2.6893652836015196</v>
      </c>
      <c r="AA21" s="244" t="s">
        <v>1157</v>
      </c>
      <c r="AB21" s="244">
        <v>8</v>
      </c>
      <c r="AC21" s="244">
        <v>8</v>
      </c>
      <c r="AD21" s="244">
        <v>8</v>
      </c>
      <c r="AE21" s="244">
        <v>8</v>
      </c>
      <c r="AF21" s="244">
        <v>8</v>
      </c>
      <c r="AH21" s="244" t="s">
        <v>1160</v>
      </c>
      <c r="AI21" s="279">
        <f>ROUNDUP(AI12/AI20,0)</f>
        <v>3</v>
      </c>
      <c r="AJ21" s="279">
        <f t="shared" ref="AJ21:AL21" si="22">ROUNDUP(AJ12/AJ20,0)</f>
        <v>3</v>
      </c>
      <c r="AK21" s="279">
        <f t="shared" si="22"/>
        <v>3</v>
      </c>
      <c r="AL21" s="279">
        <f t="shared" si="22"/>
        <v>3</v>
      </c>
    </row>
    <row r="22" spans="5:38" ht="15" customHeight="1" x14ac:dyDescent="0.25">
      <c r="E22" s="233" t="s">
        <v>732</v>
      </c>
      <c r="F22" s="241">
        <v>10</v>
      </c>
      <c r="G22" s="241">
        <v>2</v>
      </c>
      <c r="H22" s="177">
        <v>0.34</v>
      </c>
      <c r="I22" s="177">
        <v>0.34</v>
      </c>
      <c r="J22" s="164">
        <f t="shared" ref="J22" si="23">H22*I22</f>
        <v>0.11560000000000002</v>
      </c>
      <c r="K22" s="177">
        <f>G22*J22</f>
        <v>0.23120000000000004</v>
      </c>
      <c r="L22" s="177">
        <v>0.38</v>
      </c>
      <c r="M22" s="177">
        <f t="shared" ref="M22" si="24">(0.5*($R$3/$R$4))*(J22+K22)</f>
        <v>0.30088880580069943</v>
      </c>
      <c r="N22" s="177">
        <f>J22+K22+M22</f>
        <v>0.64768880580069954</v>
      </c>
      <c r="O22" s="177">
        <f t="shared" ref="O22" si="25">N22*F22</f>
        <v>6.4768880580069954</v>
      </c>
      <c r="Q22" s="12" t="s">
        <v>734</v>
      </c>
      <c r="R22" s="12">
        <f>(J23*F23*L23)/(J23*F23)</f>
        <v>1.7</v>
      </c>
      <c r="S22" t="s">
        <v>736</v>
      </c>
      <c r="AA22" s="245" t="s">
        <v>1160</v>
      </c>
      <c r="AB22" s="282">
        <f>AB13/AB21</f>
        <v>4.6184210526315796</v>
      </c>
      <c r="AC22" s="282">
        <f>AC13/AC21</f>
        <v>6.0075109649122815</v>
      </c>
      <c r="AD22" s="282">
        <f>AD13/AD21</f>
        <v>6.0196271929824556</v>
      </c>
      <c r="AE22" s="282">
        <f>AE13/AE21</f>
        <v>5.212828947368422</v>
      </c>
      <c r="AF22" s="282">
        <f>AF13/AF21</f>
        <v>87.178684210526313</v>
      </c>
      <c r="AH22" s="247" t="s">
        <v>1162</v>
      </c>
      <c r="AI22" s="283">
        <f>AI21*AI18</f>
        <v>2.8304999999999998</v>
      </c>
      <c r="AJ22" s="283">
        <f t="shared" ref="AJ22:AL22" si="26">AJ21*AJ18</f>
        <v>2.8304999999999998</v>
      </c>
      <c r="AK22" s="283">
        <f t="shared" si="26"/>
        <v>2.8304999999999998</v>
      </c>
      <c r="AL22" s="283">
        <f t="shared" si="26"/>
        <v>2.8304999999999998</v>
      </c>
    </row>
    <row r="23" spans="5:38" x14ac:dyDescent="0.25">
      <c r="E23" s="233" t="s">
        <v>733</v>
      </c>
      <c r="F23" s="241">
        <v>5</v>
      </c>
      <c r="G23" s="241" t="s">
        <v>161</v>
      </c>
      <c r="H23" s="177" t="s">
        <v>161</v>
      </c>
      <c r="I23" s="177" t="s">
        <v>161</v>
      </c>
      <c r="J23" s="164">
        <v>0.5</v>
      </c>
      <c r="K23" s="177" t="s">
        <v>161</v>
      </c>
      <c r="L23" s="177">
        <v>1.7</v>
      </c>
      <c r="M23" s="177">
        <f>(0.5*($R$3/$R$4))*(J23)</f>
        <v>0.43380739013941666</v>
      </c>
      <c r="N23" s="177">
        <f>J23+M23</f>
        <v>0.9338073901394166</v>
      </c>
      <c r="O23" s="177">
        <f>N23*F23</f>
        <v>4.669036950697083</v>
      </c>
      <c r="Q23" s="12" t="s">
        <v>735</v>
      </c>
      <c r="R23" s="180">
        <f>SUMPRODUCT(J17:J22,F17:F22,L17:L22)/SUMPRODUCT(J17:J22,F17:F22)</f>
        <v>0.92333300475836277</v>
      </c>
      <c r="S23" t="s">
        <v>737</v>
      </c>
      <c r="AA23" s="247" t="s">
        <v>1162</v>
      </c>
      <c r="AB23" s="284">
        <f>AB19*AB22</f>
        <v>8.1727578947368453</v>
      </c>
      <c r="AC23" s="284">
        <f t="shared" ref="AC23:AF23" si="27">AC19*AC22</f>
        <v>10.630891403508775</v>
      </c>
      <c r="AD23" s="284">
        <f t="shared" si="27"/>
        <v>10.652332280701755</v>
      </c>
      <c r="AE23" s="284">
        <f t="shared" si="27"/>
        <v>9.2246221052631618</v>
      </c>
      <c r="AF23" s="284">
        <f t="shared" si="27"/>
        <v>154.27139957894738</v>
      </c>
      <c r="AH23" s="261"/>
      <c r="AI23" s="261"/>
      <c r="AJ23" s="496" t="s">
        <v>740</v>
      </c>
      <c r="AK23" s="497"/>
      <c r="AL23" s="182">
        <f>AI22+AJ22+AK22+AL22</f>
        <v>11.321999999999999</v>
      </c>
    </row>
    <row r="24" spans="5:38" x14ac:dyDescent="0.25">
      <c r="E24" s="31"/>
      <c r="F24" s="31"/>
      <c r="G24" s="31"/>
      <c r="H24" s="31"/>
      <c r="I24" s="31"/>
      <c r="J24" s="31"/>
      <c r="K24" s="31"/>
      <c r="L24" s="527" t="s">
        <v>740</v>
      </c>
      <c r="M24" s="527"/>
      <c r="N24" s="527"/>
      <c r="O24" s="182">
        <f>SUM(O17:O23)</f>
        <v>36.746721513071257</v>
      </c>
      <c r="Q24" s="12" t="s">
        <v>741</v>
      </c>
      <c r="R24" s="180">
        <f>0.5*(R22/R23)</f>
        <v>0.92057794492296507</v>
      </c>
      <c r="S24" t="s">
        <v>742</v>
      </c>
      <c r="AA24" s="31"/>
      <c r="AB24" s="31"/>
      <c r="AC24" s="527" t="s">
        <v>740</v>
      </c>
      <c r="AD24" s="527"/>
      <c r="AE24" s="527"/>
      <c r="AF24" s="182">
        <f>AB23+AC23+AD23+AE23+AF23</f>
        <v>192.95200326315791</v>
      </c>
    </row>
    <row r="26" spans="5:38" ht="15" customHeight="1" x14ac:dyDescent="0.25"/>
    <row r="27" spans="5:38" x14ac:dyDescent="0.25">
      <c r="E27" s="176" t="s">
        <v>1925</v>
      </c>
      <c r="F27" s="156"/>
      <c r="G27" s="156"/>
      <c r="H27" s="156"/>
      <c r="I27" s="156"/>
    </row>
    <row r="29" spans="5:38" x14ac:dyDescent="0.25">
      <c r="E29" s="507" t="s">
        <v>535</v>
      </c>
      <c r="F29" s="527" t="s">
        <v>69</v>
      </c>
      <c r="G29" s="527" t="s">
        <v>522</v>
      </c>
      <c r="H29" s="527" t="s">
        <v>536</v>
      </c>
      <c r="I29" s="527" t="s">
        <v>537</v>
      </c>
      <c r="J29" s="527" t="s">
        <v>523</v>
      </c>
      <c r="K29" s="527" t="s">
        <v>524</v>
      </c>
      <c r="L29" s="527" t="s">
        <v>538</v>
      </c>
      <c r="M29" s="527" t="s">
        <v>526</v>
      </c>
      <c r="N29" s="510" t="s">
        <v>738</v>
      </c>
      <c r="O29" s="510" t="s">
        <v>739</v>
      </c>
    </row>
    <row r="30" spans="5:38" x14ac:dyDescent="0.25">
      <c r="E30" s="509"/>
      <c r="F30" s="527"/>
      <c r="G30" s="527"/>
      <c r="H30" s="527"/>
      <c r="I30" s="527"/>
      <c r="J30" s="527"/>
      <c r="K30" s="527"/>
      <c r="L30" s="527"/>
      <c r="M30" s="527"/>
      <c r="N30" s="510"/>
      <c r="O30" s="510"/>
    </row>
    <row r="31" spans="5:38" x14ac:dyDescent="0.25">
      <c r="E31" s="233" t="s">
        <v>541</v>
      </c>
      <c r="F31" s="241">
        <v>1</v>
      </c>
      <c r="G31" s="241">
        <v>4</v>
      </c>
      <c r="H31" s="177">
        <v>0.52</v>
      </c>
      <c r="I31" s="177">
        <v>0.42</v>
      </c>
      <c r="J31" s="164">
        <f>H31*I31</f>
        <v>0.21840000000000001</v>
      </c>
      <c r="K31" s="177">
        <f>G31*J31</f>
        <v>0.87360000000000004</v>
      </c>
      <c r="L31" s="177">
        <v>1.5</v>
      </c>
      <c r="M31" s="177">
        <f t="shared" ref="M31:M33" si="28">(0.5*($R$3/$R$4))*(J31+K31)</f>
        <v>0.94743534006448604</v>
      </c>
      <c r="N31" s="177">
        <f>J31+K31+M31</f>
        <v>2.039435340064486</v>
      </c>
      <c r="O31" s="177">
        <f>N31*F31</f>
        <v>2.039435340064486</v>
      </c>
    </row>
    <row r="32" spans="5:38" x14ac:dyDescent="0.25">
      <c r="E32" s="233" t="s">
        <v>542</v>
      </c>
      <c r="F32" s="241">
        <v>4</v>
      </c>
      <c r="G32" s="241">
        <v>2</v>
      </c>
      <c r="H32" s="177">
        <v>0.9</v>
      </c>
      <c r="I32" s="177">
        <v>0.7</v>
      </c>
      <c r="J32" s="164">
        <f t="shared" ref="J32:J33" si="29">H32*I32</f>
        <v>0.63</v>
      </c>
      <c r="K32" s="177">
        <f t="shared" ref="K32:K33" si="30">G32*J32</f>
        <v>1.26</v>
      </c>
      <c r="L32" s="177">
        <v>0.9</v>
      </c>
      <c r="M32" s="177">
        <f t="shared" si="28"/>
        <v>1.6397919347269951</v>
      </c>
      <c r="N32" s="177">
        <f t="shared" ref="N32:N33" si="31">J32+K32+M32</f>
        <v>3.5297919347269953</v>
      </c>
      <c r="O32" s="177">
        <f t="shared" ref="O32:O33" si="32">N32*F32</f>
        <v>14.119167738907981</v>
      </c>
    </row>
    <row r="33" spans="5:19" x14ac:dyDescent="0.25">
      <c r="E33" s="233" t="s">
        <v>540</v>
      </c>
      <c r="F33" s="241">
        <v>1</v>
      </c>
      <c r="G33" s="241">
        <v>2</v>
      </c>
      <c r="H33" s="177">
        <v>1.5</v>
      </c>
      <c r="I33" s="177">
        <v>1</v>
      </c>
      <c r="J33" s="164">
        <f t="shared" si="29"/>
        <v>1.5</v>
      </c>
      <c r="K33" s="177">
        <f t="shared" si="30"/>
        <v>3</v>
      </c>
      <c r="L33" s="177">
        <v>1.5</v>
      </c>
      <c r="M33" s="177">
        <f t="shared" si="28"/>
        <v>3.9042665112547499</v>
      </c>
      <c r="N33" s="177">
        <f t="shared" si="31"/>
        <v>8.4042665112547503</v>
      </c>
      <c r="O33" s="177">
        <f t="shared" si="32"/>
        <v>8.4042665112547503</v>
      </c>
    </row>
    <row r="34" spans="5:19" x14ac:dyDescent="0.25">
      <c r="E34" s="233" t="s">
        <v>732</v>
      </c>
      <c r="F34" s="241">
        <v>10</v>
      </c>
      <c r="G34" s="241">
        <v>2</v>
      </c>
      <c r="H34" s="177">
        <v>0.34</v>
      </c>
      <c r="I34" s="177">
        <v>0.34</v>
      </c>
      <c r="J34" s="164">
        <f>H34*I34</f>
        <v>0.11560000000000002</v>
      </c>
      <c r="K34" s="177">
        <f>G34*J34</f>
        <v>0.23120000000000004</v>
      </c>
      <c r="L34" s="177">
        <v>0.38</v>
      </c>
      <c r="M34" s="177">
        <f>(0.5*($R$3/$R$4))*(J34+K34)</f>
        <v>0.30088880580069943</v>
      </c>
      <c r="N34" s="177">
        <f>J34+K34+M34</f>
        <v>0.64768880580069954</v>
      </c>
      <c r="O34" s="177">
        <f>N34*F34</f>
        <v>6.4768880580069954</v>
      </c>
    </row>
    <row r="35" spans="5:19" x14ac:dyDescent="0.25">
      <c r="E35" s="233" t="s">
        <v>733</v>
      </c>
      <c r="F35" s="241">
        <v>7</v>
      </c>
      <c r="G35" s="241" t="s">
        <v>161</v>
      </c>
      <c r="H35" s="177" t="s">
        <v>161</v>
      </c>
      <c r="I35" s="177" t="s">
        <v>161</v>
      </c>
      <c r="J35" s="164">
        <v>0.5</v>
      </c>
      <c r="K35" s="177" t="s">
        <v>161</v>
      </c>
      <c r="L35" s="177">
        <v>1.7</v>
      </c>
      <c r="M35" s="177">
        <f>(0.5*($R$3/$R$4))*(J35)</f>
        <v>0.43380739013941666</v>
      </c>
      <c r="N35" s="177">
        <f>J35+M35</f>
        <v>0.9338073901394166</v>
      </c>
      <c r="O35" s="177">
        <f>N35*F35</f>
        <v>6.5366517309759162</v>
      </c>
    </row>
    <row r="36" spans="5:19" x14ac:dyDescent="0.25">
      <c r="E36" s="31"/>
      <c r="F36" s="31"/>
      <c r="G36" s="31"/>
      <c r="H36" s="31"/>
      <c r="I36" s="31"/>
      <c r="J36" s="31"/>
      <c r="K36" s="31"/>
      <c r="L36" s="527" t="s">
        <v>740</v>
      </c>
      <c r="M36" s="527"/>
      <c r="N36" s="527"/>
      <c r="O36" s="182">
        <f>SUM(O31:O35)</f>
        <v>37.576409379210133</v>
      </c>
    </row>
    <row r="39" spans="5:19" x14ac:dyDescent="0.25">
      <c r="E39" s="176" t="s">
        <v>1927</v>
      </c>
      <c r="F39" s="156"/>
      <c r="G39" s="156"/>
      <c r="H39" s="156"/>
      <c r="I39" s="156"/>
    </row>
    <row r="41" spans="5:19" x14ac:dyDescent="0.25">
      <c r="E41" s="527" t="s">
        <v>535</v>
      </c>
      <c r="F41" s="527" t="s">
        <v>69</v>
      </c>
      <c r="G41" s="527" t="s">
        <v>522</v>
      </c>
      <c r="H41" s="527" t="s">
        <v>536</v>
      </c>
      <c r="I41" s="527" t="s">
        <v>537</v>
      </c>
      <c r="J41" s="527" t="s">
        <v>523</v>
      </c>
      <c r="K41" s="527" t="s">
        <v>524</v>
      </c>
      <c r="L41" s="527" t="s">
        <v>538</v>
      </c>
      <c r="M41" s="527" t="s">
        <v>526</v>
      </c>
      <c r="N41" s="510" t="s">
        <v>738</v>
      </c>
      <c r="O41" s="510" t="s">
        <v>739</v>
      </c>
      <c r="Q41" s="12" t="s">
        <v>734</v>
      </c>
      <c r="R41" s="12">
        <f>(J35*F35*L35)/(J35*F35)</f>
        <v>1.7</v>
      </c>
      <c r="S41" t="s">
        <v>736</v>
      </c>
    </row>
    <row r="42" spans="5:19" x14ac:dyDescent="0.25">
      <c r="E42" s="527"/>
      <c r="F42" s="527"/>
      <c r="G42" s="527"/>
      <c r="H42" s="527"/>
      <c r="I42" s="527"/>
      <c r="J42" s="527"/>
      <c r="K42" s="527"/>
      <c r="L42" s="527"/>
      <c r="M42" s="527"/>
      <c r="N42" s="510"/>
      <c r="O42" s="510"/>
      <c r="Q42" s="12" t="s">
        <v>735</v>
      </c>
      <c r="R42" s="180">
        <f>SUMPRODUCT(J31:J34,F31:F34,L31:L34)/SUMPRODUCT(J31:J34,F31:F34)</f>
        <v>0.97969746403677871</v>
      </c>
      <c r="S42" t="s">
        <v>737</v>
      </c>
    </row>
    <row r="43" spans="5:19" x14ac:dyDescent="0.25">
      <c r="E43" s="233" t="s">
        <v>541</v>
      </c>
      <c r="F43" s="241">
        <v>1</v>
      </c>
      <c r="G43" s="241">
        <v>4</v>
      </c>
      <c r="H43" s="177">
        <v>0.52</v>
      </c>
      <c r="I43" s="177">
        <v>0.42</v>
      </c>
      <c r="J43" s="164">
        <f>H43*I43</f>
        <v>0.21840000000000001</v>
      </c>
      <c r="K43" s="177">
        <f>G43*J43</f>
        <v>0.87360000000000004</v>
      </c>
      <c r="L43" s="177">
        <v>1.5</v>
      </c>
      <c r="M43" s="177">
        <f t="shared" ref="M43:M44" si="33">(0.5*($R$3/$R$4))*(J43+K43)</f>
        <v>0.94743534006448604</v>
      </c>
      <c r="N43" s="177">
        <f>J43+K43+M43</f>
        <v>2.039435340064486</v>
      </c>
      <c r="O43" s="177">
        <f>N43*F43</f>
        <v>2.039435340064486</v>
      </c>
      <c r="Q43" s="12" t="s">
        <v>741</v>
      </c>
      <c r="R43" s="180">
        <f>0.5*(R41/R42)</f>
        <v>0.86761478027883332</v>
      </c>
      <c r="S43" t="s">
        <v>742</v>
      </c>
    </row>
    <row r="44" spans="5:19" x14ac:dyDescent="0.25">
      <c r="E44" s="233" t="s">
        <v>542</v>
      </c>
      <c r="F44" s="241">
        <v>4</v>
      </c>
      <c r="G44" s="241">
        <v>2</v>
      </c>
      <c r="H44" s="177">
        <v>0.9</v>
      </c>
      <c r="I44" s="177">
        <v>0.7</v>
      </c>
      <c r="J44" s="164">
        <f t="shared" ref="J44" si="34">H44*I44</f>
        <v>0.63</v>
      </c>
      <c r="K44" s="177">
        <f t="shared" ref="K44" si="35">G44*J44</f>
        <v>1.26</v>
      </c>
      <c r="L44" s="177">
        <v>0.9</v>
      </c>
      <c r="M44" s="177">
        <f t="shared" si="33"/>
        <v>1.6397919347269951</v>
      </c>
      <c r="N44" s="177">
        <f t="shared" ref="N44" si="36">J44+K44+M44</f>
        <v>3.5297919347269953</v>
      </c>
      <c r="O44" s="177">
        <f t="shared" ref="O44" si="37">N44*F44</f>
        <v>14.119167738907981</v>
      </c>
    </row>
    <row r="45" spans="5:19" x14ac:dyDescent="0.25">
      <c r="E45" s="233" t="s">
        <v>586</v>
      </c>
      <c r="F45" s="241">
        <v>1</v>
      </c>
      <c r="G45" s="241">
        <v>2</v>
      </c>
      <c r="H45" s="177">
        <v>1</v>
      </c>
      <c r="I45" s="177">
        <v>2.4</v>
      </c>
      <c r="J45" s="164">
        <f>H45*I45</f>
        <v>2.4</v>
      </c>
      <c r="K45" s="177">
        <f>G45*J45</f>
        <v>4.8</v>
      </c>
      <c r="L45" s="177">
        <v>2</v>
      </c>
      <c r="M45" s="177">
        <f>(0.5*($R$3/$R$4))*(J45+K45)</f>
        <v>6.2468264180075996</v>
      </c>
      <c r="N45" s="177">
        <f>J45+K45+M45</f>
        <v>13.4468264180076</v>
      </c>
      <c r="O45" s="177">
        <f>N45*F45</f>
        <v>13.4468264180076</v>
      </c>
    </row>
    <row r="46" spans="5:19" x14ac:dyDescent="0.25">
      <c r="E46" s="233" t="s">
        <v>732</v>
      </c>
      <c r="F46" s="241">
        <v>10</v>
      </c>
      <c r="G46" s="241">
        <v>2</v>
      </c>
      <c r="H46" s="177">
        <v>0.34</v>
      </c>
      <c r="I46" s="177">
        <v>0.34</v>
      </c>
      <c r="J46" s="164">
        <f t="shared" ref="J46" si="38">H46*I46</f>
        <v>0.11560000000000002</v>
      </c>
      <c r="K46" s="177">
        <f>G46*J46</f>
        <v>0.23120000000000004</v>
      </c>
      <c r="L46" s="177">
        <v>0.38</v>
      </c>
      <c r="M46" s="177">
        <f t="shared" ref="M46" si="39">(0.5*($R$3/$R$4))*(J46+K46)</f>
        <v>0.30088880580069943</v>
      </c>
      <c r="N46" s="177">
        <f>J46+K46+M46</f>
        <v>0.64768880580069954</v>
      </c>
      <c r="O46" s="177">
        <f t="shared" ref="O46" si="40">N46*F46</f>
        <v>6.4768880580069954</v>
      </c>
    </row>
    <row r="47" spans="5:19" x14ac:dyDescent="0.25">
      <c r="E47" s="233" t="s">
        <v>733</v>
      </c>
      <c r="F47" s="241">
        <v>2</v>
      </c>
      <c r="G47" s="241" t="s">
        <v>161</v>
      </c>
      <c r="H47" s="177" t="s">
        <v>161</v>
      </c>
      <c r="I47" s="177" t="s">
        <v>161</v>
      </c>
      <c r="J47" s="164">
        <v>0.5</v>
      </c>
      <c r="K47" s="177" t="s">
        <v>161</v>
      </c>
      <c r="L47" s="177">
        <v>1.7</v>
      </c>
      <c r="M47" s="177">
        <f>(0.5*($R$3/$R$4))*(J47)</f>
        <v>0.43380739013941666</v>
      </c>
      <c r="N47" s="177">
        <f>J47+M47</f>
        <v>0.9338073901394166</v>
      </c>
      <c r="O47" s="177">
        <f>N47*F47</f>
        <v>1.8676147802788332</v>
      </c>
    </row>
    <row r="48" spans="5:19" x14ac:dyDescent="0.25">
      <c r="E48" s="31"/>
      <c r="F48" s="31"/>
      <c r="G48" s="31"/>
      <c r="H48" s="31"/>
      <c r="I48" s="31"/>
      <c r="J48" s="31"/>
      <c r="K48" s="31"/>
      <c r="L48" s="527" t="s">
        <v>740</v>
      </c>
      <c r="M48" s="527"/>
      <c r="N48" s="527"/>
      <c r="O48" s="182">
        <f>SUM(O43:O47)</f>
        <v>37.949932335265899</v>
      </c>
    </row>
    <row r="51" spans="5:19" x14ac:dyDescent="0.25">
      <c r="E51" s="176" t="s">
        <v>1928</v>
      </c>
      <c r="F51" s="156"/>
      <c r="G51" s="156"/>
      <c r="H51" s="156"/>
      <c r="I51" s="156"/>
    </row>
    <row r="53" spans="5:19" x14ac:dyDescent="0.25">
      <c r="E53" s="527" t="s">
        <v>535</v>
      </c>
      <c r="F53" s="527" t="s">
        <v>69</v>
      </c>
      <c r="G53" s="527" t="s">
        <v>522</v>
      </c>
      <c r="H53" s="527" t="s">
        <v>536</v>
      </c>
      <c r="I53" s="527" t="s">
        <v>537</v>
      </c>
      <c r="J53" s="527" t="s">
        <v>523</v>
      </c>
      <c r="K53" s="527" t="s">
        <v>524</v>
      </c>
      <c r="L53" s="527" t="s">
        <v>538</v>
      </c>
      <c r="M53" s="527" t="s">
        <v>526</v>
      </c>
      <c r="N53" s="510" t="s">
        <v>738</v>
      </c>
      <c r="O53" s="510" t="s">
        <v>739</v>
      </c>
    </row>
    <row r="54" spans="5:19" x14ac:dyDescent="0.25">
      <c r="E54" s="527"/>
      <c r="F54" s="527"/>
      <c r="G54" s="527"/>
      <c r="H54" s="527"/>
      <c r="I54" s="527"/>
      <c r="J54" s="527"/>
      <c r="K54" s="527"/>
      <c r="L54" s="527"/>
      <c r="M54" s="527"/>
      <c r="N54" s="510"/>
      <c r="O54" s="510"/>
    </row>
    <row r="55" spans="5:19" x14ac:dyDescent="0.25">
      <c r="E55" s="189" t="s">
        <v>755</v>
      </c>
      <c r="F55" s="191">
        <v>2</v>
      </c>
      <c r="G55" s="191">
        <v>2</v>
      </c>
      <c r="H55" s="177">
        <v>0.5</v>
      </c>
      <c r="I55" s="177">
        <v>0.36</v>
      </c>
      <c r="J55" s="164">
        <f>H55*I55</f>
        <v>0.18</v>
      </c>
      <c r="K55" s="177">
        <f>G55*J55</f>
        <v>0.36</v>
      </c>
      <c r="L55" s="177">
        <v>0.255</v>
      </c>
      <c r="M55" s="177">
        <f>(0.5*($R$78/$R$79))*(J55+K55)</f>
        <v>0.56018306636155601</v>
      </c>
      <c r="N55" s="177">
        <f>J55+K55+M55</f>
        <v>1.1001830663615562</v>
      </c>
      <c r="O55" s="177">
        <f>F55*N55</f>
        <v>2.2003661327231123</v>
      </c>
    </row>
    <row r="56" spans="5:19" x14ac:dyDescent="0.25">
      <c r="E56" s="189" t="s">
        <v>542</v>
      </c>
      <c r="F56" s="191">
        <v>4</v>
      </c>
      <c r="G56" s="191">
        <v>2</v>
      </c>
      <c r="H56" s="177">
        <v>0.9</v>
      </c>
      <c r="I56" s="177">
        <v>0.7</v>
      </c>
      <c r="J56" s="164">
        <f>H56*I56</f>
        <v>0.63</v>
      </c>
      <c r="K56" s="177">
        <f>G56*J56</f>
        <v>1.26</v>
      </c>
      <c r="L56" s="177">
        <v>0.9</v>
      </c>
      <c r="M56" s="177">
        <f>(0.5*($R$78/$R$79))*(J56+K56)</f>
        <v>1.960640732265446</v>
      </c>
      <c r="N56" s="177">
        <f>J56+K56+M56</f>
        <v>3.8506407322654459</v>
      </c>
      <c r="O56" s="177">
        <f>F56*N56</f>
        <v>15.402562929061784</v>
      </c>
    </row>
    <row r="57" spans="5:19" x14ac:dyDescent="0.25">
      <c r="E57" s="189" t="s">
        <v>733</v>
      </c>
      <c r="F57" s="191">
        <v>2</v>
      </c>
      <c r="G57" s="191" t="s">
        <v>161</v>
      </c>
      <c r="H57" s="177" t="s">
        <v>161</v>
      </c>
      <c r="I57" s="177" t="s">
        <v>161</v>
      </c>
      <c r="J57" s="164">
        <v>0.5</v>
      </c>
      <c r="K57" s="177" t="s">
        <v>161</v>
      </c>
      <c r="L57" s="177">
        <v>1.7</v>
      </c>
      <c r="M57" s="177">
        <f>(0.5*($R$78/$R$79))*(J57)</f>
        <v>0.51868802440884809</v>
      </c>
      <c r="N57" s="177">
        <f>J57+M57</f>
        <v>1.0186880244088481</v>
      </c>
      <c r="O57" s="177">
        <f>F57*N57</f>
        <v>2.0373760488176962</v>
      </c>
    </row>
    <row r="58" spans="5:19" x14ac:dyDescent="0.25">
      <c r="E58" s="31"/>
      <c r="F58" s="31"/>
      <c r="G58" s="31"/>
      <c r="H58" s="31"/>
      <c r="I58" s="31"/>
      <c r="J58" s="31"/>
      <c r="K58" s="31"/>
      <c r="L58" s="527" t="s">
        <v>740</v>
      </c>
      <c r="M58" s="527"/>
      <c r="N58" s="527"/>
      <c r="O58" s="182">
        <f>SUM(O55:O57)</f>
        <v>19.64030511060259</v>
      </c>
    </row>
    <row r="60" spans="5:19" x14ac:dyDescent="0.25">
      <c r="Q60" s="12" t="s">
        <v>734</v>
      </c>
      <c r="R60" s="12">
        <f>(J47*F47*L47)/(J47*F47)</f>
        <v>1.7</v>
      </c>
      <c r="S60" t="s">
        <v>736</v>
      </c>
    </row>
    <row r="61" spans="5:19" x14ac:dyDescent="0.25">
      <c r="Q61" s="12" t="s">
        <v>735</v>
      </c>
      <c r="R61" s="180">
        <f>SUMPRODUCT(J43:J46,F43:F46,L43:L46)/SUMPRODUCT(J43:J46,F43:F46)</f>
        <v>1.2447381799694968</v>
      </c>
      <c r="S61" t="s">
        <v>737</v>
      </c>
    </row>
    <row r="62" spans="5:19" x14ac:dyDescent="0.25">
      <c r="Q62" s="12" t="s">
        <v>741</v>
      </c>
      <c r="R62" s="180">
        <f>0.5*(R60/R61)</f>
        <v>0.6828745303055056</v>
      </c>
      <c r="S62" t="s">
        <v>742</v>
      </c>
    </row>
    <row r="74" spans="17:75" x14ac:dyDescent="0.25"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</row>
    <row r="75" spans="17:75" x14ac:dyDescent="0.25"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</row>
    <row r="76" spans="17:75" x14ac:dyDescent="0.25"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</row>
    <row r="77" spans="17:75" x14ac:dyDescent="0.25">
      <c r="AQ77" s="31"/>
      <c r="AR77" s="31"/>
      <c r="AS77" s="31"/>
      <c r="AT77" s="31"/>
      <c r="AU77" s="31"/>
      <c r="AV77" s="586"/>
      <c r="AW77" s="587"/>
      <c r="AX77" s="587"/>
      <c r="AY77" s="587"/>
      <c r="AZ77" s="587"/>
      <c r="BA77" s="587"/>
      <c r="BB77" s="587"/>
      <c r="BC77" s="587"/>
      <c r="BD77" s="587"/>
      <c r="BE77" s="587"/>
      <c r="BF77" s="587"/>
      <c r="BG77" s="587"/>
      <c r="BH77" s="587"/>
      <c r="BI77" s="588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</row>
    <row r="78" spans="17:75" x14ac:dyDescent="0.25">
      <c r="Q78" s="12" t="s">
        <v>734</v>
      </c>
      <c r="R78" s="12">
        <f>(F57*J57*L57)/(J57*F57)</f>
        <v>1.7</v>
      </c>
      <c r="S78" t="s">
        <v>736</v>
      </c>
      <c r="AQ78" s="31"/>
      <c r="AR78" s="31"/>
      <c r="AS78" s="31"/>
      <c r="AT78" s="31"/>
      <c r="AU78" s="31"/>
      <c r="AV78" s="589"/>
      <c r="AW78" s="590"/>
      <c r="AX78" s="590"/>
      <c r="AY78" s="590"/>
      <c r="AZ78" s="590"/>
      <c r="BA78" s="590"/>
      <c r="BB78" s="590"/>
      <c r="BC78" s="590"/>
      <c r="BD78" s="590"/>
      <c r="BE78" s="590"/>
      <c r="BF78" s="590"/>
      <c r="BG78" s="590"/>
      <c r="BH78" s="590"/>
      <c r="BI78" s="59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</row>
    <row r="79" spans="17:75" x14ac:dyDescent="0.25">
      <c r="Q79" s="12" t="s">
        <v>735</v>
      </c>
      <c r="R79" s="180">
        <f>SUMPRODUCT(J55:J56,F55:F56,L55:L56)/SUMPRODUCT(J55:J56,F55:F56)</f>
        <v>0.81937500000000019</v>
      </c>
      <c r="S79" t="s">
        <v>737</v>
      </c>
      <c r="AQ79" s="31"/>
      <c r="AR79" s="31"/>
      <c r="AS79" s="31"/>
      <c r="AT79" s="31"/>
      <c r="AU79" s="31"/>
      <c r="AV79" s="589"/>
      <c r="AW79" s="590"/>
      <c r="AX79" s="590"/>
      <c r="AY79" s="590"/>
      <c r="AZ79" s="590"/>
      <c r="BA79" s="590"/>
      <c r="BB79" s="590"/>
      <c r="BC79" s="590"/>
      <c r="BD79" s="590"/>
      <c r="BE79" s="590"/>
      <c r="BF79" s="590"/>
      <c r="BG79" s="590"/>
      <c r="BH79" s="590"/>
      <c r="BI79" s="59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</row>
    <row r="80" spans="17:75" x14ac:dyDescent="0.25">
      <c r="Q80" s="12" t="s">
        <v>741</v>
      </c>
      <c r="R80" s="180">
        <f>0.5*(R78/R79)</f>
        <v>1.0373760488176962</v>
      </c>
      <c r="S80" t="s">
        <v>742</v>
      </c>
      <c r="AQ80" s="31"/>
      <c r="AR80" s="31"/>
      <c r="AS80" s="31"/>
      <c r="AT80" s="31"/>
      <c r="AU80" s="31"/>
      <c r="AV80" s="592"/>
      <c r="AW80" s="593"/>
      <c r="AX80" s="593"/>
      <c r="AY80" s="593"/>
      <c r="AZ80" s="593"/>
      <c r="BA80" s="593"/>
      <c r="BB80" s="593"/>
      <c r="BC80" s="593"/>
      <c r="BD80" s="593"/>
      <c r="BE80" s="593"/>
      <c r="BF80" s="593"/>
      <c r="BG80" s="593"/>
      <c r="BH80" s="593"/>
      <c r="BI80" s="594"/>
      <c r="BJ80" s="31"/>
      <c r="BK80" s="31"/>
      <c r="BL80" s="586"/>
      <c r="BM80" s="587"/>
      <c r="BN80" s="587"/>
      <c r="BO80" s="588"/>
      <c r="BP80" s="31"/>
      <c r="BQ80" s="31"/>
      <c r="BR80" s="31"/>
      <c r="BS80" s="31"/>
      <c r="BT80" s="31"/>
      <c r="BU80" s="31"/>
      <c r="BV80" s="31"/>
      <c r="BW80" s="31"/>
    </row>
    <row r="81" spans="43:75" x14ac:dyDescent="0.25">
      <c r="AQ81" s="31"/>
      <c r="AR81" s="31"/>
      <c r="AS81" s="31"/>
      <c r="AT81" s="31"/>
      <c r="AU81" s="31"/>
      <c r="AV81" s="595"/>
      <c r="AW81" s="596"/>
      <c r="AX81" s="596"/>
      <c r="AY81" s="596"/>
      <c r="AZ81" s="596"/>
      <c r="BA81" s="596"/>
      <c r="BB81" s="596"/>
      <c r="BC81" s="596"/>
      <c r="BD81" s="596"/>
      <c r="BE81" s="596"/>
      <c r="BF81" s="596"/>
      <c r="BG81" s="596"/>
      <c r="BH81" s="596"/>
      <c r="BI81" s="596"/>
      <c r="BJ81" s="596"/>
      <c r="BK81" s="596"/>
      <c r="BL81" s="589"/>
      <c r="BM81" s="590"/>
      <c r="BN81" s="590"/>
      <c r="BO81" s="591"/>
      <c r="BP81" s="31"/>
      <c r="BQ81" s="31"/>
      <c r="BR81" s="31"/>
      <c r="BS81" s="31"/>
      <c r="BT81" s="31"/>
      <c r="BU81" s="31"/>
      <c r="BV81" s="31"/>
      <c r="BW81" s="31"/>
    </row>
    <row r="82" spans="43:75" x14ac:dyDescent="0.25">
      <c r="AQ82" s="31"/>
      <c r="AR82" s="31"/>
      <c r="AS82" s="31"/>
      <c r="AT82" s="31"/>
      <c r="AU82" s="31"/>
      <c r="AV82" s="597"/>
      <c r="AW82" s="598"/>
      <c r="AX82" s="598"/>
      <c r="AY82" s="598"/>
      <c r="AZ82" s="598"/>
      <c r="BA82" s="598"/>
      <c r="BB82" s="598"/>
      <c r="BC82" s="598"/>
      <c r="BD82" s="598"/>
      <c r="BE82" s="598"/>
      <c r="BF82" s="598"/>
      <c r="BG82" s="598"/>
      <c r="BH82" s="598"/>
      <c r="BI82" s="598"/>
      <c r="BJ82" s="598"/>
      <c r="BK82" s="598"/>
      <c r="BL82" s="589"/>
      <c r="BM82" s="590"/>
      <c r="BN82" s="590"/>
      <c r="BO82" s="591"/>
      <c r="BP82" s="31"/>
      <c r="BQ82" s="31"/>
      <c r="BR82" s="31"/>
      <c r="BS82" s="31"/>
      <c r="BT82" s="31"/>
      <c r="BU82" s="31"/>
      <c r="BV82" s="31"/>
      <c r="BW82" s="31"/>
    </row>
    <row r="83" spans="43:75" x14ac:dyDescent="0.25">
      <c r="AQ83" s="31"/>
      <c r="AR83" s="31"/>
      <c r="AS83" s="31"/>
      <c r="AT83" s="31"/>
      <c r="AU83" s="31"/>
      <c r="AV83" s="597"/>
      <c r="AW83" s="598"/>
      <c r="AX83" s="598"/>
      <c r="AY83" s="598"/>
      <c r="AZ83" s="598"/>
      <c r="BA83" s="598"/>
      <c r="BB83" s="598"/>
      <c r="BC83" s="598"/>
      <c r="BD83" s="598"/>
      <c r="BE83" s="598"/>
      <c r="BF83" s="598"/>
      <c r="BG83" s="598"/>
      <c r="BH83" s="598"/>
      <c r="BI83" s="598"/>
      <c r="BJ83" s="598"/>
      <c r="BK83" s="598"/>
      <c r="BL83" s="589"/>
      <c r="BM83" s="590"/>
      <c r="BN83" s="590"/>
      <c r="BO83" s="591"/>
      <c r="BP83" s="31"/>
      <c r="BQ83" s="31"/>
      <c r="BR83" s="31"/>
      <c r="BS83" s="31"/>
      <c r="BT83" s="31"/>
      <c r="BU83" s="31"/>
      <c r="BV83" s="31"/>
      <c r="BW83" s="31"/>
    </row>
    <row r="84" spans="43:75" x14ac:dyDescent="0.25">
      <c r="AQ84" s="31"/>
      <c r="AR84" s="31"/>
      <c r="AS84" s="31"/>
      <c r="AT84" s="31"/>
      <c r="AU84" s="31"/>
      <c r="AV84" s="597"/>
      <c r="AW84" s="598"/>
      <c r="AX84" s="598"/>
      <c r="AY84" s="598"/>
      <c r="AZ84" s="598"/>
      <c r="BA84" s="598"/>
      <c r="BB84" s="598"/>
      <c r="BC84" s="598"/>
      <c r="BD84" s="598"/>
      <c r="BE84" s="598"/>
      <c r="BF84" s="598"/>
      <c r="BG84" s="598"/>
      <c r="BH84" s="598"/>
      <c r="BI84" s="598"/>
      <c r="BJ84" s="598"/>
      <c r="BK84" s="598"/>
      <c r="BL84" s="441"/>
      <c r="BM84" s="442"/>
      <c r="BN84" s="442"/>
      <c r="BO84" s="442"/>
      <c r="BP84" s="442"/>
      <c r="BQ84" s="442"/>
      <c r="BR84" s="443"/>
      <c r="BS84" s="439"/>
      <c r="BT84" s="31"/>
      <c r="BU84" s="31"/>
      <c r="BV84" s="31"/>
      <c r="BW84" s="31"/>
    </row>
    <row r="85" spans="43:75" x14ac:dyDescent="0.25">
      <c r="AQ85" s="31"/>
      <c r="AR85" s="595"/>
      <c r="AS85" s="596"/>
      <c r="AT85" s="596"/>
      <c r="AU85" s="603"/>
      <c r="AV85" s="597"/>
      <c r="AW85" s="598"/>
      <c r="AX85" s="598"/>
      <c r="AY85" s="598"/>
      <c r="AZ85" s="598"/>
      <c r="BA85" s="598"/>
      <c r="BB85" s="598"/>
      <c r="BC85" s="598"/>
      <c r="BD85" s="598"/>
      <c r="BE85" s="598"/>
      <c r="BF85" s="598"/>
      <c r="BG85" s="598"/>
      <c r="BH85" s="598"/>
      <c r="BI85" s="598"/>
      <c r="BJ85" s="598"/>
      <c r="BK85" s="598"/>
      <c r="BL85" s="444"/>
      <c r="BM85" s="440"/>
      <c r="BN85" s="440"/>
      <c r="BO85" s="440"/>
      <c r="BP85" s="440"/>
      <c r="BQ85" s="440"/>
      <c r="BR85" s="445"/>
      <c r="BS85" s="440"/>
      <c r="BT85" s="31"/>
      <c r="BU85" s="31"/>
      <c r="BV85" s="31"/>
      <c r="BW85" s="31"/>
    </row>
    <row r="86" spans="43:75" x14ac:dyDescent="0.25">
      <c r="AQ86" s="31"/>
      <c r="AR86" s="597"/>
      <c r="AS86" s="598"/>
      <c r="AT86" s="598"/>
      <c r="AU86" s="599"/>
      <c r="AV86" s="597"/>
      <c r="AW86" s="598"/>
      <c r="AX86" s="598"/>
      <c r="AY86" s="598"/>
      <c r="AZ86" s="598"/>
      <c r="BA86" s="598"/>
      <c r="BB86" s="598"/>
      <c r="BC86" s="598"/>
      <c r="BD86" s="598"/>
      <c r="BE86" s="598"/>
      <c r="BF86" s="598"/>
      <c r="BG86" s="598"/>
      <c r="BH86" s="598"/>
      <c r="BI86" s="598"/>
      <c r="BJ86" s="598"/>
      <c r="BK86" s="598"/>
      <c r="BL86" s="444"/>
      <c r="BM86" s="440"/>
      <c r="BN86" s="440"/>
      <c r="BO86" s="440"/>
      <c r="BP86" s="440"/>
      <c r="BQ86" s="440"/>
      <c r="BR86" s="445"/>
      <c r="BS86" s="440"/>
      <c r="BT86" s="31"/>
      <c r="BU86" s="31"/>
      <c r="BV86" s="31"/>
      <c r="BW86" s="31"/>
    </row>
    <row r="87" spans="43:75" x14ac:dyDescent="0.25">
      <c r="AQ87" s="31"/>
      <c r="AR87" s="597"/>
      <c r="AS87" s="598"/>
      <c r="AT87" s="598"/>
      <c r="AU87" s="599"/>
      <c r="AV87" s="597"/>
      <c r="AW87" s="598"/>
      <c r="AX87" s="598"/>
      <c r="AY87" s="598"/>
      <c r="AZ87" s="598"/>
      <c r="BA87" s="598"/>
      <c r="BB87" s="598"/>
      <c r="BC87" s="598"/>
      <c r="BD87" s="598"/>
      <c r="BE87" s="598"/>
      <c r="BF87" s="598"/>
      <c r="BG87" s="598"/>
      <c r="BH87" s="598"/>
      <c r="BI87" s="598"/>
      <c r="BJ87" s="598"/>
      <c r="BK87" s="598"/>
      <c r="BL87" s="444"/>
      <c r="BM87" s="440"/>
      <c r="BN87" s="440"/>
      <c r="BO87" s="440"/>
      <c r="BP87" s="440"/>
      <c r="BQ87" s="440"/>
      <c r="BR87" s="445"/>
      <c r="BS87" s="440"/>
      <c r="BT87" s="31"/>
      <c r="BU87" s="31"/>
      <c r="BV87" s="31"/>
      <c r="BW87" s="31"/>
    </row>
    <row r="88" spans="43:75" x14ac:dyDescent="0.25">
      <c r="AQ88" s="31"/>
      <c r="AR88" s="597"/>
      <c r="AS88" s="598"/>
      <c r="AT88" s="598"/>
      <c r="AU88" s="599"/>
      <c r="AV88" s="597"/>
      <c r="AW88" s="598"/>
      <c r="AX88" s="598"/>
      <c r="AY88" s="598"/>
      <c r="AZ88" s="598"/>
      <c r="BA88" s="598"/>
      <c r="BB88" s="598"/>
      <c r="BC88" s="598"/>
      <c r="BD88" s="598"/>
      <c r="BE88" s="598"/>
      <c r="BF88" s="598"/>
      <c r="BG88" s="598"/>
      <c r="BH88" s="598"/>
      <c r="BI88" s="598"/>
      <c r="BJ88" s="598"/>
      <c r="BK88" s="598"/>
      <c r="BL88" s="444"/>
      <c r="BM88" s="440"/>
      <c r="BN88" s="440"/>
      <c r="BO88" s="440"/>
      <c r="BP88" s="440"/>
      <c r="BQ88" s="440"/>
      <c r="BR88" s="445"/>
      <c r="BS88" s="440"/>
      <c r="BT88" s="31"/>
      <c r="BU88" s="31"/>
      <c r="BV88" s="31"/>
      <c r="BW88" s="31"/>
    </row>
    <row r="89" spans="43:75" x14ac:dyDescent="0.25">
      <c r="AQ89" s="31"/>
      <c r="AR89" s="597"/>
      <c r="AS89" s="598"/>
      <c r="AT89" s="598"/>
      <c r="AU89" s="599"/>
      <c r="AV89" s="597"/>
      <c r="AW89" s="598"/>
      <c r="AX89" s="598"/>
      <c r="AY89" s="598"/>
      <c r="AZ89" s="598"/>
      <c r="BA89" s="598"/>
      <c r="BB89" s="598"/>
      <c r="BC89" s="598"/>
      <c r="BD89" s="598"/>
      <c r="BE89" s="598"/>
      <c r="BF89" s="598"/>
      <c r="BG89" s="598"/>
      <c r="BH89" s="598"/>
      <c r="BI89" s="598"/>
      <c r="BJ89" s="598"/>
      <c r="BK89" s="598"/>
      <c r="BL89" s="444"/>
      <c r="BM89" s="440"/>
      <c r="BN89" s="440"/>
      <c r="BO89" s="440"/>
      <c r="BP89" s="440"/>
      <c r="BQ89" s="440"/>
      <c r="BR89" s="445"/>
      <c r="BS89" s="440"/>
      <c r="BT89" s="31"/>
      <c r="BU89" s="31"/>
      <c r="BV89" s="31"/>
      <c r="BW89" s="31"/>
    </row>
    <row r="90" spans="43:75" x14ac:dyDescent="0.25">
      <c r="AQ90" s="31"/>
      <c r="AR90" s="597"/>
      <c r="AS90" s="598"/>
      <c r="AT90" s="598"/>
      <c r="AU90" s="599"/>
      <c r="AV90" s="597"/>
      <c r="AW90" s="598"/>
      <c r="AX90" s="598"/>
      <c r="AY90" s="598"/>
      <c r="AZ90" s="598"/>
      <c r="BA90" s="598"/>
      <c r="BB90" s="598"/>
      <c r="BC90" s="598"/>
      <c r="BD90" s="598"/>
      <c r="BE90" s="598"/>
      <c r="BF90" s="598"/>
      <c r="BG90" s="598"/>
      <c r="BH90" s="598"/>
      <c r="BI90" s="598"/>
      <c r="BJ90" s="598"/>
      <c r="BK90" s="598"/>
      <c r="BL90" s="444"/>
      <c r="BM90" s="440"/>
      <c r="BN90" s="440"/>
      <c r="BO90" s="440"/>
      <c r="BP90" s="440"/>
      <c r="BQ90" s="440"/>
      <c r="BR90" s="445"/>
      <c r="BS90" s="440"/>
      <c r="BT90" s="31"/>
      <c r="BU90" s="31"/>
      <c r="BV90" s="31"/>
      <c r="BW90" s="31"/>
    </row>
    <row r="91" spans="43:75" x14ac:dyDescent="0.25">
      <c r="AQ91" s="31"/>
      <c r="AR91" s="597"/>
      <c r="AS91" s="598"/>
      <c r="AT91" s="598"/>
      <c r="AU91" s="599"/>
      <c r="AV91" s="597"/>
      <c r="AW91" s="598"/>
      <c r="AX91" s="598"/>
      <c r="AY91" s="598"/>
      <c r="AZ91" s="598"/>
      <c r="BA91" s="598"/>
      <c r="BB91" s="598"/>
      <c r="BC91" s="598"/>
      <c r="BD91" s="598"/>
      <c r="BE91" s="598"/>
      <c r="BF91" s="598"/>
      <c r="BG91" s="598"/>
      <c r="BH91" s="598"/>
      <c r="BI91" s="598"/>
      <c r="BJ91" s="598"/>
      <c r="BK91" s="599"/>
      <c r="BL91" s="604"/>
      <c r="BM91" s="605"/>
      <c r="BN91" s="605"/>
      <c r="BO91" s="605"/>
      <c r="BP91" s="605"/>
      <c r="BQ91" s="605"/>
      <c r="BR91" s="605"/>
      <c r="BS91" s="605"/>
      <c r="BT91" s="605"/>
      <c r="BU91" s="606"/>
      <c r="BV91" s="31"/>
      <c r="BW91" s="31"/>
    </row>
    <row r="92" spans="43:75" x14ac:dyDescent="0.25">
      <c r="AQ92" s="31"/>
      <c r="AR92" s="597"/>
      <c r="AS92" s="598"/>
      <c r="AT92" s="598"/>
      <c r="AU92" s="599"/>
      <c r="AV92" s="600"/>
      <c r="AW92" s="601"/>
      <c r="AX92" s="601"/>
      <c r="AY92" s="601"/>
      <c r="AZ92" s="601"/>
      <c r="BA92" s="601"/>
      <c r="BB92" s="601"/>
      <c r="BC92" s="601"/>
      <c r="BD92" s="601"/>
      <c r="BE92" s="601"/>
      <c r="BF92" s="601"/>
      <c r="BG92" s="601"/>
      <c r="BH92" s="601"/>
      <c r="BI92" s="601"/>
      <c r="BJ92" s="601"/>
      <c r="BK92" s="602"/>
      <c r="BL92" s="607"/>
      <c r="BM92" s="608"/>
      <c r="BN92" s="608"/>
      <c r="BO92" s="608"/>
      <c r="BP92" s="608"/>
      <c r="BQ92" s="608"/>
      <c r="BR92" s="608"/>
      <c r="BS92" s="608"/>
      <c r="BT92" s="608"/>
      <c r="BU92" s="609"/>
      <c r="BV92" s="31"/>
      <c r="BW92" s="31"/>
    </row>
    <row r="93" spans="43:75" x14ac:dyDescent="0.25">
      <c r="AQ93" s="31"/>
      <c r="AR93" s="600"/>
      <c r="AS93" s="598"/>
      <c r="AT93" s="598"/>
      <c r="AU93" s="599"/>
      <c r="AV93" s="595"/>
      <c r="AW93" s="596"/>
      <c r="AX93" s="596"/>
      <c r="AY93" s="596"/>
      <c r="AZ93" s="596"/>
      <c r="BA93" s="596"/>
      <c r="BB93" s="596"/>
      <c r="BC93" s="596"/>
      <c r="BD93" s="596"/>
      <c r="BE93" s="596"/>
      <c r="BF93" s="596"/>
      <c r="BG93" s="596"/>
      <c r="BH93" s="596"/>
      <c r="BI93" s="596"/>
      <c r="BJ93" s="595"/>
      <c r="BK93" s="596"/>
      <c r="BL93" s="596"/>
      <c r="BM93" s="596"/>
      <c r="BN93" s="596"/>
      <c r="BO93" s="596"/>
      <c r="BP93" s="596"/>
      <c r="BQ93" s="596"/>
      <c r="BR93" s="596"/>
      <c r="BS93" s="596"/>
      <c r="BT93" s="596"/>
      <c r="BU93" s="603"/>
      <c r="BV93" s="31"/>
      <c r="BW93" s="31"/>
    </row>
    <row r="94" spans="43:75" x14ac:dyDescent="0.25">
      <c r="AQ94" s="31"/>
      <c r="AR94" s="590"/>
      <c r="AS94" s="595"/>
      <c r="AT94" s="596"/>
      <c r="AU94" s="603"/>
      <c r="AV94" s="598"/>
      <c r="AW94" s="598"/>
      <c r="AX94" s="598"/>
      <c r="AY94" s="598"/>
      <c r="AZ94" s="598"/>
      <c r="BA94" s="598"/>
      <c r="BB94" s="598"/>
      <c r="BC94" s="598"/>
      <c r="BD94" s="598"/>
      <c r="BE94" s="598"/>
      <c r="BF94" s="598"/>
      <c r="BG94" s="598"/>
      <c r="BH94" s="598"/>
      <c r="BI94" s="598"/>
      <c r="BJ94" s="597"/>
      <c r="BK94" s="598"/>
      <c r="BL94" s="598"/>
      <c r="BM94" s="598"/>
      <c r="BN94" s="598"/>
      <c r="BO94" s="598"/>
      <c r="BP94" s="598"/>
      <c r="BQ94" s="598"/>
      <c r="BR94" s="598"/>
      <c r="BS94" s="598"/>
      <c r="BT94" s="598"/>
      <c r="BU94" s="599"/>
      <c r="BV94" s="31"/>
      <c r="BW94" s="31"/>
    </row>
    <row r="95" spans="43:75" x14ac:dyDescent="0.25">
      <c r="AQ95" s="31"/>
      <c r="AR95" s="590"/>
      <c r="AS95" s="597"/>
      <c r="AT95" s="598"/>
      <c r="AU95" s="599"/>
      <c r="AV95" s="598"/>
      <c r="AW95" s="598"/>
      <c r="AX95" s="598"/>
      <c r="AY95" s="598"/>
      <c r="AZ95" s="598"/>
      <c r="BA95" s="598"/>
      <c r="BB95" s="598"/>
      <c r="BC95" s="598"/>
      <c r="BD95" s="598"/>
      <c r="BE95" s="598"/>
      <c r="BF95" s="598"/>
      <c r="BG95" s="598"/>
      <c r="BH95" s="598"/>
      <c r="BI95" s="598"/>
      <c r="BJ95" s="597"/>
      <c r="BK95" s="598"/>
      <c r="BL95" s="598"/>
      <c r="BM95" s="598"/>
      <c r="BN95" s="598"/>
      <c r="BO95" s="598"/>
      <c r="BP95" s="598"/>
      <c r="BQ95" s="598"/>
      <c r="BR95" s="598"/>
      <c r="BS95" s="598"/>
      <c r="BT95" s="598"/>
      <c r="BU95" s="599"/>
      <c r="BV95" s="31"/>
      <c r="BW95" s="31"/>
    </row>
    <row r="96" spans="43:75" x14ac:dyDescent="0.25">
      <c r="AQ96" s="31"/>
      <c r="AR96" s="590"/>
      <c r="AS96" s="597"/>
      <c r="AT96" s="598"/>
      <c r="AU96" s="599"/>
      <c r="AV96" s="601"/>
      <c r="AW96" s="601"/>
      <c r="AX96" s="601"/>
      <c r="AY96" s="601"/>
      <c r="AZ96" s="601"/>
      <c r="BA96" s="601"/>
      <c r="BB96" s="601"/>
      <c r="BC96" s="601"/>
      <c r="BD96" s="601"/>
      <c r="BE96" s="601"/>
      <c r="BF96" s="601"/>
      <c r="BG96" s="601"/>
      <c r="BH96" s="601"/>
      <c r="BI96" s="601"/>
      <c r="BJ96" s="597"/>
      <c r="BK96" s="598"/>
      <c r="BL96" s="598"/>
      <c r="BM96" s="598"/>
      <c r="BN96" s="598"/>
      <c r="BO96" s="598"/>
      <c r="BP96" s="598"/>
      <c r="BQ96" s="598"/>
      <c r="BR96" s="598"/>
      <c r="BS96" s="598"/>
      <c r="BT96" s="598"/>
      <c r="BU96" s="599"/>
      <c r="BV96" s="31"/>
      <c r="BW96" s="31"/>
    </row>
    <row r="97" spans="43:75" x14ac:dyDescent="0.25">
      <c r="AQ97" s="31"/>
      <c r="AR97" s="590"/>
      <c r="AS97" s="597"/>
      <c r="AT97" s="598"/>
      <c r="AU97" s="599"/>
      <c r="AV97" s="596"/>
      <c r="AW97" s="596"/>
      <c r="AX97" s="596"/>
      <c r="AY97" s="596"/>
      <c r="AZ97" s="603"/>
      <c r="BA97" s="31"/>
      <c r="BB97" s="31"/>
      <c r="BC97" s="31"/>
      <c r="BD97" s="595"/>
      <c r="BE97" s="596"/>
      <c r="BF97" s="596"/>
      <c r="BG97" s="596"/>
      <c r="BH97" s="596"/>
      <c r="BI97" s="596"/>
      <c r="BJ97" s="597"/>
      <c r="BK97" s="598"/>
      <c r="BL97" s="598"/>
      <c r="BM97" s="598"/>
      <c r="BN97" s="598"/>
      <c r="BO97" s="598"/>
      <c r="BP97" s="598"/>
      <c r="BQ97" s="598"/>
      <c r="BR97" s="598"/>
      <c r="BS97" s="598"/>
      <c r="BT97" s="598"/>
      <c r="BU97" s="599"/>
      <c r="BV97" s="31"/>
      <c r="BW97" s="31"/>
    </row>
    <row r="98" spans="43:75" x14ac:dyDescent="0.25">
      <c r="AQ98" s="31"/>
      <c r="AR98" s="590"/>
      <c r="AS98" s="597"/>
      <c r="AT98" s="598"/>
      <c r="AU98" s="599"/>
      <c r="AV98" s="598"/>
      <c r="AW98" s="598"/>
      <c r="AX98" s="598"/>
      <c r="AY98" s="598"/>
      <c r="AZ98" s="599"/>
      <c r="BA98" s="31"/>
      <c r="BB98" s="31"/>
      <c r="BC98" s="31"/>
      <c r="BD98" s="597"/>
      <c r="BE98" s="598"/>
      <c r="BF98" s="598"/>
      <c r="BG98" s="598"/>
      <c r="BH98" s="598"/>
      <c r="BI98" s="598"/>
      <c r="BJ98" s="597"/>
      <c r="BK98" s="598"/>
      <c r="BL98" s="598"/>
      <c r="BM98" s="598"/>
      <c r="BN98" s="598"/>
      <c r="BO98" s="598"/>
      <c r="BP98" s="598"/>
      <c r="BQ98" s="598"/>
      <c r="BR98" s="598"/>
      <c r="BS98" s="598"/>
      <c r="BT98" s="598"/>
      <c r="BU98" s="599"/>
      <c r="BV98" s="31"/>
      <c r="BW98" s="31"/>
    </row>
    <row r="99" spans="43:75" x14ac:dyDescent="0.25">
      <c r="AQ99" s="31"/>
      <c r="AR99" s="590"/>
      <c r="AS99" s="597"/>
      <c r="AT99" s="598"/>
      <c r="AU99" s="599"/>
      <c r="AV99" s="598"/>
      <c r="AW99" s="598"/>
      <c r="AX99" s="598"/>
      <c r="AY99" s="598"/>
      <c r="AZ99" s="599"/>
      <c r="BA99" s="31"/>
      <c r="BB99" s="31"/>
      <c r="BC99" s="31"/>
      <c r="BD99" s="597"/>
      <c r="BE99" s="598"/>
      <c r="BF99" s="598"/>
      <c r="BG99" s="598"/>
      <c r="BH99" s="598"/>
      <c r="BI99" s="598"/>
      <c r="BJ99" s="597"/>
      <c r="BK99" s="598"/>
      <c r="BL99" s="598"/>
      <c r="BM99" s="598"/>
      <c r="BN99" s="598"/>
      <c r="BO99" s="598"/>
      <c r="BP99" s="598"/>
      <c r="BQ99" s="598"/>
      <c r="BR99" s="598"/>
      <c r="BS99" s="598"/>
      <c r="BT99" s="598"/>
      <c r="BU99" s="599"/>
      <c r="BV99" s="31"/>
      <c r="BW99" s="31"/>
    </row>
    <row r="100" spans="43:75" x14ac:dyDescent="0.25">
      <c r="AQ100" s="31"/>
      <c r="AR100" s="590"/>
      <c r="AS100" s="597"/>
      <c r="AT100" s="598"/>
      <c r="AU100" s="599"/>
      <c r="AV100" s="601"/>
      <c r="AW100" s="601"/>
      <c r="AX100" s="601"/>
      <c r="AY100" s="601"/>
      <c r="AZ100" s="602"/>
      <c r="BA100" s="31"/>
      <c r="BB100" s="31"/>
      <c r="BC100" s="31"/>
      <c r="BD100" s="597"/>
      <c r="BE100" s="598"/>
      <c r="BF100" s="598"/>
      <c r="BG100" s="598"/>
      <c r="BH100" s="598"/>
      <c r="BI100" s="598"/>
      <c r="BJ100" s="597"/>
      <c r="BK100" s="598"/>
      <c r="BL100" s="598"/>
      <c r="BM100" s="598"/>
      <c r="BN100" s="598"/>
      <c r="BO100" s="598"/>
      <c r="BP100" s="598"/>
      <c r="BQ100" s="598"/>
      <c r="BR100" s="598"/>
      <c r="BS100" s="598"/>
      <c r="BT100" s="598"/>
      <c r="BU100" s="599"/>
      <c r="BV100" s="31"/>
      <c r="BW100" s="31"/>
    </row>
    <row r="101" spans="43:75" x14ac:dyDescent="0.25">
      <c r="AQ101" s="31"/>
      <c r="AR101" s="590"/>
      <c r="AS101" s="597"/>
      <c r="AT101" s="598"/>
      <c r="AU101" s="599"/>
      <c r="AV101" s="587"/>
      <c r="AW101" s="587"/>
      <c r="AX101" s="587"/>
      <c r="AY101" s="587"/>
      <c r="AZ101" s="588"/>
      <c r="BA101" s="31"/>
      <c r="BB101" s="31"/>
      <c r="BC101" s="31"/>
      <c r="BD101" s="600"/>
      <c r="BE101" s="601"/>
      <c r="BF101" s="601"/>
      <c r="BG101" s="601"/>
      <c r="BH101" s="601"/>
      <c r="BI101" s="601"/>
      <c r="BJ101" s="597"/>
      <c r="BK101" s="598"/>
      <c r="BL101" s="598"/>
      <c r="BM101" s="598"/>
      <c r="BN101" s="598"/>
      <c r="BO101" s="598"/>
      <c r="BP101" s="598"/>
      <c r="BQ101" s="598"/>
      <c r="BR101" s="598"/>
      <c r="BS101" s="598"/>
      <c r="BT101" s="598"/>
      <c r="BU101" s="599"/>
      <c r="BV101" s="31"/>
      <c r="BW101" s="31"/>
    </row>
    <row r="102" spans="43:75" x14ac:dyDescent="0.25">
      <c r="AQ102" s="31"/>
      <c r="AR102" s="590"/>
      <c r="AS102" s="597"/>
      <c r="AT102" s="598"/>
      <c r="AU102" s="599"/>
      <c r="AV102" s="590"/>
      <c r="AW102" s="590"/>
      <c r="AX102" s="590"/>
      <c r="AY102" s="590"/>
      <c r="AZ102" s="591"/>
      <c r="BA102" s="31"/>
      <c r="BB102" s="31"/>
      <c r="BC102" s="31"/>
      <c r="BD102" s="31"/>
      <c r="BE102" s="31"/>
      <c r="BF102" s="31"/>
      <c r="BG102" s="586"/>
      <c r="BH102" s="587"/>
      <c r="BI102" s="587"/>
      <c r="BJ102" s="597"/>
      <c r="BK102" s="598"/>
      <c r="BL102" s="598"/>
      <c r="BM102" s="598"/>
      <c r="BN102" s="598"/>
      <c r="BO102" s="598"/>
      <c r="BP102" s="598"/>
      <c r="BQ102" s="598"/>
      <c r="BR102" s="598"/>
      <c r="BS102" s="598"/>
      <c r="BT102" s="598"/>
      <c r="BU102" s="599"/>
      <c r="BV102" s="31"/>
      <c r="BW102" s="31"/>
    </row>
    <row r="103" spans="43:75" x14ac:dyDescent="0.25">
      <c r="AQ103" s="31"/>
      <c r="AR103" s="590"/>
      <c r="AS103" s="597"/>
      <c r="AT103" s="598"/>
      <c r="AU103" s="599"/>
      <c r="AV103" s="590"/>
      <c r="AW103" s="590"/>
      <c r="AX103" s="590"/>
      <c r="AY103" s="590"/>
      <c r="AZ103" s="591"/>
      <c r="BA103" s="31"/>
      <c r="BB103" s="31"/>
      <c r="BC103" s="31"/>
      <c r="BD103" s="31"/>
      <c r="BE103" s="31"/>
      <c r="BF103" s="31"/>
      <c r="BG103" s="589"/>
      <c r="BH103" s="590"/>
      <c r="BI103" s="590"/>
      <c r="BJ103" s="597"/>
      <c r="BK103" s="598"/>
      <c r="BL103" s="598"/>
      <c r="BM103" s="598"/>
      <c r="BN103" s="598"/>
      <c r="BO103" s="598"/>
      <c r="BP103" s="598"/>
      <c r="BQ103" s="598"/>
      <c r="BR103" s="598"/>
      <c r="BS103" s="598"/>
      <c r="BT103" s="598"/>
      <c r="BU103" s="599"/>
      <c r="BV103" s="31"/>
      <c r="BW103" s="31"/>
    </row>
    <row r="104" spans="43:75" x14ac:dyDescent="0.25">
      <c r="AQ104" s="31"/>
      <c r="AR104" s="590"/>
      <c r="AS104" s="597"/>
      <c r="AT104" s="598"/>
      <c r="AU104" s="599"/>
      <c r="AV104" s="590"/>
      <c r="AW104" s="590"/>
      <c r="AX104" s="590"/>
      <c r="AY104" s="590"/>
      <c r="AZ104" s="591"/>
      <c r="BA104" s="31"/>
      <c r="BB104" s="31"/>
      <c r="BC104" s="31"/>
      <c r="BD104" s="31"/>
      <c r="BE104" s="31"/>
      <c r="BF104" s="31"/>
      <c r="BG104" s="589"/>
      <c r="BH104" s="590"/>
      <c r="BI104" s="590"/>
      <c r="BJ104" s="597"/>
      <c r="BK104" s="598"/>
      <c r="BL104" s="598"/>
      <c r="BM104" s="598"/>
      <c r="BN104" s="598"/>
      <c r="BO104" s="598"/>
      <c r="BP104" s="598"/>
      <c r="BQ104" s="598"/>
      <c r="BR104" s="598"/>
      <c r="BS104" s="598"/>
      <c r="BT104" s="598"/>
      <c r="BU104" s="599"/>
      <c r="BV104" s="31"/>
      <c r="BW104" s="31"/>
    </row>
    <row r="105" spans="43:75" x14ac:dyDescent="0.25">
      <c r="AQ105" s="31"/>
      <c r="AR105" s="590"/>
      <c r="AS105" s="597"/>
      <c r="AT105" s="598"/>
      <c r="AU105" s="599"/>
      <c r="AV105" s="593"/>
      <c r="AW105" s="593"/>
      <c r="AX105" s="593"/>
      <c r="AY105" s="593"/>
      <c r="AZ105" s="594"/>
      <c r="BA105" s="31"/>
      <c r="BB105" s="31"/>
      <c r="BC105" s="31"/>
      <c r="BD105" s="31"/>
      <c r="BE105" s="31"/>
      <c r="BF105" s="31"/>
      <c r="BG105" s="592"/>
      <c r="BH105" s="593"/>
      <c r="BI105" s="593"/>
      <c r="BJ105" s="597"/>
      <c r="BK105" s="598"/>
      <c r="BL105" s="598"/>
      <c r="BM105" s="598"/>
      <c r="BN105" s="598"/>
      <c r="BO105" s="598"/>
      <c r="BP105" s="598"/>
      <c r="BQ105" s="598"/>
      <c r="BR105" s="598"/>
      <c r="BS105" s="598"/>
      <c r="BT105" s="598"/>
      <c r="BU105" s="599"/>
      <c r="BV105" s="31"/>
      <c r="BW105" s="31"/>
    </row>
    <row r="106" spans="43:75" x14ac:dyDescent="0.25">
      <c r="AQ106" s="31"/>
      <c r="AR106" s="590"/>
      <c r="AS106" s="600"/>
      <c r="AT106" s="601"/>
      <c r="AU106" s="602"/>
      <c r="AV106" s="406"/>
      <c r="AW106" s="406"/>
      <c r="AX106" s="406"/>
      <c r="AY106" s="406"/>
      <c r="AZ106" s="406"/>
      <c r="BA106" s="31"/>
      <c r="BB106" s="31"/>
      <c r="BC106" s="31"/>
      <c r="BD106" s="31"/>
      <c r="BE106" s="31"/>
      <c r="BF106" s="31"/>
      <c r="BG106" s="406"/>
      <c r="BH106" s="406"/>
      <c r="BI106" s="406"/>
      <c r="BJ106" s="597"/>
      <c r="BK106" s="598"/>
      <c r="BL106" s="598"/>
      <c r="BM106" s="598"/>
      <c r="BN106" s="598"/>
      <c r="BO106" s="598"/>
      <c r="BP106" s="598"/>
      <c r="BQ106" s="598"/>
      <c r="BR106" s="598"/>
      <c r="BS106" s="598"/>
      <c r="BT106" s="598"/>
      <c r="BU106" s="599"/>
      <c r="BV106" s="31"/>
      <c r="BW106" s="31"/>
    </row>
    <row r="107" spans="43:75" x14ac:dyDescent="0.25">
      <c r="AQ107" s="31"/>
      <c r="AR107" s="590"/>
      <c r="AS107" s="590"/>
      <c r="AT107" s="590"/>
      <c r="AU107" s="590"/>
      <c r="AV107" s="406"/>
      <c r="AW107" s="406"/>
      <c r="AX107" s="406"/>
      <c r="AY107" s="406"/>
      <c r="AZ107" s="406"/>
      <c r="BA107" s="31"/>
      <c r="BB107" s="31"/>
      <c r="BC107" s="31"/>
      <c r="BD107" s="31"/>
      <c r="BE107" s="31"/>
      <c r="BF107" s="31"/>
      <c r="BG107" s="406"/>
      <c r="BH107" s="406"/>
      <c r="BI107" s="406"/>
      <c r="BJ107" s="600"/>
      <c r="BK107" s="601"/>
      <c r="BL107" s="601"/>
      <c r="BM107" s="601"/>
      <c r="BN107" s="601"/>
      <c r="BO107" s="601"/>
      <c r="BP107" s="601"/>
      <c r="BQ107" s="601"/>
      <c r="BR107" s="601"/>
      <c r="BS107" s="601"/>
      <c r="BT107" s="601"/>
      <c r="BU107" s="602"/>
      <c r="BV107" s="31"/>
      <c r="BW107" s="31"/>
    </row>
    <row r="108" spans="43:75" x14ac:dyDescent="0.25"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</row>
    <row r="109" spans="43:75" x14ac:dyDescent="0.25"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</row>
    <row r="110" spans="43:75" x14ac:dyDescent="0.25"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</row>
    <row r="112" spans="43:75" x14ac:dyDescent="0.25"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</row>
    <row r="113" spans="43:75" x14ac:dyDescent="0.25"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</row>
    <row r="114" spans="43:75" x14ac:dyDescent="0.25"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</row>
    <row r="115" spans="43:75" x14ac:dyDescent="0.25">
      <c r="AQ115" s="31"/>
      <c r="AR115" s="31"/>
      <c r="AS115" s="31"/>
      <c r="AT115" s="31"/>
      <c r="AU115" s="31"/>
      <c r="AV115" s="586"/>
      <c r="AW115" s="587"/>
      <c r="AX115" s="587"/>
      <c r="AY115" s="587"/>
      <c r="AZ115" s="587"/>
      <c r="BA115" s="587"/>
      <c r="BB115" s="587"/>
      <c r="BC115" s="587"/>
      <c r="BD115" s="587"/>
      <c r="BE115" s="587"/>
      <c r="BF115" s="587"/>
      <c r="BG115" s="587"/>
      <c r="BH115" s="587"/>
      <c r="BI115" s="588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</row>
    <row r="116" spans="43:75" x14ac:dyDescent="0.25">
      <c r="AQ116" s="31"/>
      <c r="AR116" s="31"/>
      <c r="AS116" s="31"/>
      <c r="AT116" s="31"/>
      <c r="AU116" s="31"/>
      <c r="AV116" s="589"/>
      <c r="AW116" s="590"/>
      <c r="AX116" s="590"/>
      <c r="AY116" s="590"/>
      <c r="AZ116" s="590"/>
      <c r="BA116" s="590"/>
      <c r="BB116" s="590"/>
      <c r="BC116" s="590"/>
      <c r="BD116" s="590"/>
      <c r="BE116" s="590"/>
      <c r="BF116" s="590"/>
      <c r="BG116" s="590"/>
      <c r="BH116" s="590"/>
      <c r="BI116" s="59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</row>
    <row r="117" spans="43:75" x14ac:dyDescent="0.25">
      <c r="AQ117" s="31"/>
      <c r="AR117" s="31"/>
      <c r="AS117" s="31"/>
      <c r="AT117" s="31"/>
      <c r="AU117" s="31"/>
      <c r="AV117" s="589"/>
      <c r="AW117" s="590"/>
      <c r="AX117" s="590"/>
      <c r="AY117" s="590"/>
      <c r="AZ117" s="590"/>
      <c r="BA117" s="590"/>
      <c r="BB117" s="590"/>
      <c r="BC117" s="590"/>
      <c r="BD117" s="590"/>
      <c r="BE117" s="590"/>
      <c r="BF117" s="590"/>
      <c r="BG117" s="590"/>
      <c r="BH117" s="590"/>
      <c r="BI117" s="59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</row>
    <row r="118" spans="43:75" x14ac:dyDescent="0.25">
      <c r="AQ118" s="31"/>
      <c r="AR118" s="31"/>
      <c r="AS118" s="31"/>
      <c r="AT118" s="31"/>
      <c r="AU118" s="31"/>
      <c r="AV118" s="592"/>
      <c r="AW118" s="593"/>
      <c r="AX118" s="593"/>
      <c r="AY118" s="593"/>
      <c r="AZ118" s="593"/>
      <c r="BA118" s="593"/>
      <c r="BB118" s="593"/>
      <c r="BC118" s="593"/>
      <c r="BD118" s="593"/>
      <c r="BE118" s="593"/>
      <c r="BF118" s="593"/>
      <c r="BG118" s="593"/>
      <c r="BH118" s="593"/>
      <c r="BI118" s="594"/>
      <c r="BJ118" s="31"/>
      <c r="BK118" s="31"/>
      <c r="BL118" s="586"/>
      <c r="BM118" s="587"/>
      <c r="BN118" s="587"/>
      <c r="BO118" s="588"/>
      <c r="BP118" s="31"/>
      <c r="BQ118" s="31"/>
      <c r="BR118" s="31"/>
      <c r="BS118" s="31"/>
      <c r="BT118" s="31"/>
      <c r="BU118" s="31"/>
      <c r="BV118" s="31"/>
      <c r="BW118" s="31"/>
    </row>
    <row r="119" spans="43:75" x14ac:dyDescent="0.25">
      <c r="AQ119" s="31"/>
      <c r="AR119" s="31"/>
      <c r="AS119" s="31"/>
      <c r="AT119" s="31"/>
      <c r="AU119" s="31"/>
      <c r="AV119" s="595"/>
      <c r="AW119" s="596"/>
      <c r="AX119" s="596"/>
      <c r="AY119" s="596"/>
      <c r="AZ119" s="596"/>
      <c r="BA119" s="596"/>
      <c r="BB119" s="596"/>
      <c r="BC119" s="596"/>
      <c r="BD119" s="596"/>
      <c r="BE119" s="596"/>
      <c r="BF119" s="596"/>
      <c r="BG119" s="596"/>
      <c r="BH119" s="596"/>
      <c r="BI119" s="596"/>
      <c r="BJ119" s="596"/>
      <c r="BK119" s="596"/>
      <c r="BL119" s="589"/>
      <c r="BM119" s="590"/>
      <c r="BN119" s="590"/>
      <c r="BO119" s="591"/>
      <c r="BP119" s="31"/>
      <c r="BQ119" s="31"/>
      <c r="BR119" s="31"/>
      <c r="BS119" s="31"/>
      <c r="BT119" s="31"/>
      <c r="BU119" s="31"/>
      <c r="BV119" s="31"/>
      <c r="BW119" s="31"/>
    </row>
    <row r="120" spans="43:75" x14ac:dyDescent="0.25">
      <c r="AQ120" s="31"/>
      <c r="AR120" s="31"/>
      <c r="AS120" s="31"/>
      <c r="AT120" s="31"/>
      <c r="AU120" s="31"/>
      <c r="AV120" s="597"/>
      <c r="AW120" s="598"/>
      <c r="AX120" s="598"/>
      <c r="AY120" s="598"/>
      <c r="AZ120" s="598"/>
      <c r="BA120" s="598"/>
      <c r="BB120" s="598"/>
      <c r="BC120" s="598"/>
      <c r="BD120" s="598"/>
      <c r="BE120" s="598"/>
      <c r="BF120" s="598"/>
      <c r="BG120" s="598"/>
      <c r="BH120" s="598"/>
      <c r="BI120" s="598"/>
      <c r="BJ120" s="598"/>
      <c r="BK120" s="598"/>
      <c r="BL120" s="589"/>
      <c r="BM120" s="590"/>
      <c r="BN120" s="590"/>
      <c r="BO120" s="591"/>
      <c r="BP120" s="31"/>
      <c r="BQ120" s="31"/>
      <c r="BR120" s="31"/>
      <c r="BS120" s="31"/>
      <c r="BT120" s="31"/>
      <c r="BU120" s="31"/>
      <c r="BV120" s="31"/>
      <c r="BW120" s="31"/>
    </row>
    <row r="121" spans="43:75" x14ac:dyDescent="0.25">
      <c r="AQ121" s="31"/>
      <c r="AR121" s="31"/>
      <c r="AS121" s="31"/>
      <c r="AT121" s="31"/>
      <c r="AU121" s="31"/>
      <c r="AV121" s="597"/>
      <c r="AW121" s="598"/>
      <c r="AX121" s="598"/>
      <c r="AY121" s="598"/>
      <c r="AZ121" s="598"/>
      <c r="BA121" s="598"/>
      <c r="BB121" s="598"/>
      <c r="BC121" s="598"/>
      <c r="BD121" s="598"/>
      <c r="BE121" s="598"/>
      <c r="BF121" s="598"/>
      <c r="BG121" s="598"/>
      <c r="BH121" s="598"/>
      <c r="BI121" s="598"/>
      <c r="BJ121" s="598"/>
      <c r="BK121" s="598"/>
      <c r="BL121" s="589"/>
      <c r="BM121" s="590"/>
      <c r="BN121" s="590"/>
      <c r="BO121" s="591"/>
      <c r="BP121" s="31"/>
      <c r="BQ121" s="31"/>
      <c r="BR121" s="31"/>
      <c r="BS121" s="31"/>
      <c r="BT121" s="31"/>
      <c r="BU121" s="31"/>
      <c r="BV121" s="31"/>
      <c r="BW121" s="31"/>
    </row>
    <row r="122" spans="43:75" x14ac:dyDescent="0.25">
      <c r="AQ122" s="31"/>
      <c r="AR122" s="31"/>
      <c r="AS122" s="31"/>
      <c r="AT122" s="31"/>
      <c r="AU122" s="31"/>
      <c r="AV122" s="597"/>
      <c r="AW122" s="598"/>
      <c r="AX122" s="598"/>
      <c r="AY122" s="598"/>
      <c r="AZ122" s="598"/>
      <c r="BA122" s="598"/>
      <c r="BB122" s="598"/>
      <c r="BC122" s="598"/>
      <c r="BD122" s="598"/>
      <c r="BE122" s="598"/>
      <c r="BF122" s="598"/>
      <c r="BG122" s="598"/>
      <c r="BH122" s="598"/>
      <c r="BI122" s="598"/>
      <c r="BJ122" s="598"/>
      <c r="BK122" s="598"/>
      <c r="BL122" s="441"/>
      <c r="BM122" s="442"/>
      <c r="BN122" s="442"/>
      <c r="BO122" s="442"/>
      <c r="BP122" s="442"/>
      <c r="BQ122" s="442"/>
      <c r="BR122" s="443"/>
      <c r="BS122" s="439"/>
      <c r="BT122" s="31"/>
      <c r="BU122" s="31"/>
      <c r="BV122" s="31"/>
      <c r="BW122" s="31"/>
    </row>
    <row r="123" spans="43:75" x14ac:dyDescent="0.25">
      <c r="AQ123" s="31"/>
      <c r="AR123" s="595"/>
      <c r="AS123" s="596"/>
      <c r="AT123" s="596"/>
      <c r="AU123" s="603"/>
      <c r="AV123" s="597"/>
      <c r="AW123" s="598"/>
      <c r="AX123" s="598"/>
      <c r="AY123" s="598"/>
      <c r="AZ123" s="598"/>
      <c r="BA123" s="598"/>
      <c r="BB123" s="598"/>
      <c r="BC123" s="598"/>
      <c r="BD123" s="598"/>
      <c r="BE123" s="598"/>
      <c r="BF123" s="598"/>
      <c r="BG123" s="598"/>
      <c r="BH123" s="598"/>
      <c r="BI123" s="598"/>
      <c r="BJ123" s="598"/>
      <c r="BK123" s="598"/>
      <c r="BL123" s="444"/>
      <c r="BM123" s="440"/>
      <c r="BN123" s="440"/>
      <c r="BO123" s="440"/>
      <c r="BP123" s="440"/>
      <c r="BQ123" s="440"/>
      <c r="BR123" s="445"/>
      <c r="BS123" s="440"/>
      <c r="BT123" s="31"/>
      <c r="BU123" s="31"/>
      <c r="BV123" s="31"/>
      <c r="BW123" s="31"/>
    </row>
    <row r="124" spans="43:75" x14ac:dyDescent="0.25">
      <c r="AQ124" s="31"/>
      <c r="AR124" s="597"/>
      <c r="AS124" s="598"/>
      <c r="AT124" s="598"/>
      <c r="AU124" s="599"/>
      <c r="AV124" s="597"/>
      <c r="AW124" s="598"/>
      <c r="AX124" s="598"/>
      <c r="AY124" s="598"/>
      <c r="AZ124" s="598"/>
      <c r="BA124" s="598"/>
      <c r="BB124" s="598"/>
      <c r="BC124" s="598"/>
      <c r="BD124" s="598"/>
      <c r="BE124" s="598"/>
      <c r="BF124" s="598"/>
      <c r="BG124" s="598"/>
      <c r="BH124" s="598"/>
      <c r="BI124" s="598"/>
      <c r="BJ124" s="598"/>
      <c r="BK124" s="598"/>
      <c r="BL124" s="444"/>
      <c r="BM124" s="440"/>
      <c r="BN124" s="440"/>
      <c r="BO124" s="440"/>
      <c r="BP124" s="440"/>
      <c r="BQ124" s="440"/>
      <c r="BR124" s="445"/>
      <c r="BS124" s="440"/>
      <c r="BT124" s="31"/>
      <c r="BU124" s="31"/>
      <c r="BV124" s="31"/>
      <c r="BW124" s="31"/>
    </row>
    <row r="125" spans="43:75" x14ac:dyDescent="0.25">
      <c r="AQ125" s="31"/>
      <c r="AR125" s="597"/>
      <c r="AS125" s="598"/>
      <c r="AT125" s="598"/>
      <c r="AU125" s="599"/>
      <c r="AV125" s="597"/>
      <c r="AW125" s="598"/>
      <c r="AX125" s="598"/>
      <c r="AY125" s="598"/>
      <c r="AZ125" s="598"/>
      <c r="BA125" s="598"/>
      <c r="BB125" s="598"/>
      <c r="BC125" s="598"/>
      <c r="BD125" s="598"/>
      <c r="BE125" s="598"/>
      <c r="BF125" s="598"/>
      <c r="BG125" s="598"/>
      <c r="BH125" s="598"/>
      <c r="BI125" s="598"/>
      <c r="BJ125" s="598"/>
      <c r="BK125" s="598"/>
      <c r="BL125" s="444"/>
      <c r="BM125" s="440"/>
      <c r="BN125" s="440"/>
      <c r="BO125" s="440"/>
      <c r="BP125" s="440"/>
      <c r="BQ125" s="440"/>
      <c r="BR125" s="445"/>
      <c r="BS125" s="440"/>
      <c r="BT125" s="31"/>
      <c r="BU125" s="31"/>
      <c r="BV125" s="31"/>
      <c r="BW125" s="31"/>
    </row>
    <row r="126" spans="43:75" x14ac:dyDescent="0.25">
      <c r="AQ126" s="31"/>
      <c r="AR126" s="597"/>
      <c r="AS126" s="598"/>
      <c r="AT126" s="598"/>
      <c r="AU126" s="599"/>
      <c r="AV126" s="597"/>
      <c r="AW126" s="598"/>
      <c r="AX126" s="598"/>
      <c r="AY126" s="598"/>
      <c r="AZ126" s="598"/>
      <c r="BA126" s="598"/>
      <c r="BB126" s="598"/>
      <c r="BC126" s="598"/>
      <c r="BD126" s="598"/>
      <c r="BE126" s="598"/>
      <c r="BF126" s="598"/>
      <c r="BG126" s="598"/>
      <c r="BH126" s="598"/>
      <c r="BI126" s="598"/>
      <c r="BJ126" s="598"/>
      <c r="BK126" s="598"/>
      <c r="BL126" s="444"/>
      <c r="BM126" s="440"/>
      <c r="BN126" s="440"/>
      <c r="BO126" s="440"/>
      <c r="BP126" s="440"/>
      <c r="BQ126" s="440"/>
      <c r="BR126" s="445"/>
      <c r="BS126" s="440"/>
      <c r="BT126" s="31"/>
      <c r="BU126" s="31"/>
      <c r="BV126" s="31"/>
      <c r="BW126" s="31"/>
    </row>
    <row r="127" spans="43:75" x14ac:dyDescent="0.25">
      <c r="AQ127" s="31"/>
      <c r="AR127" s="597"/>
      <c r="AS127" s="598"/>
      <c r="AT127" s="598"/>
      <c r="AU127" s="599"/>
      <c r="AV127" s="597"/>
      <c r="AW127" s="598"/>
      <c r="AX127" s="598"/>
      <c r="AY127" s="598"/>
      <c r="AZ127" s="598"/>
      <c r="BA127" s="598"/>
      <c r="BB127" s="598"/>
      <c r="BC127" s="598"/>
      <c r="BD127" s="598"/>
      <c r="BE127" s="598"/>
      <c r="BF127" s="598"/>
      <c r="BG127" s="598"/>
      <c r="BH127" s="598"/>
      <c r="BI127" s="598"/>
      <c r="BJ127" s="598"/>
      <c r="BK127" s="598"/>
      <c r="BL127" s="444"/>
      <c r="BM127" s="440"/>
      <c r="BN127" s="440"/>
      <c r="BO127" s="440"/>
      <c r="BP127" s="440"/>
      <c r="BQ127" s="440"/>
      <c r="BR127" s="445"/>
      <c r="BS127" s="440"/>
      <c r="BT127" s="31"/>
      <c r="BU127" s="31"/>
      <c r="BV127" s="31"/>
      <c r="BW127" s="31"/>
    </row>
    <row r="128" spans="43:75" x14ac:dyDescent="0.25">
      <c r="AQ128" s="31"/>
      <c r="AR128" s="597"/>
      <c r="AS128" s="598"/>
      <c r="AT128" s="598"/>
      <c r="AU128" s="599"/>
      <c r="AV128" s="597"/>
      <c r="AW128" s="598"/>
      <c r="AX128" s="598"/>
      <c r="AY128" s="598"/>
      <c r="AZ128" s="598"/>
      <c r="BA128" s="598"/>
      <c r="BB128" s="598"/>
      <c r="BC128" s="598"/>
      <c r="BD128" s="598"/>
      <c r="BE128" s="598"/>
      <c r="BF128" s="598"/>
      <c r="BG128" s="598"/>
      <c r="BH128" s="598"/>
      <c r="BI128" s="598"/>
      <c r="BJ128" s="598"/>
      <c r="BK128" s="598"/>
      <c r="BL128" s="444"/>
      <c r="BM128" s="440"/>
      <c r="BN128" s="440"/>
      <c r="BO128" s="440"/>
      <c r="BP128" s="440"/>
      <c r="BQ128" s="440"/>
      <c r="BR128" s="445"/>
      <c r="BS128" s="440"/>
      <c r="BT128" s="31"/>
      <c r="BU128" s="31"/>
      <c r="BV128" s="31"/>
      <c r="BW128" s="31"/>
    </row>
    <row r="129" spans="43:75" x14ac:dyDescent="0.25">
      <c r="AQ129" s="31"/>
      <c r="AR129" s="597"/>
      <c r="AS129" s="598"/>
      <c r="AT129" s="598"/>
      <c r="AU129" s="599"/>
      <c r="AV129" s="597"/>
      <c r="AW129" s="598"/>
      <c r="AX129" s="598"/>
      <c r="AY129" s="598"/>
      <c r="AZ129" s="598"/>
      <c r="BA129" s="598"/>
      <c r="BB129" s="598"/>
      <c r="BC129" s="598"/>
      <c r="BD129" s="598"/>
      <c r="BE129" s="598"/>
      <c r="BF129" s="598"/>
      <c r="BG129" s="598"/>
      <c r="BH129" s="598"/>
      <c r="BI129" s="598"/>
      <c r="BJ129" s="598"/>
      <c r="BK129" s="599"/>
      <c r="BL129" s="604"/>
      <c r="BM129" s="605"/>
      <c r="BN129" s="605"/>
      <c r="BO129" s="605"/>
      <c r="BP129" s="605"/>
      <c r="BQ129" s="605"/>
      <c r="BR129" s="605"/>
      <c r="BS129" s="605"/>
      <c r="BT129" s="605"/>
      <c r="BU129" s="606"/>
      <c r="BV129" s="31"/>
      <c r="BW129" s="31"/>
    </row>
    <row r="130" spans="43:75" x14ac:dyDescent="0.25">
      <c r="AQ130" s="31"/>
      <c r="AR130" s="597"/>
      <c r="AS130" s="598"/>
      <c r="AT130" s="598"/>
      <c r="AU130" s="599"/>
      <c r="AV130" s="600"/>
      <c r="AW130" s="601"/>
      <c r="AX130" s="601"/>
      <c r="AY130" s="601"/>
      <c r="AZ130" s="601"/>
      <c r="BA130" s="601"/>
      <c r="BB130" s="601"/>
      <c r="BC130" s="601"/>
      <c r="BD130" s="601"/>
      <c r="BE130" s="601"/>
      <c r="BF130" s="601"/>
      <c r="BG130" s="601"/>
      <c r="BH130" s="601"/>
      <c r="BI130" s="601"/>
      <c r="BJ130" s="601"/>
      <c r="BK130" s="602"/>
      <c r="BL130" s="607"/>
      <c r="BM130" s="608"/>
      <c r="BN130" s="608"/>
      <c r="BO130" s="608"/>
      <c r="BP130" s="608"/>
      <c r="BQ130" s="608"/>
      <c r="BR130" s="608"/>
      <c r="BS130" s="608"/>
      <c r="BT130" s="608"/>
      <c r="BU130" s="609"/>
      <c r="BV130" s="31"/>
      <c r="BW130" s="31"/>
    </row>
    <row r="131" spans="43:75" x14ac:dyDescent="0.25">
      <c r="AQ131" s="31"/>
      <c r="AR131" s="600"/>
      <c r="AS131" s="598"/>
      <c r="AT131" s="598"/>
      <c r="AU131" s="599"/>
      <c r="AV131" s="595"/>
      <c r="AW131" s="596"/>
      <c r="AX131" s="596"/>
      <c r="AY131" s="596"/>
      <c r="AZ131" s="596"/>
      <c r="BA131" s="596"/>
      <c r="BB131" s="596"/>
      <c r="BC131" s="596"/>
      <c r="BD131" s="596"/>
      <c r="BE131" s="596"/>
      <c r="BF131" s="596"/>
      <c r="BG131" s="596"/>
      <c r="BH131" s="596"/>
      <c r="BI131" s="596"/>
      <c r="BJ131" s="595"/>
      <c r="BK131" s="596"/>
      <c r="BL131" s="596"/>
      <c r="BM131" s="596"/>
      <c r="BN131" s="596"/>
      <c r="BO131" s="596"/>
      <c r="BP131" s="596"/>
      <c r="BQ131" s="596"/>
      <c r="BR131" s="596"/>
      <c r="BS131" s="596"/>
      <c r="BT131" s="596"/>
      <c r="BU131" s="603"/>
      <c r="BV131" s="31"/>
      <c r="BW131" s="31"/>
    </row>
    <row r="132" spans="43:75" x14ac:dyDescent="0.25">
      <c r="AQ132" s="31"/>
      <c r="AR132" s="590"/>
      <c r="AS132" s="595"/>
      <c r="AT132" s="596"/>
      <c r="AU132" s="603"/>
      <c r="AV132" s="598"/>
      <c r="AW132" s="598"/>
      <c r="AX132" s="598"/>
      <c r="AY132" s="598"/>
      <c r="AZ132" s="598"/>
      <c r="BA132" s="598"/>
      <c r="BB132" s="598"/>
      <c r="BC132" s="598"/>
      <c r="BD132" s="598"/>
      <c r="BE132" s="598"/>
      <c r="BF132" s="598"/>
      <c r="BG132" s="598"/>
      <c r="BH132" s="598"/>
      <c r="BI132" s="598"/>
      <c r="BJ132" s="597"/>
      <c r="BK132" s="598"/>
      <c r="BL132" s="598"/>
      <c r="BM132" s="598"/>
      <c r="BN132" s="598"/>
      <c r="BO132" s="598"/>
      <c r="BP132" s="598"/>
      <c r="BQ132" s="598"/>
      <c r="BR132" s="598"/>
      <c r="BS132" s="598"/>
      <c r="BT132" s="598"/>
      <c r="BU132" s="599"/>
      <c r="BV132" s="31"/>
      <c r="BW132" s="31"/>
    </row>
    <row r="133" spans="43:75" x14ac:dyDescent="0.25">
      <c r="AQ133" s="31"/>
      <c r="AR133" s="590"/>
      <c r="AS133" s="597"/>
      <c r="AT133" s="598"/>
      <c r="AU133" s="599"/>
      <c r="AV133" s="598"/>
      <c r="AW133" s="598"/>
      <c r="AX133" s="598"/>
      <c r="AY133" s="598"/>
      <c r="AZ133" s="598"/>
      <c r="BA133" s="598"/>
      <c r="BB133" s="598"/>
      <c r="BC133" s="598"/>
      <c r="BD133" s="598"/>
      <c r="BE133" s="598"/>
      <c r="BF133" s="598"/>
      <c r="BG133" s="598"/>
      <c r="BH133" s="598"/>
      <c r="BI133" s="598"/>
      <c r="BJ133" s="597"/>
      <c r="BK133" s="598"/>
      <c r="BL133" s="598"/>
      <c r="BM133" s="598"/>
      <c r="BN133" s="598"/>
      <c r="BO133" s="598"/>
      <c r="BP133" s="598"/>
      <c r="BQ133" s="598"/>
      <c r="BR133" s="598"/>
      <c r="BS133" s="598"/>
      <c r="BT133" s="598"/>
      <c r="BU133" s="599"/>
      <c r="BV133" s="31"/>
      <c r="BW133" s="31"/>
    </row>
    <row r="134" spans="43:75" x14ac:dyDescent="0.25">
      <c r="AQ134" s="31"/>
      <c r="AR134" s="590"/>
      <c r="AS134" s="597"/>
      <c r="AT134" s="598"/>
      <c r="AU134" s="599"/>
      <c r="AV134" s="601"/>
      <c r="AW134" s="601"/>
      <c r="AX134" s="601"/>
      <c r="AY134" s="601"/>
      <c r="AZ134" s="601"/>
      <c r="BA134" s="601"/>
      <c r="BB134" s="601"/>
      <c r="BC134" s="601"/>
      <c r="BD134" s="601"/>
      <c r="BE134" s="601"/>
      <c r="BF134" s="601"/>
      <c r="BG134" s="601"/>
      <c r="BH134" s="601"/>
      <c r="BI134" s="601"/>
      <c r="BJ134" s="597"/>
      <c r="BK134" s="598"/>
      <c r="BL134" s="598"/>
      <c r="BM134" s="598"/>
      <c r="BN134" s="598"/>
      <c r="BO134" s="598"/>
      <c r="BP134" s="598"/>
      <c r="BQ134" s="598"/>
      <c r="BR134" s="598"/>
      <c r="BS134" s="598"/>
      <c r="BT134" s="598"/>
      <c r="BU134" s="599"/>
      <c r="BV134" s="31"/>
      <c r="BW134" s="31"/>
    </row>
    <row r="135" spans="43:75" x14ac:dyDescent="0.25">
      <c r="AQ135" s="31"/>
      <c r="AR135" s="590"/>
      <c r="AS135" s="597"/>
      <c r="AT135" s="598"/>
      <c r="AU135" s="599"/>
      <c r="AV135" s="596"/>
      <c r="AW135" s="596"/>
      <c r="AX135" s="596"/>
      <c r="AY135" s="596"/>
      <c r="AZ135" s="603"/>
      <c r="BA135" s="31"/>
      <c r="BB135" s="31"/>
      <c r="BC135" s="31"/>
      <c r="BD135" s="595"/>
      <c r="BE135" s="596"/>
      <c r="BF135" s="596"/>
      <c r="BG135" s="596"/>
      <c r="BH135" s="596"/>
      <c r="BI135" s="596"/>
      <c r="BJ135" s="597"/>
      <c r="BK135" s="598"/>
      <c r="BL135" s="598"/>
      <c r="BM135" s="598"/>
      <c r="BN135" s="598"/>
      <c r="BO135" s="598"/>
      <c r="BP135" s="598"/>
      <c r="BQ135" s="598"/>
      <c r="BR135" s="598"/>
      <c r="BS135" s="598"/>
      <c r="BT135" s="598"/>
      <c r="BU135" s="599"/>
      <c r="BV135" s="31"/>
      <c r="BW135" s="31"/>
    </row>
    <row r="136" spans="43:75" x14ac:dyDescent="0.25">
      <c r="AQ136" s="31"/>
      <c r="AR136" s="590"/>
      <c r="AS136" s="597"/>
      <c r="AT136" s="598"/>
      <c r="AU136" s="599"/>
      <c r="AV136" s="598"/>
      <c r="AW136" s="598"/>
      <c r="AX136" s="598"/>
      <c r="AY136" s="598"/>
      <c r="AZ136" s="599"/>
      <c r="BA136" s="31"/>
      <c r="BB136" s="31"/>
      <c r="BC136" s="31"/>
      <c r="BD136" s="597"/>
      <c r="BE136" s="598"/>
      <c r="BF136" s="598"/>
      <c r="BG136" s="598"/>
      <c r="BH136" s="598"/>
      <c r="BI136" s="598"/>
      <c r="BJ136" s="597"/>
      <c r="BK136" s="598"/>
      <c r="BL136" s="598"/>
      <c r="BM136" s="598"/>
      <c r="BN136" s="598"/>
      <c r="BO136" s="598"/>
      <c r="BP136" s="598"/>
      <c r="BQ136" s="598"/>
      <c r="BR136" s="598"/>
      <c r="BS136" s="598"/>
      <c r="BT136" s="598"/>
      <c r="BU136" s="599"/>
      <c r="BV136" s="31"/>
      <c r="BW136" s="31"/>
    </row>
    <row r="137" spans="43:75" x14ac:dyDescent="0.25">
      <c r="AQ137" s="31"/>
      <c r="AR137" s="590"/>
      <c r="AS137" s="597"/>
      <c r="AT137" s="598"/>
      <c r="AU137" s="599"/>
      <c r="AV137" s="598"/>
      <c r="AW137" s="598"/>
      <c r="AX137" s="598"/>
      <c r="AY137" s="598"/>
      <c r="AZ137" s="599"/>
      <c r="BA137" s="31"/>
      <c r="BB137" s="31"/>
      <c r="BC137" s="31"/>
      <c r="BD137" s="597"/>
      <c r="BE137" s="598"/>
      <c r="BF137" s="598"/>
      <c r="BG137" s="598"/>
      <c r="BH137" s="598"/>
      <c r="BI137" s="598"/>
      <c r="BJ137" s="597"/>
      <c r="BK137" s="598"/>
      <c r="BL137" s="598"/>
      <c r="BM137" s="598"/>
      <c r="BN137" s="598"/>
      <c r="BO137" s="598"/>
      <c r="BP137" s="598"/>
      <c r="BQ137" s="598"/>
      <c r="BR137" s="598"/>
      <c r="BS137" s="598"/>
      <c r="BT137" s="598"/>
      <c r="BU137" s="599"/>
      <c r="BV137" s="31"/>
      <c r="BW137" s="31"/>
    </row>
    <row r="138" spans="43:75" x14ac:dyDescent="0.25">
      <c r="AQ138" s="31"/>
      <c r="AR138" s="590"/>
      <c r="AS138" s="597"/>
      <c r="AT138" s="598"/>
      <c r="AU138" s="599"/>
      <c r="AV138" s="601"/>
      <c r="AW138" s="601"/>
      <c r="AX138" s="601"/>
      <c r="AY138" s="601"/>
      <c r="AZ138" s="602"/>
      <c r="BA138" s="31"/>
      <c r="BB138" s="31"/>
      <c r="BC138" s="31"/>
      <c r="BD138" s="597"/>
      <c r="BE138" s="598"/>
      <c r="BF138" s="598"/>
      <c r="BG138" s="598"/>
      <c r="BH138" s="598"/>
      <c r="BI138" s="598"/>
      <c r="BJ138" s="597"/>
      <c r="BK138" s="598"/>
      <c r="BL138" s="598"/>
      <c r="BM138" s="598"/>
      <c r="BN138" s="598"/>
      <c r="BO138" s="598"/>
      <c r="BP138" s="598"/>
      <c r="BQ138" s="598"/>
      <c r="BR138" s="598"/>
      <c r="BS138" s="598"/>
      <c r="BT138" s="598"/>
      <c r="BU138" s="599"/>
      <c r="BV138" s="31"/>
      <c r="BW138" s="31"/>
    </row>
    <row r="139" spans="43:75" x14ac:dyDescent="0.25">
      <c r="AQ139" s="31"/>
      <c r="AR139" s="590"/>
      <c r="AS139" s="597"/>
      <c r="AT139" s="598"/>
      <c r="AU139" s="599"/>
      <c r="AV139" s="587"/>
      <c r="AW139" s="587"/>
      <c r="AX139" s="587"/>
      <c r="AY139" s="587"/>
      <c r="AZ139" s="588"/>
      <c r="BA139" s="31"/>
      <c r="BB139" s="31"/>
      <c r="BC139" s="31"/>
      <c r="BD139" s="600"/>
      <c r="BE139" s="601"/>
      <c r="BF139" s="601"/>
      <c r="BG139" s="601"/>
      <c r="BH139" s="601"/>
      <c r="BI139" s="601"/>
      <c r="BJ139" s="597"/>
      <c r="BK139" s="598"/>
      <c r="BL139" s="598"/>
      <c r="BM139" s="598"/>
      <c r="BN139" s="598"/>
      <c r="BO139" s="598"/>
      <c r="BP139" s="598"/>
      <c r="BQ139" s="598"/>
      <c r="BR139" s="598"/>
      <c r="BS139" s="598"/>
      <c r="BT139" s="598"/>
      <c r="BU139" s="599"/>
      <c r="BV139" s="31"/>
      <c r="BW139" s="31"/>
    </row>
    <row r="140" spans="43:75" x14ac:dyDescent="0.25">
      <c r="AQ140" s="31"/>
      <c r="AR140" s="590"/>
      <c r="AS140" s="597"/>
      <c r="AT140" s="598"/>
      <c r="AU140" s="599"/>
      <c r="AV140" s="590"/>
      <c r="AW140" s="590"/>
      <c r="AX140" s="590"/>
      <c r="AY140" s="590"/>
      <c r="AZ140" s="591"/>
      <c r="BA140" s="31"/>
      <c r="BB140" s="31"/>
      <c r="BC140" s="31"/>
      <c r="BD140" s="31"/>
      <c r="BE140" s="31"/>
      <c r="BF140" s="31"/>
      <c r="BG140" s="586"/>
      <c r="BH140" s="587"/>
      <c r="BI140" s="587"/>
      <c r="BJ140" s="597"/>
      <c r="BK140" s="598"/>
      <c r="BL140" s="598"/>
      <c r="BM140" s="598"/>
      <c r="BN140" s="598"/>
      <c r="BO140" s="598"/>
      <c r="BP140" s="598"/>
      <c r="BQ140" s="598"/>
      <c r="BR140" s="598"/>
      <c r="BS140" s="598"/>
      <c r="BT140" s="598"/>
      <c r="BU140" s="599"/>
      <c r="BV140" s="31"/>
      <c r="BW140" s="31"/>
    </row>
    <row r="141" spans="43:75" x14ac:dyDescent="0.25">
      <c r="AQ141" s="31"/>
      <c r="AR141" s="590"/>
      <c r="AS141" s="597"/>
      <c r="AT141" s="598"/>
      <c r="AU141" s="599"/>
      <c r="AV141" s="590"/>
      <c r="AW141" s="590"/>
      <c r="AX141" s="590"/>
      <c r="AY141" s="590"/>
      <c r="AZ141" s="591"/>
      <c r="BA141" s="31"/>
      <c r="BB141" s="31"/>
      <c r="BC141" s="31"/>
      <c r="BD141" s="31"/>
      <c r="BE141" s="31"/>
      <c r="BF141" s="31"/>
      <c r="BG141" s="589"/>
      <c r="BH141" s="590"/>
      <c r="BI141" s="590"/>
      <c r="BJ141" s="597"/>
      <c r="BK141" s="598"/>
      <c r="BL141" s="598"/>
      <c r="BM141" s="598"/>
      <c r="BN141" s="598"/>
      <c r="BO141" s="598"/>
      <c r="BP141" s="598"/>
      <c r="BQ141" s="598"/>
      <c r="BR141" s="598"/>
      <c r="BS141" s="598"/>
      <c r="BT141" s="598"/>
      <c r="BU141" s="599"/>
      <c r="BV141" s="31"/>
      <c r="BW141" s="31"/>
    </row>
    <row r="142" spans="43:75" x14ac:dyDescent="0.25">
      <c r="AQ142" s="31"/>
      <c r="AR142" s="590"/>
      <c r="AS142" s="597"/>
      <c r="AT142" s="598"/>
      <c r="AU142" s="599"/>
      <c r="AV142" s="590"/>
      <c r="AW142" s="590"/>
      <c r="AX142" s="590"/>
      <c r="AY142" s="590"/>
      <c r="AZ142" s="591"/>
      <c r="BA142" s="31"/>
      <c r="BB142" s="31"/>
      <c r="BC142" s="31"/>
      <c r="BD142" s="31"/>
      <c r="BE142" s="31"/>
      <c r="BF142" s="31"/>
      <c r="BG142" s="589"/>
      <c r="BH142" s="590"/>
      <c r="BI142" s="590"/>
      <c r="BJ142" s="597"/>
      <c r="BK142" s="598"/>
      <c r="BL142" s="598"/>
      <c r="BM142" s="598"/>
      <c r="BN142" s="598"/>
      <c r="BO142" s="598"/>
      <c r="BP142" s="598"/>
      <c r="BQ142" s="598"/>
      <c r="BR142" s="598"/>
      <c r="BS142" s="598"/>
      <c r="BT142" s="598"/>
      <c r="BU142" s="599"/>
      <c r="BV142" s="31"/>
      <c r="BW142" s="31"/>
    </row>
    <row r="143" spans="43:75" x14ac:dyDescent="0.25">
      <c r="AQ143" s="31"/>
      <c r="AR143" s="590"/>
      <c r="AS143" s="597"/>
      <c r="AT143" s="598"/>
      <c r="AU143" s="599"/>
      <c r="AV143" s="593"/>
      <c r="AW143" s="593"/>
      <c r="AX143" s="593"/>
      <c r="AY143" s="593"/>
      <c r="AZ143" s="594"/>
      <c r="BA143" s="31"/>
      <c r="BB143" s="31"/>
      <c r="BC143" s="31"/>
      <c r="BD143" s="31"/>
      <c r="BE143" s="31"/>
      <c r="BF143" s="31"/>
      <c r="BG143" s="592"/>
      <c r="BH143" s="593"/>
      <c r="BI143" s="593"/>
      <c r="BJ143" s="597"/>
      <c r="BK143" s="598"/>
      <c r="BL143" s="598"/>
      <c r="BM143" s="598"/>
      <c r="BN143" s="598"/>
      <c r="BO143" s="598"/>
      <c r="BP143" s="598"/>
      <c r="BQ143" s="598"/>
      <c r="BR143" s="598"/>
      <c r="BS143" s="598"/>
      <c r="BT143" s="598"/>
      <c r="BU143" s="599"/>
      <c r="BV143" s="31"/>
      <c r="BW143" s="31"/>
    </row>
    <row r="144" spans="43:75" x14ac:dyDescent="0.25">
      <c r="AQ144" s="31"/>
      <c r="AR144" s="590"/>
      <c r="AS144" s="600"/>
      <c r="AT144" s="601"/>
      <c r="AU144" s="602"/>
      <c r="AV144" s="406"/>
      <c r="AW144" s="406"/>
      <c r="AX144" s="406"/>
      <c r="AY144" s="406"/>
      <c r="AZ144" s="406"/>
      <c r="BA144" s="31"/>
      <c r="BB144" s="31"/>
      <c r="BC144" s="31"/>
      <c r="BD144" s="31"/>
      <c r="BE144" s="31"/>
      <c r="BF144" s="31"/>
      <c r="BG144" s="406"/>
      <c r="BH144" s="406"/>
      <c r="BI144" s="406"/>
      <c r="BJ144" s="597"/>
      <c r="BK144" s="598"/>
      <c r="BL144" s="598"/>
      <c r="BM144" s="598"/>
      <c r="BN144" s="598"/>
      <c r="BO144" s="598"/>
      <c r="BP144" s="598"/>
      <c r="BQ144" s="598"/>
      <c r="BR144" s="598"/>
      <c r="BS144" s="598"/>
      <c r="BT144" s="598"/>
      <c r="BU144" s="599"/>
      <c r="BV144" s="31"/>
      <c r="BW144" s="31"/>
    </row>
    <row r="145" spans="43:75" x14ac:dyDescent="0.25">
      <c r="AQ145" s="31"/>
      <c r="AR145" s="590"/>
      <c r="AS145" s="590"/>
      <c r="AT145" s="590"/>
      <c r="AU145" s="590"/>
      <c r="AV145" s="406"/>
      <c r="AW145" s="406"/>
      <c r="AX145" s="406"/>
      <c r="AY145" s="406"/>
      <c r="AZ145" s="406"/>
      <c r="BA145" s="31"/>
      <c r="BB145" s="31"/>
      <c r="BC145" s="31"/>
      <c r="BD145" s="31"/>
      <c r="BE145" s="31"/>
      <c r="BF145" s="31"/>
      <c r="BG145" s="406"/>
      <c r="BH145" s="406"/>
      <c r="BI145" s="406"/>
      <c r="BJ145" s="600"/>
      <c r="BK145" s="601"/>
      <c r="BL145" s="601"/>
      <c r="BM145" s="601"/>
      <c r="BN145" s="601"/>
      <c r="BO145" s="601"/>
      <c r="BP145" s="601"/>
      <c r="BQ145" s="601"/>
      <c r="BR145" s="601"/>
      <c r="BS145" s="601"/>
      <c r="BT145" s="601"/>
      <c r="BU145" s="602"/>
      <c r="BV145" s="31"/>
      <c r="BW145" s="31"/>
    </row>
    <row r="146" spans="43:75" x14ac:dyDescent="0.25"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</row>
    <row r="147" spans="43:75" x14ac:dyDescent="0.25"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</row>
    <row r="148" spans="43:75" x14ac:dyDescent="0.25"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</row>
  </sheetData>
  <mergeCells count="103">
    <mergeCell ref="L10:N10"/>
    <mergeCell ref="V3:V4"/>
    <mergeCell ref="F3:F4"/>
    <mergeCell ref="O3:O4"/>
    <mergeCell ref="N3:N4"/>
    <mergeCell ref="G3:G4"/>
    <mergeCell ref="H3:H4"/>
    <mergeCell ref="I3:I4"/>
    <mergeCell ref="J3:J4"/>
    <mergeCell ref="K3:K4"/>
    <mergeCell ref="L3:L4"/>
    <mergeCell ref="M3:M4"/>
    <mergeCell ref="E53:E54"/>
    <mergeCell ref="F53:F54"/>
    <mergeCell ref="G53:G54"/>
    <mergeCell ref="H53:H54"/>
    <mergeCell ref="I53:I54"/>
    <mergeCell ref="AI2:AI3"/>
    <mergeCell ref="AJ2:AJ3"/>
    <mergeCell ref="AK2:AK3"/>
    <mergeCell ref="AL2:AL3"/>
    <mergeCell ref="AC24:AE24"/>
    <mergeCell ref="AI8:AI9"/>
    <mergeCell ref="AJ8:AJ9"/>
    <mergeCell ref="AK8:AK9"/>
    <mergeCell ref="AL8:AL9"/>
    <mergeCell ref="AJ23:AK23"/>
    <mergeCell ref="Y3:Y4"/>
    <mergeCell ref="E15:E16"/>
    <mergeCell ref="F15:F16"/>
    <mergeCell ref="G15:G16"/>
    <mergeCell ref="H15:H16"/>
    <mergeCell ref="I15:I16"/>
    <mergeCell ref="W3:W4"/>
    <mergeCell ref="X3:X4"/>
    <mergeCell ref="E3:E4"/>
    <mergeCell ref="E29:E30"/>
    <mergeCell ref="F29:F30"/>
    <mergeCell ref="G29:G30"/>
    <mergeCell ref="E41:E42"/>
    <mergeCell ref="F41:F42"/>
    <mergeCell ref="G41:G42"/>
    <mergeCell ref="W11:X11"/>
    <mergeCell ref="I41:I42"/>
    <mergeCell ref="J41:J42"/>
    <mergeCell ref="L29:L30"/>
    <mergeCell ref="M29:M30"/>
    <mergeCell ref="N29:N30"/>
    <mergeCell ref="K41:K42"/>
    <mergeCell ref="L41:L42"/>
    <mergeCell ref="L24:N24"/>
    <mergeCell ref="O15:O16"/>
    <mergeCell ref="H29:H30"/>
    <mergeCell ref="I29:I30"/>
    <mergeCell ref="H41:H42"/>
    <mergeCell ref="O29:O30"/>
    <mergeCell ref="O41:O42"/>
    <mergeCell ref="AV77:BI80"/>
    <mergeCell ref="BL80:BO83"/>
    <mergeCell ref="J15:J16"/>
    <mergeCell ref="K15:K16"/>
    <mergeCell ref="L15:L16"/>
    <mergeCell ref="M15:M16"/>
    <mergeCell ref="N15:N16"/>
    <mergeCell ref="L36:N36"/>
    <mergeCell ref="L48:N48"/>
    <mergeCell ref="L58:N58"/>
    <mergeCell ref="M41:M42"/>
    <mergeCell ref="N41:N42"/>
    <mergeCell ref="J29:J30"/>
    <mergeCell ref="K29:K30"/>
    <mergeCell ref="O53:O54"/>
    <mergeCell ref="J53:J54"/>
    <mergeCell ref="K53:K54"/>
    <mergeCell ref="L53:L54"/>
    <mergeCell ref="M53:M54"/>
    <mergeCell ref="N53:N54"/>
    <mergeCell ref="BJ93:BU107"/>
    <mergeCell ref="AV93:BI96"/>
    <mergeCell ref="AV97:AZ100"/>
    <mergeCell ref="BD97:BI101"/>
    <mergeCell ref="AV101:AZ105"/>
    <mergeCell ref="BG102:BI105"/>
    <mergeCell ref="AV81:BK92"/>
    <mergeCell ref="BL91:BU92"/>
    <mergeCell ref="AS107:AU107"/>
    <mergeCell ref="AR85:AU93"/>
    <mergeCell ref="AR94:AR107"/>
    <mergeCell ref="AS94:AU106"/>
    <mergeCell ref="AV115:BI118"/>
    <mergeCell ref="BL118:BO121"/>
    <mergeCell ref="AV119:BK130"/>
    <mergeCell ref="AR123:AU131"/>
    <mergeCell ref="BL129:BU130"/>
    <mergeCell ref="AV131:BI134"/>
    <mergeCell ref="BJ131:BU145"/>
    <mergeCell ref="AR132:AR145"/>
    <mergeCell ref="AS132:AU144"/>
    <mergeCell ref="AV135:AZ138"/>
    <mergeCell ref="BD135:BI139"/>
    <mergeCell ref="AV139:AZ143"/>
    <mergeCell ref="BG140:BI143"/>
    <mergeCell ref="AS145:AU145"/>
  </mergeCells>
  <pageMargins left="0.7" right="0.7" top="0.75" bottom="0.75" header="0.3" footer="0.3"/>
  <pageSetup orientation="portrait" r:id="rId1"/>
  <ignoredErrors>
    <ignoredError sqref="R79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topLeftCell="A7" zoomScale="85" zoomScaleNormal="85" zoomScalePageLayoutView="85" workbookViewId="0">
      <selection activeCell="D27" sqref="D27:D34"/>
    </sheetView>
  </sheetViews>
  <sheetFormatPr baseColWidth="10" defaultColWidth="10.85546875" defaultRowHeight="15" x14ac:dyDescent="0.25"/>
  <cols>
    <col min="1" max="1" width="7.140625" customWidth="1"/>
    <col min="2" max="2" width="14.28515625" customWidth="1"/>
    <col min="3" max="4" width="28.42578125" customWidth="1"/>
    <col min="5" max="5" width="32.140625" customWidth="1"/>
    <col min="6" max="6" width="32.42578125" customWidth="1"/>
    <col min="12" max="12" width="5" customWidth="1"/>
    <col min="14" max="19" width="14.28515625" customWidth="1"/>
    <col min="20" max="20" width="45.7109375" customWidth="1"/>
  </cols>
  <sheetData>
    <row r="1" spans="1:12" ht="15" customHeight="1" x14ac:dyDescent="0.25">
      <c r="A1" s="623" t="s">
        <v>767</v>
      </c>
      <c r="B1" s="624"/>
      <c r="C1" s="627" t="s">
        <v>768</v>
      </c>
      <c r="D1" s="627" t="s">
        <v>769</v>
      </c>
      <c r="E1" s="627" t="s">
        <v>761</v>
      </c>
      <c r="F1" s="627" t="s">
        <v>762</v>
      </c>
      <c r="G1" s="622" t="s">
        <v>763</v>
      </c>
      <c r="H1" s="622"/>
      <c r="I1" s="622"/>
      <c r="J1" s="622"/>
      <c r="K1" s="622"/>
      <c r="L1" s="613" t="s">
        <v>815</v>
      </c>
    </row>
    <row r="2" spans="1:12" ht="57.75" customHeight="1" x14ac:dyDescent="0.25">
      <c r="A2" s="625"/>
      <c r="B2" s="626"/>
      <c r="C2" s="628"/>
      <c r="D2" s="628"/>
      <c r="E2" s="628"/>
      <c r="F2" s="628"/>
      <c r="G2" s="199" t="s">
        <v>764</v>
      </c>
      <c r="H2" s="199" t="s">
        <v>765</v>
      </c>
      <c r="I2" s="199" t="s">
        <v>766</v>
      </c>
      <c r="J2" s="199" t="s">
        <v>859</v>
      </c>
      <c r="K2" s="200" t="s">
        <v>860</v>
      </c>
      <c r="L2" s="613"/>
    </row>
    <row r="3" spans="1:12" ht="15" customHeight="1" x14ac:dyDescent="0.25">
      <c r="A3" s="491">
        <v>1</v>
      </c>
      <c r="B3" s="614" t="s">
        <v>770</v>
      </c>
      <c r="C3" s="620" t="s">
        <v>782</v>
      </c>
      <c r="D3" s="620" t="s">
        <v>786</v>
      </c>
      <c r="E3" s="620" t="s">
        <v>802</v>
      </c>
      <c r="F3" s="620" t="s">
        <v>808</v>
      </c>
      <c r="G3" s="620">
        <v>1</v>
      </c>
      <c r="H3" s="620">
        <v>2</v>
      </c>
      <c r="I3" s="620">
        <v>5</v>
      </c>
      <c r="J3" s="620">
        <v>3</v>
      </c>
      <c r="K3" s="616">
        <f>(G3+I3+J3)*H3</f>
        <v>18</v>
      </c>
      <c r="L3" s="612" t="s">
        <v>816</v>
      </c>
    </row>
    <row r="4" spans="1:12" x14ac:dyDescent="0.25">
      <c r="A4" s="491"/>
      <c r="B4" s="615"/>
      <c r="C4" s="620"/>
      <c r="D4" s="620"/>
      <c r="E4" s="620"/>
      <c r="F4" s="620"/>
      <c r="G4" s="620"/>
      <c r="H4" s="620"/>
      <c r="I4" s="620"/>
      <c r="J4" s="620"/>
      <c r="K4" s="616"/>
      <c r="L4" s="612"/>
    </row>
    <row r="5" spans="1:12" x14ac:dyDescent="0.25">
      <c r="A5" s="491">
        <v>2</v>
      </c>
      <c r="B5" s="614" t="s">
        <v>771</v>
      </c>
      <c r="C5" s="620"/>
      <c r="D5" s="620"/>
      <c r="E5" s="620"/>
      <c r="F5" s="620"/>
      <c r="G5" s="620"/>
      <c r="H5" s="620"/>
      <c r="I5" s="620"/>
      <c r="J5" s="620"/>
      <c r="K5" s="616"/>
      <c r="L5" s="612"/>
    </row>
    <row r="6" spans="1:12" x14ac:dyDescent="0.25">
      <c r="A6" s="491"/>
      <c r="B6" s="615"/>
      <c r="C6" s="620"/>
      <c r="D6" s="620"/>
      <c r="E6" s="620"/>
      <c r="F6" s="620"/>
      <c r="G6" s="620"/>
      <c r="H6" s="620"/>
      <c r="I6" s="620"/>
      <c r="J6" s="620"/>
      <c r="K6" s="616"/>
      <c r="L6" s="612"/>
    </row>
    <row r="7" spans="1:12" ht="15" customHeight="1" x14ac:dyDescent="0.25">
      <c r="A7" s="491">
        <v>3</v>
      </c>
      <c r="B7" s="614" t="s">
        <v>772</v>
      </c>
      <c r="C7" s="620" t="s">
        <v>783</v>
      </c>
      <c r="D7" s="620" t="s">
        <v>789</v>
      </c>
      <c r="E7" s="201" t="s">
        <v>787</v>
      </c>
      <c r="F7" s="201" t="s">
        <v>808</v>
      </c>
      <c r="G7" s="198">
        <v>1</v>
      </c>
      <c r="H7" s="198">
        <v>2</v>
      </c>
      <c r="I7" s="198">
        <v>5</v>
      </c>
      <c r="J7" s="198">
        <v>3</v>
      </c>
      <c r="K7" s="198">
        <f>(G7+I7+J7)*H7</f>
        <v>18</v>
      </c>
      <c r="L7" s="202" t="s">
        <v>816</v>
      </c>
    </row>
    <row r="8" spans="1:12" ht="15" customHeight="1" x14ac:dyDescent="0.25">
      <c r="A8" s="491"/>
      <c r="B8" s="621"/>
      <c r="C8" s="620"/>
      <c r="D8" s="620"/>
      <c r="E8" s="201" t="s">
        <v>813</v>
      </c>
      <c r="F8" s="201" t="s">
        <v>811</v>
      </c>
      <c r="G8" s="198">
        <v>1</v>
      </c>
      <c r="H8" s="198">
        <v>2</v>
      </c>
      <c r="I8" s="198">
        <v>5</v>
      </c>
      <c r="J8" s="198">
        <v>3</v>
      </c>
      <c r="K8" s="198">
        <f>(G8+I8+J8)*H8</f>
        <v>18</v>
      </c>
      <c r="L8" s="202" t="s">
        <v>816</v>
      </c>
    </row>
    <row r="9" spans="1:12" x14ac:dyDescent="0.25">
      <c r="A9" s="491"/>
      <c r="B9" s="621"/>
      <c r="C9" s="620"/>
      <c r="D9" s="620"/>
      <c r="E9" s="198" t="s">
        <v>788</v>
      </c>
      <c r="F9" s="198" t="s">
        <v>810</v>
      </c>
      <c r="G9" s="202">
        <v>2</v>
      </c>
      <c r="H9" s="202">
        <v>2</v>
      </c>
      <c r="I9" s="202">
        <v>5</v>
      </c>
      <c r="J9" s="202">
        <v>3</v>
      </c>
      <c r="K9" s="198">
        <f>(G9+I9+J9)*H9</f>
        <v>20</v>
      </c>
      <c r="L9" s="202" t="s">
        <v>816</v>
      </c>
    </row>
    <row r="10" spans="1:12" x14ac:dyDescent="0.25">
      <c r="A10" s="491"/>
      <c r="B10" s="615"/>
      <c r="C10" s="620"/>
      <c r="D10" s="620"/>
      <c r="E10" s="198" t="s">
        <v>809</v>
      </c>
      <c r="F10" s="202" t="s">
        <v>812</v>
      </c>
      <c r="G10" s="202">
        <v>2</v>
      </c>
      <c r="H10" s="202">
        <v>2</v>
      </c>
      <c r="I10" s="202">
        <v>5</v>
      </c>
      <c r="J10" s="202">
        <v>3</v>
      </c>
      <c r="K10" s="198">
        <f>(G10+I10+J10)*H10</f>
        <v>20</v>
      </c>
      <c r="L10" s="202" t="s">
        <v>816</v>
      </c>
    </row>
    <row r="11" spans="1:12" x14ac:dyDescent="0.25">
      <c r="A11" s="491">
        <v>4</v>
      </c>
      <c r="B11" s="614" t="s">
        <v>773</v>
      </c>
      <c r="C11" s="620" t="s">
        <v>1178</v>
      </c>
      <c r="D11" s="620" t="s">
        <v>1179</v>
      </c>
      <c r="E11" s="620" t="s">
        <v>801</v>
      </c>
      <c r="F11" s="620" t="s">
        <v>808</v>
      </c>
      <c r="G11" s="612">
        <v>1</v>
      </c>
      <c r="H11" s="612">
        <v>2</v>
      </c>
      <c r="I11" s="612">
        <v>5</v>
      </c>
      <c r="J11" s="612">
        <v>3</v>
      </c>
      <c r="K11" s="612">
        <f>(G11+I11+J11)*H11</f>
        <v>18</v>
      </c>
      <c r="L11" s="612" t="s">
        <v>816</v>
      </c>
    </row>
    <row r="12" spans="1:12" x14ac:dyDescent="0.25">
      <c r="A12" s="491"/>
      <c r="B12" s="615"/>
      <c r="C12" s="620"/>
      <c r="D12" s="620"/>
      <c r="E12" s="620"/>
      <c r="F12" s="620"/>
      <c r="G12" s="612"/>
      <c r="H12" s="612"/>
      <c r="I12" s="612"/>
      <c r="J12" s="612"/>
      <c r="K12" s="612"/>
      <c r="L12" s="612"/>
    </row>
    <row r="13" spans="1:12" ht="15" customHeight="1" x14ac:dyDescent="0.25">
      <c r="A13" s="491">
        <v>5</v>
      </c>
      <c r="B13" s="614" t="s">
        <v>774</v>
      </c>
      <c r="C13" s="617" t="s">
        <v>784</v>
      </c>
      <c r="D13" s="620" t="s">
        <v>1180</v>
      </c>
      <c r="E13" s="198" t="s">
        <v>809</v>
      </c>
      <c r="F13" s="202" t="s">
        <v>812</v>
      </c>
      <c r="G13" s="202">
        <v>2</v>
      </c>
      <c r="H13" s="202">
        <v>2</v>
      </c>
      <c r="I13" s="202">
        <v>5</v>
      </c>
      <c r="J13" s="202">
        <v>3</v>
      </c>
      <c r="K13" s="202">
        <f>(G13+I13+J13)*H13</f>
        <v>20</v>
      </c>
      <c r="L13" s="202" t="s">
        <v>816</v>
      </c>
    </row>
    <row r="14" spans="1:12" ht="15" customHeight="1" x14ac:dyDescent="0.25">
      <c r="A14" s="491"/>
      <c r="B14" s="615"/>
      <c r="C14" s="618"/>
      <c r="D14" s="620"/>
      <c r="E14" s="198" t="s">
        <v>787</v>
      </c>
      <c r="F14" s="201" t="s">
        <v>808</v>
      </c>
      <c r="G14" s="202">
        <v>1</v>
      </c>
      <c r="H14" s="202">
        <v>2</v>
      </c>
      <c r="I14" s="202">
        <v>5</v>
      </c>
      <c r="J14" s="202">
        <v>3</v>
      </c>
      <c r="K14" s="202">
        <f t="shared" ref="K14:K19" si="0">(G14+I14+J14)*H14</f>
        <v>18</v>
      </c>
      <c r="L14" s="202" t="s">
        <v>816</v>
      </c>
    </row>
    <row r="15" spans="1:12" ht="15" customHeight="1" x14ac:dyDescent="0.25">
      <c r="A15" s="491">
        <v>6</v>
      </c>
      <c r="B15" s="614" t="s">
        <v>1061</v>
      </c>
      <c r="C15" s="620" t="s">
        <v>793</v>
      </c>
      <c r="D15" s="620" t="s">
        <v>1181</v>
      </c>
      <c r="E15" s="198" t="s">
        <v>809</v>
      </c>
      <c r="F15" s="202" t="s">
        <v>812</v>
      </c>
      <c r="G15" s="202">
        <v>2</v>
      </c>
      <c r="H15" s="202">
        <v>2</v>
      </c>
      <c r="I15" s="202">
        <v>5</v>
      </c>
      <c r="J15" s="202">
        <v>3</v>
      </c>
      <c r="K15" s="202">
        <f>(G15+I15+J15)*H15</f>
        <v>20</v>
      </c>
      <c r="L15" s="202" t="s">
        <v>816</v>
      </c>
    </row>
    <row r="16" spans="1:12" ht="15" customHeight="1" x14ac:dyDescent="0.25">
      <c r="A16" s="491"/>
      <c r="B16" s="615"/>
      <c r="C16" s="620"/>
      <c r="D16" s="620"/>
      <c r="E16" s="198" t="s">
        <v>787</v>
      </c>
      <c r="F16" s="201" t="s">
        <v>808</v>
      </c>
      <c r="G16" s="202">
        <v>1</v>
      </c>
      <c r="H16" s="202">
        <v>2</v>
      </c>
      <c r="I16" s="202">
        <v>5</v>
      </c>
      <c r="J16" s="202">
        <v>3</v>
      </c>
      <c r="K16" s="202">
        <f>(G16+I16+J16)*H16</f>
        <v>18</v>
      </c>
      <c r="L16" s="202" t="s">
        <v>816</v>
      </c>
    </row>
    <row r="17" spans="1:12" x14ac:dyDescent="0.25">
      <c r="A17" s="491">
        <v>7</v>
      </c>
      <c r="B17" s="612" t="s">
        <v>775</v>
      </c>
      <c r="C17" s="620" t="s">
        <v>784</v>
      </c>
      <c r="D17" s="620" t="s">
        <v>794</v>
      </c>
      <c r="E17" s="249" t="s">
        <v>809</v>
      </c>
      <c r="F17" s="250" t="s">
        <v>812</v>
      </c>
      <c r="G17" s="202">
        <v>2</v>
      </c>
      <c r="H17" s="202">
        <v>2</v>
      </c>
      <c r="I17" s="202">
        <v>5</v>
      </c>
      <c r="J17" s="202">
        <v>3</v>
      </c>
      <c r="K17" s="202">
        <f t="shared" si="0"/>
        <v>20</v>
      </c>
      <c r="L17" s="202" t="s">
        <v>816</v>
      </c>
    </row>
    <row r="18" spans="1:12" x14ac:dyDescent="0.25">
      <c r="A18" s="491"/>
      <c r="B18" s="612"/>
      <c r="C18" s="620"/>
      <c r="D18" s="620"/>
      <c r="E18" s="249" t="s">
        <v>787</v>
      </c>
      <c r="F18" s="249" t="s">
        <v>808</v>
      </c>
      <c r="G18" s="202">
        <v>1</v>
      </c>
      <c r="H18" s="202">
        <v>2</v>
      </c>
      <c r="I18" s="202">
        <v>5</v>
      </c>
      <c r="J18" s="202">
        <v>3</v>
      </c>
      <c r="K18" s="202">
        <f t="shared" si="0"/>
        <v>18</v>
      </c>
      <c r="L18" s="202" t="s">
        <v>816</v>
      </c>
    </row>
    <row r="19" spans="1:12" ht="15" customHeight="1" x14ac:dyDescent="0.25">
      <c r="A19" s="491">
        <v>8</v>
      </c>
      <c r="B19" s="614" t="s">
        <v>776</v>
      </c>
      <c r="C19" s="620" t="s">
        <v>1452</v>
      </c>
      <c r="D19" s="620" t="s">
        <v>795</v>
      </c>
      <c r="E19" s="198" t="s">
        <v>809</v>
      </c>
      <c r="F19" s="202" t="s">
        <v>812</v>
      </c>
      <c r="G19" s="202">
        <v>2</v>
      </c>
      <c r="H19" s="202">
        <v>2</v>
      </c>
      <c r="I19" s="202">
        <v>5</v>
      </c>
      <c r="J19" s="202">
        <v>3</v>
      </c>
      <c r="K19" s="202">
        <f t="shared" si="0"/>
        <v>20</v>
      </c>
      <c r="L19" s="202" t="s">
        <v>816</v>
      </c>
    </row>
    <row r="20" spans="1:12" x14ac:dyDescent="0.25">
      <c r="A20" s="491"/>
      <c r="B20" s="621"/>
      <c r="C20" s="620"/>
      <c r="D20" s="620"/>
      <c r="E20" s="617" t="s">
        <v>796</v>
      </c>
      <c r="F20" s="617" t="s">
        <v>811</v>
      </c>
      <c r="G20" s="614">
        <v>1</v>
      </c>
      <c r="H20" s="614">
        <v>2</v>
      </c>
      <c r="I20" s="614">
        <v>5</v>
      </c>
      <c r="J20" s="614">
        <v>3</v>
      </c>
      <c r="K20" s="614">
        <f>(G20+I20+J20)*H20</f>
        <v>18</v>
      </c>
      <c r="L20" s="612" t="s">
        <v>816</v>
      </c>
    </row>
    <row r="21" spans="1:12" x14ac:dyDescent="0.25">
      <c r="A21" s="491"/>
      <c r="B21" s="621"/>
      <c r="C21" s="620"/>
      <c r="D21" s="620"/>
      <c r="E21" s="618"/>
      <c r="F21" s="618"/>
      <c r="G21" s="615"/>
      <c r="H21" s="615"/>
      <c r="I21" s="615"/>
      <c r="J21" s="615"/>
      <c r="K21" s="615"/>
      <c r="L21" s="612"/>
    </row>
    <row r="22" spans="1:12" x14ac:dyDescent="0.25">
      <c r="A22" s="491"/>
      <c r="B22" s="615"/>
      <c r="C22" s="620"/>
      <c r="D22" s="620"/>
      <c r="E22" s="198" t="s">
        <v>814</v>
      </c>
      <c r="F22" s="198" t="s">
        <v>808</v>
      </c>
      <c r="G22" s="202">
        <v>2</v>
      </c>
      <c r="H22" s="202">
        <v>3</v>
      </c>
      <c r="I22" s="202">
        <v>5</v>
      </c>
      <c r="J22" s="202">
        <v>5</v>
      </c>
      <c r="K22" s="202">
        <f>(G22+I22+J22)*H22</f>
        <v>36</v>
      </c>
      <c r="L22" s="202" t="s">
        <v>858</v>
      </c>
    </row>
    <row r="23" spans="1:12" ht="15" customHeight="1" x14ac:dyDescent="0.25">
      <c r="A23" s="492">
        <v>9</v>
      </c>
      <c r="B23" s="614" t="s">
        <v>777</v>
      </c>
      <c r="C23" s="620" t="s">
        <v>1719</v>
      </c>
      <c r="D23" s="620" t="s">
        <v>797</v>
      </c>
      <c r="E23" s="198" t="s">
        <v>809</v>
      </c>
      <c r="F23" s="202" t="s">
        <v>812</v>
      </c>
      <c r="G23" s="202">
        <v>2</v>
      </c>
      <c r="H23" s="202">
        <v>2</v>
      </c>
      <c r="I23" s="202">
        <v>5</v>
      </c>
      <c r="J23" s="202">
        <v>3</v>
      </c>
      <c r="K23" s="202">
        <f>(G23+I23+J23)*H23</f>
        <v>20</v>
      </c>
      <c r="L23" s="202" t="s">
        <v>816</v>
      </c>
    </row>
    <row r="24" spans="1:12" x14ac:dyDescent="0.25">
      <c r="A24" s="493"/>
      <c r="B24" s="621"/>
      <c r="C24" s="620"/>
      <c r="D24" s="620"/>
      <c r="E24" s="617" t="s">
        <v>796</v>
      </c>
      <c r="F24" s="617" t="s">
        <v>811</v>
      </c>
      <c r="G24" s="614">
        <v>1</v>
      </c>
      <c r="H24" s="614">
        <v>2</v>
      </c>
      <c r="I24" s="614">
        <v>5</v>
      </c>
      <c r="J24" s="614">
        <v>3</v>
      </c>
      <c r="K24" s="614">
        <f>(G24+I24+J24)*H24</f>
        <v>18</v>
      </c>
      <c r="L24" s="612" t="s">
        <v>816</v>
      </c>
    </row>
    <row r="25" spans="1:12" x14ac:dyDescent="0.25">
      <c r="A25" s="493"/>
      <c r="B25" s="621"/>
      <c r="C25" s="620"/>
      <c r="D25" s="620"/>
      <c r="E25" s="618"/>
      <c r="F25" s="618"/>
      <c r="G25" s="615"/>
      <c r="H25" s="615"/>
      <c r="I25" s="615"/>
      <c r="J25" s="615"/>
      <c r="K25" s="615"/>
      <c r="L25" s="612"/>
    </row>
    <row r="26" spans="1:12" x14ac:dyDescent="0.25">
      <c r="A26" s="494"/>
      <c r="B26" s="615"/>
      <c r="C26" s="620"/>
      <c r="D26" s="620"/>
      <c r="E26" s="198" t="s">
        <v>814</v>
      </c>
      <c r="F26" s="617" t="s">
        <v>808</v>
      </c>
      <c r="G26" s="202">
        <v>2</v>
      </c>
      <c r="H26" s="202">
        <v>3</v>
      </c>
      <c r="I26" s="202">
        <v>5</v>
      </c>
      <c r="J26" s="202">
        <v>5</v>
      </c>
      <c r="K26" s="202">
        <f>(G26+I26+J26)*H26</f>
        <v>36</v>
      </c>
      <c r="L26" s="202" t="s">
        <v>858</v>
      </c>
    </row>
    <row r="27" spans="1:12" ht="15" customHeight="1" x14ac:dyDescent="0.25">
      <c r="A27" s="491">
        <v>10</v>
      </c>
      <c r="B27" s="614" t="s">
        <v>778</v>
      </c>
      <c r="C27" s="620" t="s">
        <v>790</v>
      </c>
      <c r="D27" s="617" t="s">
        <v>799</v>
      </c>
      <c r="E27" s="620" t="s">
        <v>800</v>
      </c>
      <c r="F27" s="619"/>
      <c r="G27" s="612">
        <v>1</v>
      </c>
      <c r="H27" s="612">
        <v>2</v>
      </c>
      <c r="I27" s="612">
        <v>5</v>
      </c>
      <c r="J27" s="612">
        <v>3</v>
      </c>
      <c r="K27" s="612">
        <f>(G27+I27+J27)*H27</f>
        <v>18</v>
      </c>
      <c r="L27" s="612" t="s">
        <v>816</v>
      </c>
    </row>
    <row r="28" spans="1:12" x14ac:dyDescent="0.25">
      <c r="A28" s="491"/>
      <c r="B28" s="621"/>
      <c r="C28" s="620"/>
      <c r="D28" s="619"/>
      <c r="E28" s="620"/>
      <c r="F28" s="619"/>
      <c r="G28" s="612"/>
      <c r="H28" s="612"/>
      <c r="I28" s="612"/>
      <c r="J28" s="612"/>
      <c r="K28" s="612"/>
      <c r="L28" s="612"/>
    </row>
    <row r="29" spans="1:12" ht="15" customHeight="1" x14ac:dyDescent="0.25">
      <c r="A29" s="491"/>
      <c r="B29" s="621"/>
      <c r="C29" s="620"/>
      <c r="D29" s="619"/>
      <c r="E29" s="201" t="s">
        <v>798</v>
      </c>
      <c r="F29" s="618"/>
      <c r="G29" s="202">
        <v>2</v>
      </c>
      <c r="H29" s="202">
        <v>2</v>
      </c>
      <c r="I29" s="202">
        <v>5</v>
      </c>
      <c r="J29" s="202">
        <v>5</v>
      </c>
      <c r="K29" s="202">
        <f>(G29+I29+J29)*H29</f>
        <v>24</v>
      </c>
      <c r="L29" s="202" t="s">
        <v>816</v>
      </c>
    </row>
    <row r="30" spans="1:12" x14ac:dyDescent="0.25">
      <c r="A30" s="491"/>
      <c r="B30" s="615"/>
      <c r="C30" s="620"/>
      <c r="D30" s="619"/>
      <c r="E30" s="202" t="s">
        <v>809</v>
      </c>
      <c r="F30" s="202" t="s">
        <v>812</v>
      </c>
      <c r="G30" s="202">
        <v>2</v>
      </c>
      <c r="H30" s="202">
        <v>2</v>
      </c>
      <c r="I30" s="202">
        <v>5</v>
      </c>
      <c r="J30" s="202">
        <v>3</v>
      </c>
      <c r="K30" s="202">
        <f>(G30+I30+J30)*H30</f>
        <v>20</v>
      </c>
      <c r="L30" s="202" t="s">
        <v>816</v>
      </c>
    </row>
    <row r="31" spans="1:12" ht="15" customHeight="1" x14ac:dyDescent="0.25">
      <c r="A31" s="491">
        <v>11</v>
      </c>
      <c r="B31" s="614" t="s">
        <v>779</v>
      </c>
      <c r="C31" s="620" t="s">
        <v>791</v>
      </c>
      <c r="D31" s="619"/>
      <c r="E31" s="612" t="s">
        <v>788</v>
      </c>
      <c r="F31" s="620" t="s">
        <v>810</v>
      </c>
      <c r="G31" s="612">
        <v>2</v>
      </c>
      <c r="H31" s="612">
        <v>2</v>
      </c>
      <c r="I31" s="612">
        <v>5</v>
      </c>
      <c r="J31" s="612">
        <v>3</v>
      </c>
      <c r="K31" s="612">
        <f>(G31+I31+J31)*H31</f>
        <v>20</v>
      </c>
      <c r="L31" s="612" t="s">
        <v>816</v>
      </c>
    </row>
    <row r="32" spans="1:12" x14ac:dyDescent="0.25">
      <c r="A32" s="491"/>
      <c r="B32" s="621"/>
      <c r="C32" s="620"/>
      <c r="D32" s="619"/>
      <c r="E32" s="612"/>
      <c r="F32" s="620"/>
      <c r="G32" s="612"/>
      <c r="H32" s="612"/>
      <c r="I32" s="612"/>
      <c r="J32" s="612"/>
      <c r="K32" s="612"/>
      <c r="L32" s="612"/>
    </row>
    <row r="33" spans="1:20" x14ac:dyDescent="0.25">
      <c r="A33" s="491"/>
      <c r="B33" s="621"/>
      <c r="C33" s="620"/>
      <c r="D33" s="619"/>
      <c r="E33" s="620" t="s">
        <v>803</v>
      </c>
      <c r="F33" s="620" t="s">
        <v>808</v>
      </c>
      <c r="G33" s="612">
        <v>2</v>
      </c>
      <c r="H33" s="612">
        <v>2</v>
      </c>
      <c r="I33" s="612">
        <v>5</v>
      </c>
      <c r="J33" s="612">
        <v>5</v>
      </c>
      <c r="K33" s="612">
        <f>(G33+I33+J33)*H33</f>
        <v>24</v>
      </c>
      <c r="L33" s="612" t="s">
        <v>816</v>
      </c>
    </row>
    <row r="34" spans="1:20" x14ac:dyDescent="0.25">
      <c r="A34" s="491"/>
      <c r="B34" s="615"/>
      <c r="C34" s="620"/>
      <c r="D34" s="618"/>
      <c r="E34" s="620"/>
      <c r="F34" s="620"/>
      <c r="G34" s="612"/>
      <c r="H34" s="612"/>
      <c r="I34" s="612"/>
      <c r="J34" s="612"/>
      <c r="K34" s="612"/>
      <c r="L34" s="612"/>
    </row>
    <row r="35" spans="1:20" ht="15" customHeight="1" x14ac:dyDescent="0.25">
      <c r="A35" s="491">
        <v>12</v>
      </c>
      <c r="B35" s="614" t="s">
        <v>780</v>
      </c>
      <c r="C35" s="620" t="s">
        <v>792</v>
      </c>
      <c r="D35" s="620" t="s">
        <v>804</v>
      </c>
      <c r="E35" s="620" t="s">
        <v>805</v>
      </c>
      <c r="F35" s="620"/>
      <c r="G35" s="612">
        <v>1</v>
      </c>
      <c r="H35" s="612">
        <v>2</v>
      </c>
      <c r="I35" s="612">
        <v>5</v>
      </c>
      <c r="J35" s="612">
        <v>3</v>
      </c>
      <c r="K35" s="612">
        <f>(G35+I35+J35)*H35</f>
        <v>18</v>
      </c>
      <c r="L35" s="612" t="s">
        <v>816</v>
      </c>
    </row>
    <row r="36" spans="1:20" x14ac:dyDescent="0.25">
      <c r="A36" s="491"/>
      <c r="B36" s="621"/>
      <c r="C36" s="620"/>
      <c r="D36" s="620"/>
      <c r="E36" s="620"/>
      <c r="F36" s="620"/>
      <c r="G36" s="612"/>
      <c r="H36" s="612"/>
      <c r="I36" s="612"/>
      <c r="J36" s="612"/>
      <c r="K36" s="612"/>
      <c r="L36" s="612"/>
    </row>
    <row r="37" spans="1:20" x14ac:dyDescent="0.25">
      <c r="A37" s="491"/>
      <c r="B37" s="621"/>
      <c r="C37" s="620"/>
      <c r="D37" s="620"/>
      <c r="E37" s="612" t="s">
        <v>809</v>
      </c>
      <c r="F37" s="620" t="s">
        <v>812</v>
      </c>
      <c r="G37" s="612">
        <v>2</v>
      </c>
      <c r="H37" s="612">
        <v>2</v>
      </c>
      <c r="I37" s="612">
        <v>5</v>
      </c>
      <c r="J37" s="612">
        <v>3</v>
      </c>
      <c r="K37" s="612">
        <f>(G37+I37+J37)*H37</f>
        <v>20</v>
      </c>
      <c r="L37" s="612" t="s">
        <v>816</v>
      </c>
    </row>
    <row r="38" spans="1:20" x14ac:dyDescent="0.25">
      <c r="A38" s="491"/>
      <c r="B38" s="615"/>
      <c r="C38" s="620"/>
      <c r="D38" s="620"/>
      <c r="E38" s="612"/>
      <c r="F38" s="620"/>
      <c r="G38" s="612"/>
      <c r="H38" s="612"/>
      <c r="I38" s="612"/>
      <c r="J38" s="612"/>
      <c r="K38" s="612"/>
      <c r="L38" s="612"/>
    </row>
    <row r="39" spans="1:20" x14ac:dyDescent="0.25">
      <c r="A39" s="491">
        <v>13</v>
      </c>
      <c r="B39" s="612" t="s">
        <v>781</v>
      </c>
      <c r="C39" s="620" t="s">
        <v>785</v>
      </c>
      <c r="D39" s="620" t="s">
        <v>806</v>
      </c>
      <c r="E39" s="620" t="s">
        <v>807</v>
      </c>
      <c r="F39" s="612" t="s">
        <v>808</v>
      </c>
      <c r="G39" s="612">
        <v>1</v>
      </c>
      <c r="H39" s="612">
        <v>2</v>
      </c>
      <c r="I39" s="612">
        <v>5</v>
      </c>
      <c r="J39" s="612">
        <v>3</v>
      </c>
      <c r="K39" s="612">
        <f>(G39+I39+J39)*H39</f>
        <v>18</v>
      </c>
      <c r="L39" s="612" t="s">
        <v>816</v>
      </c>
    </row>
    <row r="40" spans="1:20" x14ac:dyDescent="0.25">
      <c r="A40" s="491"/>
      <c r="B40" s="612"/>
      <c r="C40" s="620"/>
      <c r="D40" s="620"/>
      <c r="E40" s="620"/>
      <c r="F40" s="612"/>
      <c r="G40" s="612"/>
      <c r="H40" s="612"/>
      <c r="I40" s="612"/>
      <c r="J40" s="612"/>
      <c r="K40" s="612"/>
      <c r="L40" s="612"/>
    </row>
    <row r="41" spans="1:20" x14ac:dyDescent="0.2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N41" s="156" t="s">
        <v>836</v>
      </c>
      <c r="O41" s="156"/>
      <c r="P41" s="156"/>
    </row>
    <row r="42" spans="1:20" ht="15" customHeight="1" x14ac:dyDescent="0.25">
      <c r="I42" s="9"/>
      <c r="J42" s="9"/>
      <c r="K42" s="9"/>
      <c r="L42" s="9"/>
      <c r="N42" s="510" t="s">
        <v>107</v>
      </c>
      <c r="O42" s="510" t="s">
        <v>834</v>
      </c>
      <c r="P42" s="510" t="s">
        <v>107</v>
      </c>
      <c r="Q42" s="510" t="s">
        <v>835</v>
      </c>
      <c r="R42" s="510" t="s">
        <v>107</v>
      </c>
      <c r="S42" s="510" t="s">
        <v>854</v>
      </c>
      <c r="T42" s="510" t="s">
        <v>817</v>
      </c>
    </row>
    <row r="43" spans="1:20" ht="15" customHeight="1" x14ac:dyDescent="0.25">
      <c r="I43" s="9"/>
      <c r="J43" s="9"/>
      <c r="K43" s="9"/>
      <c r="L43" s="9"/>
      <c r="N43" s="510"/>
      <c r="O43" s="510"/>
      <c r="P43" s="510"/>
      <c r="Q43" s="510"/>
      <c r="R43" s="510"/>
      <c r="S43" s="510"/>
      <c r="T43" s="510"/>
    </row>
    <row r="44" spans="1:20" ht="15" customHeight="1" x14ac:dyDescent="0.25">
      <c r="I44" s="9"/>
      <c r="J44" s="9"/>
      <c r="K44" s="9"/>
      <c r="L44" s="9"/>
      <c r="N44" s="525" t="s">
        <v>818</v>
      </c>
      <c r="O44" s="525">
        <v>1</v>
      </c>
      <c r="P44" s="525" t="s">
        <v>819</v>
      </c>
      <c r="Q44" s="525">
        <v>1</v>
      </c>
      <c r="R44" s="525" t="s">
        <v>820</v>
      </c>
      <c r="S44" s="525">
        <v>1</v>
      </c>
      <c r="T44" s="525" t="s">
        <v>821</v>
      </c>
    </row>
    <row r="45" spans="1:20" ht="15" customHeight="1" x14ac:dyDescent="0.25">
      <c r="I45" s="9"/>
      <c r="J45" s="9"/>
      <c r="K45" s="9"/>
      <c r="L45" s="9"/>
      <c r="N45" s="525"/>
      <c r="O45" s="525"/>
      <c r="P45" s="525"/>
      <c r="Q45" s="525"/>
      <c r="R45" s="525"/>
      <c r="S45" s="525"/>
      <c r="T45" s="525"/>
    </row>
    <row r="46" spans="1:20" ht="15" customHeight="1" x14ac:dyDescent="0.25">
      <c r="I46" s="9"/>
      <c r="J46" s="9"/>
      <c r="K46" s="9"/>
      <c r="L46" s="9"/>
      <c r="N46" s="525" t="s">
        <v>822</v>
      </c>
      <c r="O46" s="525">
        <v>2</v>
      </c>
      <c r="P46" s="525" t="s">
        <v>346</v>
      </c>
      <c r="Q46" s="525">
        <v>2</v>
      </c>
      <c r="R46" s="525" t="s">
        <v>823</v>
      </c>
      <c r="S46" s="525">
        <v>2</v>
      </c>
      <c r="T46" s="525" t="s">
        <v>824</v>
      </c>
    </row>
    <row r="47" spans="1:20" ht="15" customHeight="1" x14ac:dyDescent="0.25">
      <c r="I47" s="9"/>
      <c r="J47" s="9"/>
      <c r="K47" s="9"/>
      <c r="L47" s="9"/>
      <c r="N47" s="525"/>
      <c r="O47" s="525"/>
      <c r="P47" s="525"/>
      <c r="Q47" s="525"/>
      <c r="R47" s="525"/>
      <c r="S47" s="525"/>
      <c r="T47" s="525"/>
    </row>
    <row r="48" spans="1:20" ht="15" customHeight="1" x14ac:dyDescent="0.25">
      <c r="I48" s="9"/>
      <c r="J48" s="9"/>
      <c r="K48" s="9"/>
      <c r="L48" s="9"/>
      <c r="N48" s="525" t="s">
        <v>825</v>
      </c>
      <c r="O48" s="525">
        <v>3</v>
      </c>
      <c r="P48" s="525" t="s">
        <v>347</v>
      </c>
      <c r="Q48" s="525">
        <v>3</v>
      </c>
      <c r="R48" s="525" t="s">
        <v>826</v>
      </c>
      <c r="S48" s="525">
        <v>3</v>
      </c>
      <c r="T48" s="525" t="s">
        <v>827</v>
      </c>
    </row>
    <row r="49" spans="14:20" ht="15" customHeight="1" x14ac:dyDescent="0.25">
      <c r="N49" s="525"/>
      <c r="O49" s="525"/>
      <c r="P49" s="525"/>
      <c r="Q49" s="525"/>
      <c r="R49" s="525"/>
      <c r="S49" s="525"/>
      <c r="T49" s="525"/>
    </row>
    <row r="50" spans="14:20" ht="15" customHeight="1" x14ac:dyDescent="0.25">
      <c r="N50" s="525" t="s">
        <v>828</v>
      </c>
      <c r="O50" s="525">
        <v>4</v>
      </c>
      <c r="P50" s="525" t="s">
        <v>829</v>
      </c>
      <c r="Q50" s="525">
        <v>4</v>
      </c>
      <c r="R50" s="525" t="s">
        <v>830</v>
      </c>
      <c r="S50" s="525">
        <v>4</v>
      </c>
      <c r="T50" s="525" t="s">
        <v>853</v>
      </c>
    </row>
    <row r="51" spans="14:20" ht="15" customHeight="1" x14ac:dyDescent="0.25">
      <c r="N51" s="525"/>
      <c r="O51" s="525"/>
      <c r="P51" s="525"/>
      <c r="Q51" s="525"/>
      <c r="R51" s="525"/>
      <c r="S51" s="525"/>
      <c r="T51" s="525"/>
    </row>
    <row r="52" spans="14:20" ht="15" customHeight="1" x14ac:dyDescent="0.25">
      <c r="N52" s="525" t="s">
        <v>831</v>
      </c>
      <c r="O52" s="525">
        <v>5</v>
      </c>
      <c r="P52" s="525" t="s">
        <v>832</v>
      </c>
      <c r="Q52" s="525">
        <v>5</v>
      </c>
      <c r="R52" s="525" t="s">
        <v>833</v>
      </c>
      <c r="S52" s="525">
        <v>5</v>
      </c>
      <c r="T52" s="525" t="s">
        <v>852</v>
      </c>
    </row>
    <row r="53" spans="14:20" x14ac:dyDescent="0.25">
      <c r="N53" s="525"/>
      <c r="O53" s="525"/>
      <c r="P53" s="525"/>
      <c r="Q53" s="525"/>
      <c r="R53" s="525"/>
      <c r="S53" s="525"/>
      <c r="T53" s="525"/>
    </row>
    <row r="55" spans="14:20" x14ac:dyDescent="0.25">
      <c r="N55" s="156" t="s">
        <v>841</v>
      </c>
      <c r="O55" s="156"/>
      <c r="P55" s="156"/>
    </row>
    <row r="56" spans="14:20" ht="15" customHeight="1" x14ac:dyDescent="0.25">
      <c r="N56" s="510" t="s">
        <v>107</v>
      </c>
      <c r="O56" s="510" t="s">
        <v>837</v>
      </c>
      <c r="P56" s="510" t="s">
        <v>838</v>
      </c>
      <c r="Q56" s="510"/>
      <c r="R56" s="510"/>
      <c r="S56" s="510"/>
      <c r="T56" s="510"/>
    </row>
    <row r="57" spans="14:20" ht="15" customHeight="1" x14ac:dyDescent="0.25">
      <c r="N57" s="510"/>
      <c r="O57" s="510"/>
      <c r="P57" s="510"/>
      <c r="Q57" s="510"/>
      <c r="R57" s="510"/>
      <c r="S57" s="510"/>
      <c r="T57" s="510"/>
    </row>
    <row r="58" spans="14:20" ht="18.75" customHeight="1" x14ac:dyDescent="0.25">
      <c r="N58" s="525" t="s">
        <v>820</v>
      </c>
      <c r="O58" s="525">
        <v>5</v>
      </c>
      <c r="P58" s="525" t="s">
        <v>855</v>
      </c>
      <c r="Q58" s="525"/>
      <c r="R58" s="525"/>
      <c r="S58" s="525"/>
      <c r="T58" s="525"/>
    </row>
    <row r="59" spans="14:20" ht="18.75" customHeight="1" x14ac:dyDescent="0.25">
      <c r="N59" s="525"/>
      <c r="O59" s="525"/>
      <c r="P59" s="525"/>
      <c r="Q59" s="525"/>
      <c r="R59" s="525"/>
      <c r="S59" s="525"/>
      <c r="T59" s="525"/>
    </row>
    <row r="60" spans="14:20" ht="18.75" customHeight="1" x14ac:dyDescent="0.25">
      <c r="N60" s="525" t="s">
        <v>823</v>
      </c>
      <c r="O60" s="525">
        <v>4</v>
      </c>
      <c r="P60" s="525" t="s">
        <v>856</v>
      </c>
      <c r="Q60" s="525"/>
      <c r="R60" s="525"/>
      <c r="S60" s="525"/>
      <c r="T60" s="525"/>
    </row>
    <row r="61" spans="14:20" ht="18.75" customHeight="1" x14ac:dyDescent="0.25">
      <c r="N61" s="525"/>
      <c r="O61" s="525"/>
      <c r="P61" s="525"/>
      <c r="Q61" s="525"/>
      <c r="R61" s="525"/>
      <c r="S61" s="525"/>
      <c r="T61" s="525"/>
    </row>
    <row r="62" spans="14:20" ht="18.75" customHeight="1" x14ac:dyDescent="0.25">
      <c r="N62" s="525" t="s">
        <v>826</v>
      </c>
      <c r="O62" s="525">
        <v>3</v>
      </c>
      <c r="P62" s="525" t="s">
        <v>839</v>
      </c>
      <c r="Q62" s="525"/>
      <c r="R62" s="525"/>
      <c r="S62" s="525"/>
      <c r="T62" s="525"/>
    </row>
    <row r="63" spans="14:20" ht="18.75" customHeight="1" x14ac:dyDescent="0.25">
      <c r="N63" s="525"/>
      <c r="O63" s="525"/>
      <c r="P63" s="525"/>
      <c r="Q63" s="525"/>
      <c r="R63" s="525"/>
      <c r="S63" s="525"/>
      <c r="T63" s="525"/>
    </row>
    <row r="64" spans="14:20" ht="18.75" customHeight="1" x14ac:dyDescent="0.25">
      <c r="N64" s="525" t="s">
        <v>830</v>
      </c>
      <c r="O64" s="525">
        <v>2</v>
      </c>
      <c r="P64" s="525" t="s">
        <v>840</v>
      </c>
      <c r="Q64" s="525"/>
      <c r="R64" s="525"/>
      <c r="S64" s="525"/>
      <c r="T64" s="525"/>
    </row>
    <row r="65" spans="14:20" ht="18.75" customHeight="1" x14ac:dyDescent="0.25">
      <c r="N65" s="525"/>
      <c r="O65" s="525"/>
      <c r="P65" s="525"/>
      <c r="Q65" s="525"/>
      <c r="R65" s="525"/>
      <c r="S65" s="525"/>
      <c r="T65" s="525"/>
    </row>
    <row r="66" spans="14:20" ht="18.75" customHeight="1" x14ac:dyDescent="0.25">
      <c r="N66" s="525" t="s">
        <v>833</v>
      </c>
      <c r="O66" s="525">
        <v>1</v>
      </c>
      <c r="P66" s="525" t="s">
        <v>857</v>
      </c>
      <c r="Q66" s="525"/>
      <c r="R66" s="525"/>
      <c r="S66" s="525"/>
      <c r="T66" s="525"/>
    </row>
    <row r="67" spans="14:20" ht="18.75" customHeight="1" x14ac:dyDescent="0.25">
      <c r="N67" s="525"/>
      <c r="O67" s="525"/>
      <c r="P67" s="525"/>
      <c r="Q67" s="525"/>
      <c r="R67" s="525"/>
      <c r="S67" s="525"/>
      <c r="T67" s="525"/>
    </row>
    <row r="69" spans="14:20" x14ac:dyDescent="0.25">
      <c r="N69" s="156" t="s">
        <v>851</v>
      </c>
      <c r="O69" s="156"/>
    </row>
    <row r="70" spans="14:20" ht="15" customHeight="1" x14ac:dyDescent="0.25">
      <c r="N70" s="510" t="s">
        <v>846</v>
      </c>
      <c r="O70" s="510"/>
      <c r="P70" s="510" t="s">
        <v>847</v>
      </c>
      <c r="Q70" s="510"/>
    </row>
    <row r="71" spans="14:20" ht="15" customHeight="1" x14ac:dyDescent="0.25">
      <c r="N71" s="611" t="s">
        <v>842</v>
      </c>
      <c r="O71" s="611"/>
      <c r="P71" s="611" t="s">
        <v>848</v>
      </c>
      <c r="Q71" s="611"/>
    </row>
    <row r="72" spans="14:20" ht="15" customHeight="1" x14ac:dyDescent="0.25">
      <c r="N72" s="611" t="s">
        <v>843</v>
      </c>
      <c r="O72" s="611"/>
      <c r="P72" s="611" t="s">
        <v>849</v>
      </c>
      <c r="Q72" s="611"/>
    </row>
    <row r="73" spans="14:20" ht="15" customHeight="1" x14ac:dyDescent="0.25">
      <c r="N73" s="611" t="s">
        <v>844</v>
      </c>
      <c r="O73" s="611"/>
      <c r="P73" s="611" t="s">
        <v>401</v>
      </c>
      <c r="Q73" s="611"/>
    </row>
    <row r="74" spans="14:20" ht="15" customHeight="1" x14ac:dyDescent="0.25">
      <c r="N74" s="611" t="s">
        <v>845</v>
      </c>
      <c r="O74" s="611"/>
      <c r="P74" s="611" t="s">
        <v>850</v>
      </c>
      <c r="Q74" s="611"/>
    </row>
    <row r="75" spans="14:20" x14ac:dyDescent="0.25">
      <c r="P75" s="197"/>
    </row>
  </sheetData>
  <mergeCells count="205">
    <mergeCell ref="G11:G12"/>
    <mergeCell ref="C7:C10"/>
    <mergeCell ref="B7:B10"/>
    <mergeCell ref="A7:A10"/>
    <mergeCell ref="G1:K1"/>
    <mergeCell ref="A1:B2"/>
    <mergeCell ref="A3:A4"/>
    <mergeCell ref="B3:B4"/>
    <mergeCell ref="C3:C6"/>
    <mergeCell ref="A5:A6"/>
    <mergeCell ref="B5:B6"/>
    <mergeCell ref="C1:C2"/>
    <mergeCell ref="D1:D2"/>
    <mergeCell ref="E1:E2"/>
    <mergeCell ref="F1:F2"/>
    <mergeCell ref="D3:D6"/>
    <mergeCell ref="E3:E6"/>
    <mergeCell ref="F3:F6"/>
    <mergeCell ref="D7:D10"/>
    <mergeCell ref="H3:H6"/>
    <mergeCell ref="I3:I6"/>
    <mergeCell ref="J3:J6"/>
    <mergeCell ref="G3:G6"/>
    <mergeCell ref="F11:F12"/>
    <mergeCell ref="D17:D18"/>
    <mergeCell ref="D15:D16"/>
    <mergeCell ref="D11:D12"/>
    <mergeCell ref="E11:E12"/>
    <mergeCell ref="E35:E36"/>
    <mergeCell ref="E31:E32"/>
    <mergeCell ref="D19:D22"/>
    <mergeCell ref="D23:D26"/>
    <mergeCell ref="E20:E21"/>
    <mergeCell ref="E24:E25"/>
    <mergeCell ref="D35:D38"/>
    <mergeCell ref="D13:D14"/>
    <mergeCell ref="E37:E38"/>
    <mergeCell ref="D39:D40"/>
    <mergeCell ref="E39:E40"/>
    <mergeCell ref="E27:E28"/>
    <mergeCell ref="D27:D34"/>
    <mergeCell ref="E33:E34"/>
    <mergeCell ref="C23:C26"/>
    <mergeCell ref="A19:A22"/>
    <mergeCell ref="B19:B22"/>
    <mergeCell ref="C19:C22"/>
    <mergeCell ref="C35:C38"/>
    <mergeCell ref="B35:B38"/>
    <mergeCell ref="A35:A38"/>
    <mergeCell ref="C31:C34"/>
    <mergeCell ref="B31:B34"/>
    <mergeCell ref="A31:A34"/>
    <mergeCell ref="C27:C30"/>
    <mergeCell ref="B27:B30"/>
    <mergeCell ref="A27:A30"/>
    <mergeCell ref="A39:A40"/>
    <mergeCell ref="B39:B40"/>
    <mergeCell ref="C39:C40"/>
    <mergeCell ref="B23:B26"/>
    <mergeCell ref="A23:A26"/>
    <mergeCell ref="A17:A18"/>
    <mergeCell ref="B17:B18"/>
    <mergeCell ref="C17:C18"/>
    <mergeCell ref="C15:C16"/>
    <mergeCell ref="A11:A12"/>
    <mergeCell ref="B11:B12"/>
    <mergeCell ref="C11:C12"/>
    <mergeCell ref="A13:A14"/>
    <mergeCell ref="B13:B14"/>
    <mergeCell ref="A15:A16"/>
    <mergeCell ref="B15:B16"/>
    <mergeCell ref="C13:C14"/>
    <mergeCell ref="F20:F21"/>
    <mergeCell ref="G20:G21"/>
    <mergeCell ref="G33:G34"/>
    <mergeCell ref="G35:G36"/>
    <mergeCell ref="G37:G38"/>
    <mergeCell ref="G39:G40"/>
    <mergeCell ref="H24:H25"/>
    <mergeCell ref="H31:H32"/>
    <mergeCell ref="H35:H36"/>
    <mergeCell ref="H39:H40"/>
    <mergeCell ref="F24:F25"/>
    <mergeCell ref="G24:G25"/>
    <mergeCell ref="F26:F29"/>
    <mergeCell ref="F31:F32"/>
    <mergeCell ref="F33:F36"/>
    <mergeCell ref="F37:F38"/>
    <mergeCell ref="F39:F40"/>
    <mergeCell ref="G27:G28"/>
    <mergeCell ref="G31:G32"/>
    <mergeCell ref="H27:H28"/>
    <mergeCell ref="H37:H38"/>
    <mergeCell ref="L37:L38"/>
    <mergeCell ref="H11:H12"/>
    <mergeCell ref="L39:L40"/>
    <mergeCell ref="I37:I38"/>
    <mergeCell ref="J37:J38"/>
    <mergeCell ref="K37:K38"/>
    <mergeCell ref="I31:I32"/>
    <mergeCell ref="J31:J32"/>
    <mergeCell ref="K31:K32"/>
    <mergeCell ref="H33:H34"/>
    <mergeCell ref="I33:I34"/>
    <mergeCell ref="J33:J34"/>
    <mergeCell ref="K33:K34"/>
    <mergeCell ref="K27:K28"/>
    <mergeCell ref="I11:I12"/>
    <mergeCell ref="J11:J12"/>
    <mergeCell ref="K11:K12"/>
    <mergeCell ref="H20:H21"/>
    <mergeCell ref="I20:I21"/>
    <mergeCell ref="J20:J21"/>
    <mergeCell ref="K20:K21"/>
    <mergeCell ref="I27:I28"/>
    <mergeCell ref="J27:J28"/>
    <mergeCell ref="P48:P49"/>
    <mergeCell ref="Q48:Q49"/>
    <mergeCell ref="R48:R49"/>
    <mergeCell ref="S48:S49"/>
    <mergeCell ref="S44:S45"/>
    <mergeCell ref="I39:I40"/>
    <mergeCell ref="J39:J40"/>
    <mergeCell ref="K39:K40"/>
    <mergeCell ref="L1:L2"/>
    <mergeCell ref="L3:L6"/>
    <mergeCell ref="L11:L12"/>
    <mergeCell ref="L20:L21"/>
    <mergeCell ref="L24:L25"/>
    <mergeCell ref="L27:L28"/>
    <mergeCell ref="I35:I36"/>
    <mergeCell ref="J35:J36"/>
    <mergeCell ref="K35:K36"/>
    <mergeCell ref="I24:I25"/>
    <mergeCell ref="J24:J25"/>
    <mergeCell ref="K24:K25"/>
    <mergeCell ref="K3:K6"/>
    <mergeCell ref="L31:L32"/>
    <mergeCell ref="L33:L34"/>
    <mergeCell ref="L35:L36"/>
    <mergeCell ref="T44:T45"/>
    <mergeCell ref="N46:N47"/>
    <mergeCell ref="O46:O47"/>
    <mergeCell ref="P46:P47"/>
    <mergeCell ref="Q46:Q47"/>
    <mergeCell ref="R46:R47"/>
    <mergeCell ref="S46:S47"/>
    <mergeCell ref="T46:T47"/>
    <mergeCell ref="R44:R45"/>
    <mergeCell ref="N44:N45"/>
    <mergeCell ref="O44:O45"/>
    <mergeCell ref="P44:P45"/>
    <mergeCell ref="Q44:Q45"/>
    <mergeCell ref="T42:T43"/>
    <mergeCell ref="N52:N53"/>
    <mergeCell ref="O52:O53"/>
    <mergeCell ref="P52:P53"/>
    <mergeCell ref="Q52:Q53"/>
    <mergeCell ref="R52:R53"/>
    <mergeCell ref="S52:S53"/>
    <mergeCell ref="T52:T53"/>
    <mergeCell ref="N42:N43"/>
    <mergeCell ref="O42:O43"/>
    <mergeCell ref="P42:P43"/>
    <mergeCell ref="Q42:Q43"/>
    <mergeCell ref="R42:R43"/>
    <mergeCell ref="S42:S43"/>
    <mergeCell ref="T48:T49"/>
    <mergeCell ref="N50:N51"/>
    <mergeCell ref="O50:O51"/>
    <mergeCell ref="P50:P51"/>
    <mergeCell ref="Q50:Q51"/>
    <mergeCell ref="R50:R51"/>
    <mergeCell ref="S50:S51"/>
    <mergeCell ref="T50:T51"/>
    <mergeCell ref="N48:N49"/>
    <mergeCell ref="O48:O49"/>
    <mergeCell ref="N62:N63"/>
    <mergeCell ref="N64:N65"/>
    <mergeCell ref="N66:N67"/>
    <mergeCell ref="O60:O61"/>
    <mergeCell ref="O62:O63"/>
    <mergeCell ref="O64:O65"/>
    <mergeCell ref="O66:O67"/>
    <mergeCell ref="P56:T57"/>
    <mergeCell ref="P58:T59"/>
    <mergeCell ref="P60:T61"/>
    <mergeCell ref="P62:T63"/>
    <mergeCell ref="P64:T65"/>
    <mergeCell ref="N56:N57"/>
    <mergeCell ref="O56:O57"/>
    <mergeCell ref="N58:N59"/>
    <mergeCell ref="O58:O59"/>
    <mergeCell ref="N60:N61"/>
    <mergeCell ref="P74:Q74"/>
    <mergeCell ref="N71:O71"/>
    <mergeCell ref="N72:O72"/>
    <mergeCell ref="N73:O73"/>
    <mergeCell ref="N74:O74"/>
    <mergeCell ref="P66:T67"/>
    <mergeCell ref="N70:O70"/>
    <mergeCell ref="P70:Q70"/>
    <mergeCell ref="P71:Q71"/>
    <mergeCell ref="P72:Q72"/>
    <mergeCell ref="P73:Q7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26"/>
  <sheetViews>
    <sheetView zoomScale="115" zoomScaleNormal="115" zoomScalePageLayoutView="115" workbookViewId="0"/>
  </sheetViews>
  <sheetFormatPr baseColWidth="10" defaultColWidth="11.42578125" defaultRowHeight="15" x14ac:dyDescent="0.25"/>
  <cols>
    <col min="1" max="1" width="11.42578125" style="448"/>
    <col min="2" max="2" width="3" style="448" bestFit="1" customWidth="1"/>
    <col min="3" max="6" width="2.7109375" style="448" bestFit="1" customWidth="1"/>
    <col min="7" max="11" width="3" style="448" bestFit="1" customWidth="1"/>
    <col min="12" max="12" width="10.7109375" style="451" customWidth="1"/>
    <col min="13" max="13" width="10.7109375" style="448" customWidth="1"/>
    <col min="14" max="16384" width="11.42578125" style="448"/>
  </cols>
  <sheetData>
    <row r="4" spans="2:13" ht="16.5" customHeight="1" x14ac:dyDescent="0.25">
      <c r="B4" s="456"/>
      <c r="C4" s="447" t="s">
        <v>0</v>
      </c>
      <c r="D4" s="447" t="s">
        <v>1</v>
      </c>
      <c r="E4" s="447" t="s">
        <v>2</v>
      </c>
      <c r="F4" s="447" t="s">
        <v>3</v>
      </c>
      <c r="G4" s="447" t="s">
        <v>4</v>
      </c>
      <c r="H4" s="447" t="s">
        <v>5</v>
      </c>
      <c r="I4" s="447" t="s">
        <v>6</v>
      </c>
      <c r="J4" s="447" t="s">
        <v>7</v>
      </c>
      <c r="K4" s="447" t="s">
        <v>8</v>
      </c>
      <c r="L4" s="456" t="s">
        <v>9</v>
      </c>
      <c r="M4" s="456" t="s">
        <v>11</v>
      </c>
    </row>
    <row r="5" spans="2:13" ht="16.5" customHeight="1" x14ac:dyDescent="0.25">
      <c r="B5" s="447" t="s">
        <v>0</v>
      </c>
      <c r="C5" s="456"/>
      <c r="D5" s="447">
        <v>1</v>
      </c>
      <c r="E5" s="447">
        <v>1</v>
      </c>
      <c r="F5" s="447">
        <v>1</v>
      </c>
      <c r="G5" s="447">
        <v>0</v>
      </c>
      <c r="H5" s="447">
        <v>1</v>
      </c>
      <c r="I5" s="447">
        <v>0</v>
      </c>
      <c r="J5" s="447">
        <v>1</v>
      </c>
      <c r="K5" s="447">
        <v>0</v>
      </c>
      <c r="L5" s="447">
        <f>SUM(C5:K5)</f>
        <v>5</v>
      </c>
      <c r="M5" s="449">
        <f>L5/$L$14</f>
        <v>0.1388888888888889</v>
      </c>
    </row>
    <row r="6" spans="2:13" ht="16.5" customHeight="1" x14ac:dyDescent="0.25">
      <c r="B6" s="447" t="s">
        <v>1</v>
      </c>
      <c r="C6" s="447">
        <v>0</v>
      </c>
      <c r="D6" s="456"/>
      <c r="E6" s="447">
        <v>1</v>
      </c>
      <c r="F6" s="447">
        <v>0</v>
      </c>
      <c r="G6" s="447">
        <v>0</v>
      </c>
      <c r="H6" s="447">
        <v>1</v>
      </c>
      <c r="I6" s="447">
        <v>0</v>
      </c>
      <c r="J6" s="447">
        <v>1</v>
      </c>
      <c r="K6" s="447">
        <v>0</v>
      </c>
      <c r="L6" s="447">
        <f t="shared" ref="L6:L13" si="0">SUM(C6:K6)</f>
        <v>3</v>
      </c>
      <c r="M6" s="449">
        <f t="shared" ref="M6:M13" si="1">L6/$L$14</f>
        <v>8.3333333333333329E-2</v>
      </c>
    </row>
    <row r="7" spans="2:13" ht="16.5" customHeight="1" x14ac:dyDescent="0.25">
      <c r="B7" s="447" t="s">
        <v>2</v>
      </c>
      <c r="C7" s="447">
        <v>0</v>
      </c>
      <c r="D7" s="447">
        <v>0</v>
      </c>
      <c r="E7" s="456"/>
      <c r="F7" s="447">
        <v>1</v>
      </c>
      <c r="G7" s="447">
        <v>1</v>
      </c>
      <c r="H7" s="447">
        <v>0</v>
      </c>
      <c r="I7" s="447">
        <v>1</v>
      </c>
      <c r="J7" s="447">
        <v>0</v>
      </c>
      <c r="K7" s="447">
        <v>1</v>
      </c>
      <c r="L7" s="447">
        <f t="shared" si="0"/>
        <v>4</v>
      </c>
      <c r="M7" s="449">
        <f t="shared" si="1"/>
        <v>0.1111111111111111</v>
      </c>
    </row>
    <row r="8" spans="2:13" ht="16.5" customHeight="1" x14ac:dyDescent="0.25">
      <c r="B8" s="447" t="s">
        <v>3</v>
      </c>
      <c r="C8" s="447">
        <v>0</v>
      </c>
      <c r="D8" s="447">
        <v>1</v>
      </c>
      <c r="E8" s="447">
        <v>0</v>
      </c>
      <c r="F8" s="456"/>
      <c r="G8" s="447">
        <v>0</v>
      </c>
      <c r="H8" s="447">
        <v>1</v>
      </c>
      <c r="I8" s="447">
        <v>1</v>
      </c>
      <c r="J8" s="447">
        <v>0</v>
      </c>
      <c r="K8" s="447">
        <v>0</v>
      </c>
      <c r="L8" s="447">
        <f t="shared" si="0"/>
        <v>3</v>
      </c>
      <c r="M8" s="449">
        <f t="shared" si="1"/>
        <v>8.3333333333333329E-2</v>
      </c>
    </row>
    <row r="9" spans="2:13" ht="16.5" customHeight="1" x14ac:dyDescent="0.25">
      <c r="B9" s="447" t="s">
        <v>4</v>
      </c>
      <c r="C9" s="447">
        <v>1</v>
      </c>
      <c r="D9" s="447">
        <v>1</v>
      </c>
      <c r="E9" s="447">
        <v>0</v>
      </c>
      <c r="F9" s="447">
        <v>1</v>
      </c>
      <c r="G9" s="456"/>
      <c r="H9" s="447">
        <v>1</v>
      </c>
      <c r="I9" s="447">
        <v>0</v>
      </c>
      <c r="J9" s="447">
        <v>1</v>
      </c>
      <c r="K9" s="447">
        <v>0</v>
      </c>
      <c r="L9" s="447">
        <f t="shared" si="0"/>
        <v>5</v>
      </c>
      <c r="M9" s="449">
        <f t="shared" si="1"/>
        <v>0.1388888888888889</v>
      </c>
    </row>
    <row r="10" spans="2:13" ht="16.5" customHeight="1" x14ac:dyDescent="0.25">
      <c r="B10" s="447" t="s">
        <v>5</v>
      </c>
      <c r="C10" s="447">
        <v>0</v>
      </c>
      <c r="D10" s="447">
        <v>0</v>
      </c>
      <c r="E10" s="447">
        <v>1</v>
      </c>
      <c r="F10" s="447">
        <v>0</v>
      </c>
      <c r="G10" s="447">
        <v>0</v>
      </c>
      <c r="H10" s="456"/>
      <c r="I10" s="447">
        <v>1</v>
      </c>
      <c r="J10" s="447">
        <v>0</v>
      </c>
      <c r="K10" s="447">
        <v>1</v>
      </c>
      <c r="L10" s="447">
        <f t="shared" si="0"/>
        <v>3</v>
      </c>
      <c r="M10" s="449">
        <f t="shared" si="1"/>
        <v>8.3333333333333329E-2</v>
      </c>
    </row>
    <row r="11" spans="2:13" ht="16.5" customHeight="1" x14ac:dyDescent="0.25">
      <c r="B11" s="447" t="s">
        <v>6</v>
      </c>
      <c r="C11" s="447">
        <v>1</v>
      </c>
      <c r="D11" s="447">
        <v>1</v>
      </c>
      <c r="E11" s="447">
        <v>0</v>
      </c>
      <c r="F11" s="447">
        <v>0</v>
      </c>
      <c r="G11" s="447">
        <v>1</v>
      </c>
      <c r="H11" s="447">
        <v>0</v>
      </c>
      <c r="I11" s="456"/>
      <c r="J11" s="447">
        <v>1</v>
      </c>
      <c r="K11" s="447">
        <v>0</v>
      </c>
      <c r="L11" s="447">
        <f t="shared" si="0"/>
        <v>4</v>
      </c>
      <c r="M11" s="449">
        <f t="shared" si="1"/>
        <v>0.1111111111111111</v>
      </c>
    </row>
    <row r="12" spans="2:13" ht="16.5" customHeight="1" x14ac:dyDescent="0.25">
      <c r="B12" s="447" t="s">
        <v>7</v>
      </c>
      <c r="C12" s="447">
        <v>0</v>
      </c>
      <c r="D12" s="447">
        <v>0</v>
      </c>
      <c r="E12" s="447">
        <v>1</v>
      </c>
      <c r="F12" s="447">
        <v>1</v>
      </c>
      <c r="G12" s="447">
        <v>0</v>
      </c>
      <c r="H12" s="447">
        <v>1</v>
      </c>
      <c r="I12" s="447">
        <v>0</v>
      </c>
      <c r="J12" s="456"/>
      <c r="K12" s="447">
        <v>1</v>
      </c>
      <c r="L12" s="447">
        <f t="shared" si="0"/>
        <v>4</v>
      </c>
      <c r="M12" s="449">
        <f t="shared" si="1"/>
        <v>0.1111111111111111</v>
      </c>
    </row>
    <row r="13" spans="2:13" ht="16.5" customHeight="1" x14ac:dyDescent="0.25">
      <c r="B13" s="447" t="s">
        <v>8</v>
      </c>
      <c r="C13" s="447">
        <v>1</v>
      </c>
      <c r="D13" s="447">
        <v>1</v>
      </c>
      <c r="E13" s="447">
        <v>0</v>
      </c>
      <c r="F13" s="447">
        <v>1</v>
      </c>
      <c r="G13" s="447">
        <v>1</v>
      </c>
      <c r="H13" s="447">
        <v>0</v>
      </c>
      <c r="I13" s="447">
        <v>1</v>
      </c>
      <c r="J13" s="447">
        <v>0</v>
      </c>
      <c r="K13" s="456"/>
      <c r="L13" s="447">
        <f t="shared" si="0"/>
        <v>5</v>
      </c>
      <c r="M13" s="449">
        <f t="shared" si="1"/>
        <v>0.1388888888888889</v>
      </c>
    </row>
    <row r="14" spans="2:13" x14ac:dyDescent="0.25">
      <c r="B14" s="486" t="s">
        <v>10</v>
      </c>
      <c r="C14" s="487"/>
      <c r="D14" s="487"/>
      <c r="E14" s="487"/>
      <c r="F14" s="487"/>
      <c r="G14" s="487"/>
      <c r="H14" s="487"/>
      <c r="I14" s="487"/>
      <c r="J14" s="487"/>
      <c r="K14" s="488"/>
      <c r="L14" s="447">
        <f>SUM(L5:L13)</f>
        <v>36</v>
      </c>
      <c r="M14" s="450">
        <f>SUM(M5:M13)</f>
        <v>1</v>
      </c>
    </row>
    <row r="16" spans="2:13" x14ac:dyDescent="0.25">
      <c r="B16" s="456"/>
      <c r="C16" s="447" t="s">
        <v>12</v>
      </c>
      <c r="D16" s="447" t="s">
        <v>13</v>
      </c>
      <c r="E16" s="447" t="s">
        <v>14</v>
      </c>
      <c r="F16" s="447" t="s">
        <v>15</v>
      </c>
      <c r="G16" s="447" t="s">
        <v>16</v>
      </c>
      <c r="H16" s="447" t="s">
        <v>17</v>
      </c>
      <c r="I16" s="447" t="s">
        <v>18</v>
      </c>
      <c r="J16" s="447" t="s">
        <v>19</v>
      </c>
      <c r="K16" s="447" t="s">
        <v>20</v>
      </c>
      <c r="L16" s="456" t="s">
        <v>9</v>
      </c>
      <c r="M16" s="456" t="s">
        <v>11</v>
      </c>
    </row>
    <row r="17" spans="2:13" x14ac:dyDescent="0.25">
      <c r="B17" s="447" t="s">
        <v>12</v>
      </c>
      <c r="C17" s="456"/>
      <c r="D17" s="447">
        <v>1</v>
      </c>
      <c r="E17" s="447">
        <v>1</v>
      </c>
      <c r="F17" s="447">
        <v>1</v>
      </c>
      <c r="G17" s="447">
        <v>0</v>
      </c>
      <c r="H17" s="447">
        <v>0</v>
      </c>
      <c r="I17" s="447">
        <v>1</v>
      </c>
      <c r="J17" s="447">
        <v>1</v>
      </c>
      <c r="K17" s="447">
        <v>1</v>
      </c>
      <c r="L17" s="447">
        <f>SUM(C17:K17)</f>
        <v>6</v>
      </c>
      <c r="M17" s="449">
        <f>L17/$L$26</f>
        <v>0.16666666666666666</v>
      </c>
    </row>
    <row r="18" spans="2:13" x14ac:dyDescent="0.25">
      <c r="B18" s="447" t="s">
        <v>13</v>
      </c>
      <c r="C18" s="447">
        <v>0</v>
      </c>
      <c r="D18" s="456"/>
      <c r="E18" s="447">
        <v>1</v>
      </c>
      <c r="F18" s="447">
        <v>0</v>
      </c>
      <c r="G18" s="447">
        <v>0</v>
      </c>
      <c r="H18" s="447">
        <v>1</v>
      </c>
      <c r="I18" s="447">
        <v>0</v>
      </c>
      <c r="J18" s="447">
        <v>1</v>
      </c>
      <c r="K18" s="447">
        <v>0</v>
      </c>
      <c r="L18" s="447">
        <f t="shared" ref="L18:L25" si="2">SUM(C18:K18)</f>
        <v>3</v>
      </c>
      <c r="M18" s="449">
        <f t="shared" ref="M18:M25" si="3">L18/$L$26</f>
        <v>8.3333333333333329E-2</v>
      </c>
    </row>
    <row r="19" spans="2:13" x14ac:dyDescent="0.25">
      <c r="B19" s="447" t="s">
        <v>14</v>
      </c>
      <c r="C19" s="447">
        <v>0</v>
      </c>
      <c r="D19" s="447">
        <v>0</v>
      </c>
      <c r="E19" s="456"/>
      <c r="F19" s="447">
        <v>1</v>
      </c>
      <c r="G19" s="447">
        <v>0</v>
      </c>
      <c r="H19" s="447">
        <v>0</v>
      </c>
      <c r="I19" s="447">
        <v>1</v>
      </c>
      <c r="J19" s="447">
        <v>0</v>
      </c>
      <c r="K19" s="447">
        <v>1</v>
      </c>
      <c r="L19" s="447">
        <f t="shared" si="2"/>
        <v>3</v>
      </c>
      <c r="M19" s="449">
        <f t="shared" si="3"/>
        <v>8.3333333333333329E-2</v>
      </c>
    </row>
    <row r="20" spans="2:13" x14ac:dyDescent="0.25">
      <c r="B20" s="447" t="s">
        <v>15</v>
      </c>
      <c r="C20" s="447">
        <v>0</v>
      </c>
      <c r="D20" s="447">
        <v>1</v>
      </c>
      <c r="E20" s="447">
        <v>0</v>
      </c>
      <c r="F20" s="456"/>
      <c r="G20" s="447">
        <v>1</v>
      </c>
      <c r="H20" s="447">
        <v>1</v>
      </c>
      <c r="I20" s="447">
        <v>0</v>
      </c>
      <c r="J20" s="447">
        <v>0</v>
      </c>
      <c r="K20" s="447">
        <v>1</v>
      </c>
      <c r="L20" s="447">
        <f t="shared" si="2"/>
        <v>4</v>
      </c>
      <c r="M20" s="449">
        <f t="shared" si="3"/>
        <v>0.1111111111111111</v>
      </c>
    </row>
    <row r="21" spans="2:13" x14ac:dyDescent="0.25">
      <c r="B21" s="447" t="s">
        <v>16</v>
      </c>
      <c r="C21" s="447">
        <v>1</v>
      </c>
      <c r="D21" s="447">
        <v>1</v>
      </c>
      <c r="E21" s="447">
        <v>1</v>
      </c>
      <c r="F21" s="447">
        <v>0</v>
      </c>
      <c r="G21" s="456"/>
      <c r="H21" s="447">
        <v>0</v>
      </c>
      <c r="I21" s="447">
        <v>0</v>
      </c>
      <c r="J21" s="447">
        <v>1</v>
      </c>
      <c r="K21" s="447">
        <v>0</v>
      </c>
      <c r="L21" s="447">
        <f t="shared" si="2"/>
        <v>4</v>
      </c>
      <c r="M21" s="449">
        <f t="shared" si="3"/>
        <v>0.1111111111111111</v>
      </c>
    </row>
    <row r="22" spans="2:13" x14ac:dyDescent="0.25">
      <c r="B22" s="447" t="s">
        <v>17</v>
      </c>
      <c r="C22" s="447">
        <v>1</v>
      </c>
      <c r="D22" s="447">
        <v>0</v>
      </c>
      <c r="E22" s="447">
        <v>1</v>
      </c>
      <c r="F22" s="447">
        <v>0</v>
      </c>
      <c r="G22" s="447">
        <v>1</v>
      </c>
      <c r="H22" s="456"/>
      <c r="I22" s="447">
        <v>0</v>
      </c>
      <c r="J22" s="447">
        <v>1</v>
      </c>
      <c r="K22" s="447">
        <v>0</v>
      </c>
      <c r="L22" s="447">
        <f t="shared" si="2"/>
        <v>4</v>
      </c>
      <c r="M22" s="449">
        <f t="shared" si="3"/>
        <v>0.1111111111111111</v>
      </c>
    </row>
    <row r="23" spans="2:13" x14ac:dyDescent="0.25">
      <c r="B23" s="447" t="s">
        <v>18</v>
      </c>
      <c r="C23" s="447">
        <v>0</v>
      </c>
      <c r="D23" s="447">
        <v>1</v>
      </c>
      <c r="E23" s="447">
        <v>0</v>
      </c>
      <c r="F23" s="447">
        <v>1</v>
      </c>
      <c r="G23" s="447">
        <v>1</v>
      </c>
      <c r="H23" s="447">
        <v>1</v>
      </c>
      <c r="I23" s="456"/>
      <c r="J23" s="447">
        <v>1</v>
      </c>
      <c r="K23" s="447">
        <v>1</v>
      </c>
      <c r="L23" s="447">
        <f t="shared" si="2"/>
        <v>6</v>
      </c>
      <c r="M23" s="449">
        <f t="shared" si="3"/>
        <v>0.16666666666666666</v>
      </c>
    </row>
    <row r="24" spans="2:13" x14ac:dyDescent="0.25">
      <c r="B24" s="447" t="s">
        <v>19</v>
      </c>
      <c r="C24" s="447">
        <v>0</v>
      </c>
      <c r="D24" s="447">
        <v>0</v>
      </c>
      <c r="E24" s="447">
        <v>1</v>
      </c>
      <c r="F24" s="447">
        <v>1</v>
      </c>
      <c r="G24" s="447">
        <v>0</v>
      </c>
      <c r="H24" s="447">
        <v>0</v>
      </c>
      <c r="I24" s="447">
        <v>0</v>
      </c>
      <c r="J24" s="456"/>
      <c r="K24" s="447">
        <v>1</v>
      </c>
      <c r="L24" s="447">
        <f t="shared" si="2"/>
        <v>3</v>
      </c>
      <c r="M24" s="449">
        <f t="shared" si="3"/>
        <v>8.3333333333333329E-2</v>
      </c>
    </row>
    <row r="25" spans="2:13" x14ac:dyDescent="0.25">
      <c r="B25" s="447" t="s">
        <v>20</v>
      </c>
      <c r="C25" s="447">
        <v>0</v>
      </c>
      <c r="D25" s="447">
        <v>1</v>
      </c>
      <c r="E25" s="447">
        <v>0</v>
      </c>
      <c r="F25" s="447">
        <v>0</v>
      </c>
      <c r="G25" s="447">
        <v>1</v>
      </c>
      <c r="H25" s="447">
        <v>1</v>
      </c>
      <c r="I25" s="447">
        <v>0</v>
      </c>
      <c r="J25" s="447">
        <v>0</v>
      </c>
      <c r="K25" s="456"/>
      <c r="L25" s="447">
        <f t="shared" si="2"/>
        <v>3</v>
      </c>
      <c r="M25" s="449">
        <f t="shared" si="3"/>
        <v>8.3333333333333329E-2</v>
      </c>
    </row>
    <row r="26" spans="2:13" x14ac:dyDescent="0.25">
      <c r="B26" s="486" t="s">
        <v>10</v>
      </c>
      <c r="C26" s="487"/>
      <c r="D26" s="487"/>
      <c r="E26" s="487"/>
      <c r="F26" s="487"/>
      <c r="G26" s="487"/>
      <c r="H26" s="487"/>
      <c r="I26" s="487"/>
      <c r="J26" s="487"/>
      <c r="K26" s="488"/>
      <c r="L26" s="447">
        <f>SUM(L17:L25)</f>
        <v>36</v>
      </c>
      <c r="M26" s="450">
        <f>SUM(M17:M25)</f>
        <v>1</v>
      </c>
    </row>
  </sheetData>
  <mergeCells count="2">
    <mergeCell ref="B14:K14"/>
    <mergeCell ref="B26:K2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>
      <selection activeCell="B30" sqref="B30"/>
    </sheetView>
  </sheetViews>
  <sheetFormatPr baseColWidth="10" defaultColWidth="10.85546875" defaultRowHeight="12.75" x14ac:dyDescent="0.2"/>
  <cols>
    <col min="1" max="1" width="12.85546875" style="9" customWidth="1"/>
    <col min="2" max="2" width="49" style="9" bestFit="1" customWidth="1"/>
    <col min="3" max="6" width="12.85546875" style="9" customWidth="1"/>
    <col min="7" max="16384" width="10.85546875" style="9"/>
  </cols>
  <sheetData>
    <row r="1" spans="1:6" x14ac:dyDescent="0.2">
      <c r="A1" s="510" t="s">
        <v>381</v>
      </c>
      <c r="B1" s="510" t="s">
        <v>861</v>
      </c>
      <c r="C1" s="510" t="s">
        <v>885</v>
      </c>
      <c r="D1" s="510" t="s">
        <v>862</v>
      </c>
      <c r="E1" s="527" t="s">
        <v>863</v>
      </c>
      <c r="F1" s="510" t="s">
        <v>864</v>
      </c>
    </row>
    <row r="2" spans="1:6" x14ac:dyDescent="0.2">
      <c r="A2" s="510"/>
      <c r="B2" s="510"/>
      <c r="C2" s="510"/>
      <c r="D2" s="510"/>
      <c r="E2" s="527"/>
      <c r="F2" s="510"/>
    </row>
    <row r="3" spans="1:6" x14ac:dyDescent="0.2">
      <c r="A3" s="204">
        <v>1</v>
      </c>
      <c r="B3" s="203" t="s">
        <v>865</v>
      </c>
      <c r="C3" s="204">
        <f>C4+C6+C9+C12+C15+C17+C22+C26+C29+C30</f>
        <v>180</v>
      </c>
      <c r="D3" s="204">
        <v>1</v>
      </c>
      <c r="E3" s="204">
        <v>60</v>
      </c>
      <c r="F3" s="204" t="s">
        <v>161</v>
      </c>
    </row>
    <row r="4" spans="1:6" x14ac:dyDescent="0.2">
      <c r="A4" s="204">
        <v>1.1000000000000001</v>
      </c>
      <c r="B4" s="203" t="s">
        <v>866</v>
      </c>
      <c r="C4" s="204">
        <f>C5</f>
        <v>60</v>
      </c>
      <c r="D4" s="204">
        <v>1</v>
      </c>
      <c r="E4" s="204">
        <v>60</v>
      </c>
      <c r="F4" s="204" t="s">
        <v>161</v>
      </c>
    </row>
    <row r="5" spans="1:6" x14ac:dyDescent="0.2">
      <c r="A5" s="189" t="s">
        <v>884</v>
      </c>
      <c r="B5" s="18" t="s">
        <v>867</v>
      </c>
      <c r="C5" s="189">
        <v>60</v>
      </c>
      <c r="D5" s="189">
        <v>1</v>
      </c>
      <c r="E5" s="189">
        <v>60</v>
      </c>
      <c r="F5" s="189" t="s">
        <v>161</v>
      </c>
    </row>
    <row r="6" spans="1:6" x14ac:dyDescent="0.2">
      <c r="A6" s="204">
        <v>1.2</v>
      </c>
      <c r="B6" s="203" t="s">
        <v>868</v>
      </c>
      <c r="C6" s="204">
        <f>C7+C8</f>
        <v>10</v>
      </c>
      <c r="D6" s="204">
        <v>61</v>
      </c>
      <c r="E6" s="204">
        <v>70</v>
      </c>
      <c r="F6" s="204" t="s">
        <v>884</v>
      </c>
    </row>
    <row r="7" spans="1:6" x14ac:dyDescent="0.2">
      <c r="A7" s="189" t="s">
        <v>886</v>
      </c>
      <c r="B7" s="18" t="s">
        <v>869</v>
      </c>
      <c r="C7" s="189">
        <v>7</v>
      </c>
      <c r="D7" s="189">
        <v>61</v>
      </c>
      <c r="E7" s="189">
        <v>67</v>
      </c>
      <c r="F7" s="189" t="s">
        <v>884</v>
      </c>
    </row>
    <row r="8" spans="1:6" x14ac:dyDescent="0.2">
      <c r="A8" s="189" t="s">
        <v>887</v>
      </c>
      <c r="B8" s="18" t="s">
        <v>870</v>
      </c>
      <c r="C8" s="189">
        <v>3</v>
      </c>
      <c r="D8" s="189">
        <v>68</v>
      </c>
      <c r="E8" s="189">
        <v>70</v>
      </c>
      <c r="F8" s="189" t="s">
        <v>886</v>
      </c>
    </row>
    <row r="9" spans="1:6" x14ac:dyDescent="0.2">
      <c r="A9" s="204">
        <v>1.3</v>
      </c>
      <c r="B9" s="203" t="s">
        <v>871</v>
      </c>
      <c r="C9" s="204">
        <f>C10+C11</f>
        <v>2</v>
      </c>
      <c r="D9" s="204">
        <v>71</v>
      </c>
      <c r="E9" s="204">
        <v>72</v>
      </c>
      <c r="F9" s="204">
        <v>1.2</v>
      </c>
    </row>
    <row r="10" spans="1:6" x14ac:dyDescent="0.2">
      <c r="A10" s="189" t="s">
        <v>888</v>
      </c>
      <c r="B10" s="18" t="s">
        <v>872</v>
      </c>
      <c r="C10" s="189">
        <v>1</v>
      </c>
      <c r="D10" s="189">
        <v>71</v>
      </c>
      <c r="E10" s="189">
        <v>71</v>
      </c>
      <c r="F10" s="189">
        <v>1.2</v>
      </c>
    </row>
    <row r="11" spans="1:6" x14ac:dyDescent="0.2">
      <c r="A11" s="189" t="s">
        <v>889</v>
      </c>
      <c r="B11" s="18" t="s">
        <v>873</v>
      </c>
      <c r="C11" s="189">
        <v>1</v>
      </c>
      <c r="D11" s="189">
        <v>72</v>
      </c>
      <c r="E11" s="189">
        <v>72</v>
      </c>
      <c r="F11" s="189" t="s">
        <v>888</v>
      </c>
    </row>
    <row r="12" spans="1:6" x14ac:dyDescent="0.2">
      <c r="A12" s="204">
        <v>1.4</v>
      </c>
      <c r="B12" s="203" t="s">
        <v>874</v>
      </c>
      <c r="C12" s="204">
        <f>C13+C14</f>
        <v>4</v>
      </c>
      <c r="D12" s="204">
        <v>73</v>
      </c>
      <c r="E12" s="204">
        <v>76</v>
      </c>
      <c r="F12" s="204">
        <v>1.3</v>
      </c>
    </row>
    <row r="13" spans="1:6" x14ac:dyDescent="0.2">
      <c r="A13" s="189" t="s">
        <v>890</v>
      </c>
      <c r="B13" s="18" t="s">
        <v>875</v>
      </c>
      <c r="C13" s="189">
        <v>2</v>
      </c>
      <c r="D13" s="189">
        <v>73</v>
      </c>
      <c r="E13" s="189">
        <v>74</v>
      </c>
      <c r="F13" s="189" t="s">
        <v>889</v>
      </c>
    </row>
    <row r="14" spans="1:6" x14ac:dyDescent="0.2">
      <c r="A14" s="189" t="s">
        <v>891</v>
      </c>
      <c r="B14" s="18" t="s">
        <v>876</v>
      </c>
      <c r="C14" s="189">
        <v>2</v>
      </c>
      <c r="D14" s="189">
        <v>75</v>
      </c>
      <c r="E14" s="189">
        <v>76</v>
      </c>
      <c r="F14" s="189" t="s">
        <v>890</v>
      </c>
    </row>
    <row r="15" spans="1:6" x14ac:dyDescent="0.2">
      <c r="A15" s="204">
        <v>1.5</v>
      </c>
      <c r="B15" s="203" t="s">
        <v>893</v>
      </c>
      <c r="C15" s="204">
        <f>C16</f>
        <v>10</v>
      </c>
      <c r="D15" s="204">
        <v>77</v>
      </c>
      <c r="E15" s="204">
        <v>86</v>
      </c>
      <c r="F15" s="204">
        <v>1.4</v>
      </c>
    </row>
    <row r="16" spans="1:6" x14ac:dyDescent="0.2">
      <c r="A16" s="189" t="s">
        <v>892</v>
      </c>
      <c r="B16" s="18" t="s">
        <v>894</v>
      </c>
      <c r="C16" s="189">
        <v>10</v>
      </c>
      <c r="D16" s="189">
        <v>77</v>
      </c>
      <c r="E16" s="189">
        <v>86</v>
      </c>
      <c r="F16" s="189" t="s">
        <v>889</v>
      </c>
    </row>
    <row r="17" spans="1:6" x14ac:dyDescent="0.2">
      <c r="A17" s="204">
        <v>1.6</v>
      </c>
      <c r="B17" s="203" t="s">
        <v>877</v>
      </c>
      <c r="C17" s="204">
        <f>C18+C19+C20+C21</f>
        <v>50</v>
      </c>
      <c r="D17" s="204">
        <v>87</v>
      </c>
      <c r="E17" s="204">
        <v>136</v>
      </c>
      <c r="F17" s="204">
        <v>1.5</v>
      </c>
    </row>
    <row r="18" spans="1:6" x14ac:dyDescent="0.2">
      <c r="A18" s="189" t="s">
        <v>895</v>
      </c>
      <c r="B18" s="18" t="s">
        <v>878</v>
      </c>
      <c r="C18" s="189">
        <v>1</v>
      </c>
      <c r="D18" s="189">
        <v>87</v>
      </c>
      <c r="E18" s="189">
        <v>87</v>
      </c>
      <c r="F18" s="189" t="s">
        <v>891</v>
      </c>
    </row>
    <row r="19" spans="1:6" x14ac:dyDescent="0.2">
      <c r="A19" s="189" t="s">
        <v>896</v>
      </c>
      <c r="B19" s="18" t="s">
        <v>879</v>
      </c>
      <c r="C19" s="189">
        <v>2</v>
      </c>
      <c r="D19" s="189">
        <v>88</v>
      </c>
      <c r="E19" s="189">
        <v>89</v>
      </c>
      <c r="F19" s="189" t="s">
        <v>895</v>
      </c>
    </row>
    <row r="20" spans="1:6" x14ac:dyDescent="0.2">
      <c r="A20" s="189" t="s">
        <v>897</v>
      </c>
      <c r="B20" s="18" t="s">
        <v>880</v>
      </c>
      <c r="C20" s="189">
        <v>3</v>
      </c>
      <c r="D20" s="189">
        <v>90</v>
      </c>
      <c r="E20" s="189">
        <v>92</v>
      </c>
      <c r="F20" s="189" t="s">
        <v>896</v>
      </c>
    </row>
    <row r="21" spans="1:6" x14ac:dyDescent="0.2">
      <c r="A21" s="189" t="s">
        <v>898</v>
      </c>
      <c r="B21" s="18" t="s">
        <v>877</v>
      </c>
      <c r="C21" s="189">
        <v>44</v>
      </c>
      <c r="D21" s="189">
        <v>93</v>
      </c>
      <c r="E21" s="189">
        <v>136</v>
      </c>
      <c r="F21" s="189" t="s">
        <v>897</v>
      </c>
    </row>
    <row r="22" spans="1:6" x14ac:dyDescent="0.2">
      <c r="A22" s="204">
        <v>1.7</v>
      </c>
      <c r="B22" s="203" t="s">
        <v>881</v>
      </c>
      <c r="C22" s="204">
        <f>C23+C24+C25</f>
        <v>10</v>
      </c>
      <c r="D22" s="204">
        <v>137</v>
      </c>
      <c r="E22" s="204">
        <v>146</v>
      </c>
      <c r="F22" s="204">
        <v>1.6</v>
      </c>
    </row>
    <row r="23" spans="1:6" x14ac:dyDescent="0.2">
      <c r="A23" s="189" t="s">
        <v>899</v>
      </c>
      <c r="B23" s="18" t="s">
        <v>909</v>
      </c>
      <c r="C23" s="189">
        <v>4</v>
      </c>
      <c r="D23" s="189">
        <v>137</v>
      </c>
      <c r="E23" s="189">
        <v>140</v>
      </c>
      <c r="F23" s="189" t="s">
        <v>898</v>
      </c>
    </row>
    <row r="24" spans="1:6" x14ac:dyDescent="0.2">
      <c r="A24" s="189" t="s">
        <v>900</v>
      </c>
      <c r="B24" s="18" t="s">
        <v>882</v>
      </c>
      <c r="C24" s="189">
        <v>4</v>
      </c>
      <c r="D24" s="189">
        <v>141</v>
      </c>
      <c r="E24" s="189">
        <v>144</v>
      </c>
      <c r="F24" s="189" t="s">
        <v>899</v>
      </c>
    </row>
    <row r="25" spans="1:6" x14ac:dyDescent="0.2">
      <c r="A25" s="189" t="s">
        <v>901</v>
      </c>
      <c r="B25" s="18" t="s">
        <v>883</v>
      </c>
      <c r="C25" s="189">
        <v>2</v>
      </c>
      <c r="D25" s="189">
        <v>145</v>
      </c>
      <c r="E25" s="189">
        <v>146</v>
      </c>
      <c r="F25" s="189" t="s">
        <v>900</v>
      </c>
    </row>
    <row r="26" spans="1:6" x14ac:dyDescent="0.2">
      <c r="A26" s="204">
        <v>1.8</v>
      </c>
      <c r="B26" s="203" t="s">
        <v>902</v>
      </c>
      <c r="C26" s="204">
        <f>C27+C28</f>
        <v>20</v>
      </c>
      <c r="D26" s="204">
        <v>147</v>
      </c>
      <c r="E26" s="204">
        <v>166</v>
      </c>
      <c r="F26" s="204">
        <v>1.7</v>
      </c>
    </row>
    <row r="27" spans="1:6" x14ac:dyDescent="0.2">
      <c r="A27" s="189" t="s">
        <v>903</v>
      </c>
      <c r="B27" s="18" t="s">
        <v>905</v>
      </c>
      <c r="C27" s="189">
        <v>10</v>
      </c>
      <c r="D27" s="189">
        <v>147</v>
      </c>
      <c r="E27" s="189">
        <v>156</v>
      </c>
      <c r="F27" s="189" t="s">
        <v>901</v>
      </c>
    </row>
    <row r="28" spans="1:6" x14ac:dyDescent="0.2">
      <c r="A28" s="189" t="s">
        <v>904</v>
      </c>
      <c r="B28" s="18" t="s">
        <v>906</v>
      </c>
      <c r="C28" s="189">
        <v>10</v>
      </c>
      <c r="D28" s="189">
        <v>157</v>
      </c>
      <c r="E28" s="189">
        <v>166</v>
      </c>
      <c r="F28" s="189" t="s">
        <v>903</v>
      </c>
    </row>
    <row r="29" spans="1:6" x14ac:dyDescent="0.2">
      <c r="A29" s="204">
        <v>1.9</v>
      </c>
      <c r="B29" s="203" t="s">
        <v>907</v>
      </c>
      <c r="C29" s="204">
        <v>10</v>
      </c>
      <c r="D29" s="204">
        <v>167</v>
      </c>
      <c r="E29" s="204">
        <v>176</v>
      </c>
      <c r="F29" s="204">
        <v>1.8</v>
      </c>
    </row>
    <row r="30" spans="1:6" x14ac:dyDescent="0.2">
      <c r="A30" s="205">
        <v>2</v>
      </c>
      <c r="B30" s="203" t="s">
        <v>908</v>
      </c>
      <c r="C30" s="204">
        <v>4</v>
      </c>
      <c r="D30" s="204">
        <v>177</v>
      </c>
      <c r="E30" s="204">
        <v>180</v>
      </c>
      <c r="F30" s="204">
        <v>1.9</v>
      </c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workbookViewId="0">
      <selection sqref="A1:A2"/>
    </sheetView>
  </sheetViews>
  <sheetFormatPr baseColWidth="10" defaultColWidth="10.85546875" defaultRowHeight="12.75" x14ac:dyDescent="0.25"/>
  <cols>
    <col min="1" max="2" width="21.42578125" style="12" customWidth="1"/>
    <col min="3" max="3" width="25.7109375" style="12" customWidth="1"/>
    <col min="4" max="4" width="24.28515625" style="12" customWidth="1"/>
    <col min="5" max="5" width="10.85546875" style="12"/>
    <col min="6" max="7" width="25.7109375" style="12" customWidth="1"/>
    <col min="8" max="16384" width="10.85546875" style="12"/>
  </cols>
  <sheetData>
    <row r="1" spans="1:8" ht="15" customHeight="1" x14ac:dyDescent="0.25">
      <c r="A1" s="507" t="s">
        <v>911</v>
      </c>
      <c r="B1" s="507" t="s">
        <v>912</v>
      </c>
      <c r="C1" s="504" t="s">
        <v>918</v>
      </c>
      <c r="D1" s="639" t="s">
        <v>924</v>
      </c>
      <c r="F1" s="194" t="s">
        <v>938</v>
      </c>
      <c r="G1" s="194" t="s">
        <v>939</v>
      </c>
      <c r="H1" s="194" t="s">
        <v>943</v>
      </c>
    </row>
    <row r="2" spans="1:8" x14ac:dyDescent="0.25">
      <c r="A2" s="509"/>
      <c r="B2" s="509"/>
      <c r="C2" s="505"/>
      <c r="D2" s="514"/>
      <c r="F2" s="192" t="s">
        <v>935</v>
      </c>
      <c r="G2" s="192" t="s">
        <v>940</v>
      </c>
      <c r="H2" s="184">
        <v>2E-3</v>
      </c>
    </row>
    <row r="3" spans="1:8" ht="15" customHeight="1" x14ac:dyDescent="0.25">
      <c r="A3" s="637" t="s">
        <v>922</v>
      </c>
      <c r="B3" s="635" t="s">
        <v>916</v>
      </c>
      <c r="C3" s="206" t="s">
        <v>919</v>
      </c>
      <c r="D3" s="634" t="s">
        <v>932</v>
      </c>
      <c r="F3" s="192" t="s">
        <v>936</v>
      </c>
      <c r="G3" s="192" t="s">
        <v>941</v>
      </c>
      <c r="H3" s="184">
        <v>6.0000000000000001E-3</v>
      </c>
    </row>
    <row r="4" spans="1:8" x14ac:dyDescent="0.25">
      <c r="A4" s="637"/>
      <c r="B4" s="636"/>
      <c r="C4" s="207" t="s">
        <v>921</v>
      </c>
      <c r="D4" s="634"/>
      <c r="F4" s="192" t="s">
        <v>937</v>
      </c>
      <c r="G4" s="192" t="s">
        <v>942</v>
      </c>
      <c r="H4" s="172">
        <v>0.01</v>
      </c>
    </row>
    <row r="5" spans="1:8" x14ac:dyDescent="0.25">
      <c r="A5" s="637"/>
      <c r="B5" s="642" t="s">
        <v>925</v>
      </c>
      <c r="C5" s="207" t="s">
        <v>927</v>
      </c>
      <c r="D5" s="634"/>
    </row>
    <row r="6" spans="1:8" x14ac:dyDescent="0.25">
      <c r="A6" s="637"/>
      <c r="B6" s="643"/>
      <c r="C6" s="207" t="s">
        <v>920</v>
      </c>
      <c r="D6" s="563"/>
    </row>
    <row r="7" spans="1:8" x14ac:dyDescent="0.25">
      <c r="A7" s="638" t="s">
        <v>928</v>
      </c>
      <c r="B7" s="629" t="s">
        <v>929</v>
      </c>
      <c r="C7" s="206" t="s">
        <v>919</v>
      </c>
      <c r="D7" s="629" t="s">
        <v>926</v>
      </c>
    </row>
    <row r="8" spans="1:8" x14ac:dyDescent="0.25">
      <c r="A8" s="638"/>
      <c r="B8" s="630"/>
      <c r="C8" s="207" t="s">
        <v>921</v>
      </c>
      <c r="D8" s="630"/>
    </row>
    <row r="9" spans="1:8" x14ac:dyDescent="0.25">
      <c r="A9" s="638"/>
      <c r="B9" s="630"/>
      <c r="C9" s="207" t="s">
        <v>927</v>
      </c>
      <c r="D9" s="630"/>
    </row>
    <row r="10" spans="1:8" x14ac:dyDescent="0.25">
      <c r="A10" s="638"/>
      <c r="B10" s="631"/>
      <c r="C10" s="207" t="s">
        <v>920</v>
      </c>
      <c r="D10" s="631"/>
    </row>
    <row r="11" spans="1:8" x14ac:dyDescent="0.2">
      <c r="A11" s="637" t="s">
        <v>933</v>
      </c>
      <c r="B11" s="635" t="s">
        <v>916</v>
      </c>
      <c r="C11" s="208" t="s">
        <v>919</v>
      </c>
      <c r="D11" s="629" t="s">
        <v>926</v>
      </c>
    </row>
    <row r="12" spans="1:8" x14ac:dyDescent="0.25">
      <c r="A12" s="637"/>
      <c r="B12" s="636"/>
      <c r="C12" s="60" t="s">
        <v>921</v>
      </c>
      <c r="D12" s="630"/>
    </row>
    <row r="13" spans="1:8" x14ac:dyDescent="0.25">
      <c r="A13" s="637"/>
      <c r="B13" s="632" t="s">
        <v>917</v>
      </c>
      <c r="C13" s="60" t="s">
        <v>927</v>
      </c>
      <c r="D13" s="630"/>
    </row>
    <row r="14" spans="1:8" x14ac:dyDescent="0.25">
      <c r="A14" s="637"/>
      <c r="B14" s="633"/>
      <c r="C14" s="123" t="s">
        <v>934</v>
      </c>
      <c r="D14" s="631"/>
    </row>
    <row r="15" spans="1:8" ht="12.75" customHeight="1" x14ac:dyDescent="0.25">
      <c r="A15" s="637" t="s">
        <v>915</v>
      </c>
      <c r="B15" s="635" t="s">
        <v>916</v>
      </c>
      <c r="C15" s="629" t="s">
        <v>930</v>
      </c>
      <c r="D15" s="629" t="s">
        <v>931</v>
      </c>
    </row>
    <row r="16" spans="1:8" x14ac:dyDescent="0.25">
      <c r="A16" s="637"/>
      <c r="B16" s="636"/>
      <c r="C16" s="630"/>
      <c r="D16" s="630"/>
    </row>
    <row r="17" spans="1:4" x14ac:dyDescent="0.25">
      <c r="A17" s="637"/>
      <c r="B17" s="632" t="s">
        <v>917</v>
      </c>
      <c r="C17" s="630"/>
      <c r="D17" s="630"/>
    </row>
    <row r="18" spans="1:4" x14ac:dyDescent="0.25">
      <c r="A18" s="637"/>
      <c r="B18" s="633"/>
      <c r="C18" s="631"/>
      <c r="D18" s="631"/>
    </row>
    <row r="19" spans="1:4" ht="12.75" customHeight="1" x14ac:dyDescent="0.25">
      <c r="A19" s="611" t="s">
        <v>910</v>
      </c>
      <c r="B19" s="637" t="s">
        <v>913</v>
      </c>
      <c r="C19" s="644" t="s">
        <v>923</v>
      </c>
      <c r="D19" s="634" t="s">
        <v>914</v>
      </c>
    </row>
    <row r="20" spans="1:4" x14ac:dyDescent="0.25">
      <c r="A20" s="611"/>
      <c r="B20" s="637"/>
      <c r="C20" s="645"/>
      <c r="D20" s="634"/>
    </row>
    <row r="21" spans="1:4" x14ac:dyDescent="0.25">
      <c r="A21" s="611"/>
      <c r="B21" s="637"/>
      <c r="C21" s="640" t="s">
        <v>921</v>
      </c>
      <c r="D21" s="634"/>
    </row>
    <row r="22" spans="1:4" x14ac:dyDescent="0.25">
      <c r="A22" s="611"/>
      <c r="B22" s="637"/>
      <c r="C22" s="641"/>
      <c r="D22" s="634"/>
    </row>
    <row r="23" spans="1:4" ht="12.75" customHeight="1" x14ac:dyDescent="0.25"/>
    <row r="27" spans="1:4" ht="12.75" customHeight="1" x14ac:dyDescent="0.25"/>
  </sheetData>
  <mergeCells count="25">
    <mergeCell ref="A1:A2"/>
    <mergeCell ref="B1:B2"/>
    <mergeCell ref="C1:C2"/>
    <mergeCell ref="D1:D2"/>
    <mergeCell ref="C21:C22"/>
    <mergeCell ref="D19:D22"/>
    <mergeCell ref="D15:D18"/>
    <mergeCell ref="B15:B16"/>
    <mergeCell ref="B19:B22"/>
    <mergeCell ref="A15:A18"/>
    <mergeCell ref="A19:A22"/>
    <mergeCell ref="B17:B18"/>
    <mergeCell ref="B5:B6"/>
    <mergeCell ref="B11:B12"/>
    <mergeCell ref="C19:C20"/>
    <mergeCell ref="A3:A6"/>
    <mergeCell ref="C15:C18"/>
    <mergeCell ref="B13:B14"/>
    <mergeCell ref="D3:D6"/>
    <mergeCell ref="B3:B4"/>
    <mergeCell ref="A11:A14"/>
    <mergeCell ref="B7:B10"/>
    <mergeCell ref="D11:D14"/>
    <mergeCell ref="A7:A10"/>
    <mergeCell ref="D7:D10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172"/>
  <sheetViews>
    <sheetView topLeftCell="M133" zoomScale="85" zoomScaleNormal="85" zoomScalePageLayoutView="85" workbookViewId="0">
      <selection activeCell="O161" sqref="O161"/>
    </sheetView>
  </sheetViews>
  <sheetFormatPr baseColWidth="10" defaultColWidth="10.85546875" defaultRowHeight="12.75" x14ac:dyDescent="0.2"/>
  <cols>
    <col min="1" max="1" width="10.85546875" style="9"/>
    <col min="2" max="4" width="30" style="9" customWidth="1"/>
    <col min="5" max="5" width="10.85546875" style="9"/>
    <col min="6" max="6" width="27.7109375" style="9" bestFit="1" customWidth="1"/>
    <col min="7" max="11" width="5.85546875" style="9" bestFit="1" customWidth="1"/>
    <col min="12" max="12" width="10.85546875" style="9"/>
    <col min="13" max="13" width="27.7109375" style="9" bestFit="1" customWidth="1"/>
    <col min="14" max="14" width="24.7109375" style="9" bestFit="1" customWidth="1"/>
    <col min="15" max="15" width="10.85546875" style="9"/>
    <col min="16" max="16" width="27.7109375" style="9" bestFit="1" customWidth="1"/>
    <col min="17" max="17" width="20" style="9" bestFit="1" customWidth="1"/>
    <col min="18" max="18" width="9.140625" style="9" bestFit="1" customWidth="1"/>
    <col min="19" max="19" width="20.42578125" style="9" bestFit="1" customWidth="1"/>
    <col min="20" max="20" width="20.42578125" style="9" hidden="1" customWidth="1"/>
    <col min="21" max="21" width="13.28515625" style="9" bestFit="1" customWidth="1"/>
    <col min="22" max="22" width="18.42578125" style="9" bestFit="1" customWidth="1"/>
    <col min="23" max="25" width="10.85546875" style="9"/>
    <col min="26" max="26" width="18.85546875" style="9" bestFit="1" customWidth="1"/>
    <col min="27" max="28" width="10.85546875" style="9"/>
    <col min="29" max="29" width="28.7109375" style="9" bestFit="1" customWidth="1"/>
    <col min="30" max="30" width="19.140625" style="9" bestFit="1" customWidth="1"/>
    <col min="31" max="31" width="70.85546875" style="9" bestFit="1" customWidth="1"/>
    <col min="32" max="32" width="20.28515625" style="9" bestFit="1" customWidth="1"/>
    <col min="33" max="33" width="14.7109375" style="9" bestFit="1" customWidth="1"/>
    <col min="34" max="35" width="10.85546875" style="9"/>
    <col min="36" max="36" width="16.28515625" style="9" bestFit="1" customWidth="1"/>
    <col min="37" max="37" width="24.42578125" style="9" bestFit="1" customWidth="1"/>
    <col min="38" max="38" width="28.42578125" style="9" bestFit="1" customWidth="1"/>
    <col min="39" max="39" width="25.7109375" style="9" bestFit="1" customWidth="1"/>
    <col min="40" max="40" width="18" style="9" bestFit="1" customWidth="1"/>
    <col min="41" max="41" width="22.7109375" style="9" bestFit="1" customWidth="1"/>
    <col min="42" max="42" width="26.85546875" style="9" bestFit="1" customWidth="1"/>
    <col min="43" max="16384" width="10.85546875" style="9"/>
  </cols>
  <sheetData>
    <row r="2" spans="2:4" x14ac:dyDescent="0.2">
      <c r="B2" s="270" t="s">
        <v>1182</v>
      </c>
      <c r="C2" s="270" t="s">
        <v>1184</v>
      </c>
      <c r="D2" s="270" t="s">
        <v>1185</v>
      </c>
    </row>
    <row r="3" spans="2:4" ht="38.25" x14ac:dyDescent="0.2">
      <c r="B3" s="272" t="s">
        <v>1199</v>
      </c>
      <c r="C3" s="269" t="s">
        <v>1211</v>
      </c>
      <c r="D3" s="269" t="s">
        <v>1216</v>
      </c>
    </row>
    <row r="4" spans="2:4" ht="38.25" x14ac:dyDescent="0.2">
      <c r="B4" s="272" t="s">
        <v>1217</v>
      </c>
      <c r="C4" s="269" t="s">
        <v>1206</v>
      </c>
      <c r="D4" s="269" t="s">
        <v>1208</v>
      </c>
    </row>
    <row r="5" spans="2:4" ht="38.25" x14ac:dyDescent="0.2">
      <c r="B5" s="272" t="s">
        <v>1200</v>
      </c>
      <c r="C5" s="269" t="s">
        <v>1205</v>
      </c>
      <c r="D5" s="269" t="s">
        <v>1209</v>
      </c>
    </row>
    <row r="6" spans="2:4" ht="38.25" x14ac:dyDescent="0.2">
      <c r="B6" s="272" t="s">
        <v>1201</v>
      </c>
      <c r="C6" s="269" t="s">
        <v>1207</v>
      </c>
      <c r="D6" s="269" t="s">
        <v>1210</v>
      </c>
    </row>
    <row r="7" spans="2:4" x14ac:dyDescent="0.2">
      <c r="B7" s="270" t="s">
        <v>1186</v>
      </c>
      <c r="C7" s="270" t="s">
        <v>1188</v>
      </c>
      <c r="D7" s="270" t="s">
        <v>1189</v>
      </c>
    </row>
    <row r="8" spans="2:4" ht="25.5" x14ac:dyDescent="0.2">
      <c r="B8" s="269" t="s">
        <v>1212</v>
      </c>
      <c r="C8" s="269" t="s">
        <v>1227</v>
      </c>
      <c r="D8" s="269" t="s">
        <v>1221</v>
      </c>
    </row>
    <row r="9" spans="2:4" ht="25.5" x14ac:dyDescent="0.2">
      <c r="B9" s="269" t="s">
        <v>1213</v>
      </c>
      <c r="C9" s="269" t="s">
        <v>1218</v>
      </c>
      <c r="D9" s="269" t="s">
        <v>1222</v>
      </c>
    </row>
    <row r="10" spans="2:4" ht="25.5" x14ac:dyDescent="0.2">
      <c r="B10" s="269" t="s">
        <v>1214</v>
      </c>
      <c r="C10" s="269" t="s">
        <v>1219</v>
      </c>
      <c r="D10" s="269" t="s">
        <v>1223</v>
      </c>
    </row>
    <row r="11" spans="2:4" ht="38.25" x14ac:dyDescent="0.2">
      <c r="B11" s="269" t="s">
        <v>1215</v>
      </c>
      <c r="C11" s="269" t="s">
        <v>1220</v>
      </c>
      <c r="D11" s="269" t="s">
        <v>1224</v>
      </c>
    </row>
    <row r="12" spans="2:4" x14ac:dyDescent="0.2">
      <c r="B12" s="270" t="s">
        <v>1190</v>
      </c>
      <c r="C12" s="270" t="s">
        <v>1191</v>
      </c>
      <c r="D12" s="270" t="s">
        <v>1192</v>
      </c>
    </row>
    <row r="13" spans="2:4" ht="25.5" x14ac:dyDescent="0.2">
      <c r="B13" s="269" t="s">
        <v>1226</v>
      </c>
      <c r="C13" s="269" t="s">
        <v>1229</v>
      </c>
      <c r="D13" s="269" t="s">
        <v>1234</v>
      </c>
    </row>
    <row r="14" spans="2:4" ht="38.25" x14ac:dyDescent="0.2">
      <c r="B14" s="269" t="s">
        <v>1225</v>
      </c>
      <c r="C14" s="269" t="s">
        <v>1230</v>
      </c>
      <c r="D14" s="269" t="s">
        <v>1235</v>
      </c>
    </row>
    <row r="15" spans="2:4" ht="51" x14ac:dyDescent="0.2">
      <c r="B15" s="269" t="s">
        <v>1231</v>
      </c>
      <c r="C15" s="269" t="s">
        <v>1232</v>
      </c>
      <c r="D15" s="269" t="s">
        <v>1236</v>
      </c>
    </row>
    <row r="16" spans="2:4" ht="51" x14ac:dyDescent="0.2">
      <c r="B16" s="269" t="s">
        <v>1228</v>
      </c>
      <c r="C16" s="269" t="s">
        <v>1233</v>
      </c>
      <c r="D16" s="269" t="s">
        <v>1237</v>
      </c>
    </row>
    <row r="17" spans="2:4" x14ac:dyDescent="0.2">
      <c r="B17" s="270" t="s">
        <v>1193</v>
      </c>
      <c r="C17" s="270" t="s">
        <v>1187</v>
      </c>
      <c r="D17" s="270" t="s">
        <v>1194</v>
      </c>
    </row>
    <row r="18" spans="2:4" ht="51" x14ac:dyDescent="0.2">
      <c r="B18" s="269" t="s">
        <v>1255</v>
      </c>
      <c r="C18" s="269" t="s">
        <v>1241</v>
      </c>
      <c r="D18" s="269" t="s">
        <v>1244</v>
      </c>
    </row>
    <row r="19" spans="2:4" ht="51" x14ac:dyDescent="0.2">
      <c r="B19" s="269" t="s">
        <v>1238</v>
      </c>
      <c r="C19" s="269" t="s">
        <v>1242</v>
      </c>
      <c r="D19" s="269" t="s">
        <v>1245</v>
      </c>
    </row>
    <row r="20" spans="2:4" ht="51" x14ac:dyDescent="0.2">
      <c r="B20" s="269" t="s">
        <v>1239</v>
      </c>
      <c r="C20" s="269" t="s">
        <v>1243</v>
      </c>
      <c r="D20" s="269" t="s">
        <v>1246</v>
      </c>
    </row>
    <row r="21" spans="2:4" ht="38.25" x14ac:dyDescent="0.2">
      <c r="B21" s="269" t="s">
        <v>1240</v>
      </c>
      <c r="C21" s="267"/>
      <c r="D21" s="267"/>
    </row>
    <row r="22" spans="2:4" x14ac:dyDescent="0.2">
      <c r="B22" s="270" t="s">
        <v>1195</v>
      </c>
      <c r="C22" s="270" t="s">
        <v>1196</v>
      </c>
      <c r="D22" s="270" t="s">
        <v>1197</v>
      </c>
    </row>
    <row r="23" spans="2:4" ht="38.25" x14ac:dyDescent="0.2">
      <c r="B23" s="269" t="s">
        <v>1247</v>
      </c>
      <c r="C23" s="269" t="s">
        <v>1250</v>
      </c>
      <c r="D23" s="269" t="s">
        <v>1253</v>
      </c>
    </row>
    <row r="24" spans="2:4" ht="38.25" x14ac:dyDescent="0.2">
      <c r="B24" s="269" t="s">
        <v>1248</v>
      </c>
      <c r="C24" s="269" t="s">
        <v>1251</v>
      </c>
      <c r="D24" s="267"/>
    </row>
    <row r="25" spans="2:4" ht="51" x14ac:dyDescent="0.2">
      <c r="B25" s="269" t="s">
        <v>1249</v>
      </c>
      <c r="C25" s="269" t="s">
        <v>1252</v>
      </c>
      <c r="D25" s="267"/>
    </row>
    <row r="26" spans="2:4" x14ac:dyDescent="0.2">
      <c r="B26" s="270" t="s">
        <v>1198</v>
      </c>
      <c r="C26" s="270" t="s">
        <v>1183</v>
      </c>
      <c r="D26" s="271"/>
    </row>
    <row r="27" spans="2:4" ht="38.25" x14ac:dyDescent="0.2">
      <c r="B27" s="274" t="s">
        <v>1254</v>
      </c>
      <c r="C27" s="267" t="s">
        <v>1202</v>
      </c>
      <c r="D27" s="15"/>
    </row>
    <row r="28" spans="2:4" ht="38.25" x14ac:dyDescent="0.2">
      <c r="B28" s="18"/>
      <c r="C28" s="269" t="s">
        <v>1204</v>
      </c>
      <c r="D28" s="15"/>
    </row>
    <row r="29" spans="2:4" ht="38.25" x14ac:dyDescent="0.2">
      <c r="B29" s="18"/>
      <c r="C29" s="269" t="s">
        <v>1203</v>
      </c>
      <c r="D29" s="15"/>
    </row>
    <row r="31" spans="2:4" x14ac:dyDescent="0.2">
      <c r="B31" s="270" t="s">
        <v>1182</v>
      </c>
      <c r="C31" s="270" t="s">
        <v>1184</v>
      </c>
      <c r="D31" s="270" t="s">
        <v>1185</v>
      </c>
    </row>
    <row r="32" spans="2:4" ht="51" x14ac:dyDescent="0.2">
      <c r="B32" s="269" t="s">
        <v>1257</v>
      </c>
      <c r="C32" s="269" t="s">
        <v>1263</v>
      </c>
      <c r="D32" s="269" t="s">
        <v>1264</v>
      </c>
    </row>
    <row r="33" spans="2:4" ht="25.5" x14ac:dyDescent="0.2">
      <c r="B33" s="269" t="s">
        <v>1256</v>
      </c>
      <c r="C33" s="269" t="s">
        <v>1260</v>
      </c>
      <c r="D33" s="269" t="s">
        <v>1260</v>
      </c>
    </row>
    <row r="34" spans="2:4" ht="25.5" x14ac:dyDescent="0.2">
      <c r="B34" s="269" t="s">
        <v>1258</v>
      </c>
      <c r="C34" s="269" t="s">
        <v>1261</v>
      </c>
      <c r="D34" s="269" t="s">
        <v>1261</v>
      </c>
    </row>
    <row r="35" spans="2:4" ht="25.5" x14ac:dyDescent="0.2">
      <c r="B35" s="269" t="s">
        <v>1259</v>
      </c>
      <c r="C35" s="269" t="s">
        <v>1262</v>
      </c>
      <c r="D35" s="269" t="s">
        <v>1262</v>
      </c>
    </row>
    <row r="36" spans="2:4" ht="38.25" x14ac:dyDescent="0.2">
      <c r="B36" s="269" t="s">
        <v>1280</v>
      </c>
      <c r="C36" s="269" t="s">
        <v>1293</v>
      </c>
      <c r="D36" s="269" t="s">
        <v>1294</v>
      </c>
    </row>
    <row r="37" spans="2:4" x14ac:dyDescent="0.2">
      <c r="B37" s="270" t="s">
        <v>1186</v>
      </c>
      <c r="C37" s="270" t="s">
        <v>1188</v>
      </c>
      <c r="D37" s="270" t="s">
        <v>1189</v>
      </c>
    </row>
    <row r="38" spans="2:4" ht="38.25" x14ac:dyDescent="0.2">
      <c r="B38" s="269" t="s">
        <v>1265</v>
      </c>
      <c r="C38" s="269" t="s">
        <v>1264</v>
      </c>
      <c r="D38" s="269" t="s">
        <v>1264</v>
      </c>
    </row>
    <row r="39" spans="2:4" ht="38.25" x14ac:dyDescent="0.2">
      <c r="B39" s="269" t="s">
        <v>1266</v>
      </c>
      <c r="C39" s="269" t="s">
        <v>1267</v>
      </c>
      <c r="D39" s="269" t="s">
        <v>1267</v>
      </c>
    </row>
    <row r="40" spans="2:4" ht="25.5" x14ac:dyDescent="0.2">
      <c r="B40" s="269" t="s">
        <v>1261</v>
      </c>
      <c r="C40" s="269" t="s">
        <v>1268</v>
      </c>
      <c r="D40" s="269" t="s">
        <v>1268</v>
      </c>
    </row>
    <row r="41" spans="2:4" ht="25.5" x14ac:dyDescent="0.2">
      <c r="B41" s="269" t="s">
        <v>1262</v>
      </c>
      <c r="C41" s="269" t="s">
        <v>1281</v>
      </c>
      <c r="D41" s="269" t="s">
        <v>1284</v>
      </c>
    </row>
    <row r="42" spans="2:4" ht="38.25" x14ac:dyDescent="0.2">
      <c r="B42" s="269" t="s">
        <v>1285</v>
      </c>
      <c r="C42" s="269" t="s">
        <v>1282</v>
      </c>
      <c r="D42" s="269" t="s">
        <v>1283</v>
      </c>
    </row>
    <row r="43" spans="2:4" x14ac:dyDescent="0.2">
      <c r="B43" s="270" t="s">
        <v>1190</v>
      </c>
      <c r="C43" s="270" t="s">
        <v>1191</v>
      </c>
      <c r="D43" s="270" t="s">
        <v>1192</v>
      </c>
    </row>
    <row r="44" spans="2:4" ht="38.25" x14ac:dyDescent="0.2">
      <c r="B44" s="269" t="s">
        <v>1265</v>
      </c>
      <c r="C44" s="269" t="s">
        <v>1269</v>
      </c>
      <c r="D44" s="269" t="s">
        <v>1269</v>
      </c>
    </row>
    <row r="45" spans="2:4" ht="25.5" x14ac:dyDescent="0.2">
      <c r="B45" s="269" t="s">
        <v>1267</v>
      </c>
      <c r="C45" s="269" t="s">
        <v>1267</v>
      </c>
      <c r="D45" s="269" t="s">
        <v>1267</v>
      </c>
    </row>
    <row r="46" spans="2:4" ht="25.5" x14ac:dyDescent="0.2">
      <c r="B46" s="269" t="s">
        <v>1268</v>
      </c>
      <c r="C46" s="269" t="s">
        <v>1268</v>
      </c>
      <c r="D46" s="269" t="s">
        <v>1268</v>
      </c>
    </row>
    <row r="47" spans="2:4" ht="25.5" x14ac:dyDescent="0.2">
      <c r="B47" s="269" t="s">
        <v>1285</v>
      </c>
      <c r="C47" s="269" t="s">
        <v>1287</v>
      </c>
      <c r="D47" s="269" t="s">
        <v>1289</v>
      </c>
    </row>
    <row r="48" spans="2:4" ht="38.25" x14ac:dyDescent="0.2">
      <c r="B48" s="269" t="s">
        <v>1286</v>
      </c>
      <c r="C48" s="269" t="s">
        <v>1288</v>
      </c>
      <c r="D48" s="269" t="s">
        <v>1290</v>
      </c>
    </row>
    <row r="49" spans="2:25" x14ac:dyDescent="0.2">
      <c r="B49" s="270" t="s">
        <v>1193</v>
      </c>
      <c r="C49" s="270" t="s">
        <v>1187</v>
      </c>
      <c r="D49" s="270" t="s">
        <v>1194</v>
      </c>
    </row>
    <row r="50" spans="2:25" ht="38.25" x14ac:dyDescent="0.2">
      <c r="B50" s="269" t="s">
        <v>1270</v>
      </c>
      <c r="C50" s="269" t="s">
        <v>1271</v>
      </c>
      <c r="D50" s="269" t="s">
        <v>1274</v>
      </c>
    </row>
    <row r="51" spans="2:25" ht="25.5" x14ac:dyDescent="0.2">
      <c r="B51" s="269" t="s">
        <v>1267</v>
      </c>
      <c r="C51" s="269" t="s">
        <v>1267</v>
      </c>
      <c r="D51" s="269" t="s">
        <v>1267</v>
      </c>
    </row>
    <row r="52" spans="2:25" ht="25.5" x14ac:dyDescent="0.2">
      <c r="B52" s="292" t="s">
        <v>1291</v>
      </c>
      <c r="C52" s="292" t="s">
        <v>1273</v>
      </c>
      <c r="D52" s="269" t="s">
        <v>1268</v>
      </c>
    </row>
    <row r="53" spans="2:25" x14ac:dyDescent="0.2">
      <c r="B53" s="268" t="s">
        <v>1272</v>
      </c>
      <c r="C53" s="268" t="s">
        <v>1272</v>
      </c>
      <c r="D53" s="268" t="s">
        <v>1272</v>
      </c>
    </row>
    <row r="54" spans="2:25" x14ac:dyDescent="0.2">
      <c r="B54" s="270" t="s">
        <v>1195</v>
      </c>
      <c r="C54" s="270" t="s">
        <v>1196</v>
      </c>
      <c r="D54" s="270" t="s">
        <v>1197</v>
      </c>
    </row>
    <row r="55" spans="2:25" ht="25.5" x14ac:dyDescent="0.2">
      <c r="B55" s="269" t="s">
        <v>1269</v>
      </c>
      <c r="C55" s="269" t="s">
        <v>1275</v>
      </c>
      <c r="D55" s="269" t="s">
        <v>1275</v>
      </c>
    </row>
    <row r="56" spans="2:25" ht="38.25" x14ac:dyDescent="0.2">
      <c r="B56" s="269" t="s">
        <v>1267</v>
      </c>
      <c r="C56" s="269" t="s">
        <v>1276</v>
      </c>
      <c r="D56" s="269" t="s">
        <v>1276</v>
      </c>
    </row>
    <row r="57" spans="2:25" ht="25.5" x14ac:dyDescent="0.2">
      <c r="B57" s="269" t="s">
        <v>1292</v>
      </c>
      <c r="C57" s="269" t="s">
        <v>1268</v>
      </c>
      <c r="D57" s="269" t="s">
        <v>1278</v>
      </c>
    </row>
    <row r="58" spans="2:25" x14ac:dyDescent="0.2">
      <c r="B58" s="292" t="s">
        <v>1272</v>
      </c>
      <c r="C58" s="269" t="s">
        <v>1277</v>
      </c>
      <c r="D58" s="290"/>
    </row>
    <row r="59" spans="2:25" x14ac:dyDescent="0.2">
      <c r="B59" s="270" t="s">
        <v>1198</v>
      </c>
      <c r="C59" s="270" t="s">
        <v>1183</v>
      </c>
      <c r="D59" s="15"/>
    </row>
    <row r="60" spans="2:25" ht="25.5" x14ac:dyDescent="0.2">
      <c r="B60" s="269" t="s">
        <v>1275</v>
      </c>
      <c r="C60" s="267" t="s">
        <v>1279</v>
      </c>
      <c r="D60" s="15"/>
    </row>
    <row r="61" spans="2:25" ht="38.25" x14ac:dyDescent="0.2">
      <c r="B61" s="269" t="s">
        <v>1276</v>
      </c>
      <c r="C61" s="269" t="s">
        <v>1267</v>
      </c>
      <c r="D61" s="15"/>
    </row>
    <row r="62" spans="2:25" x14ac:dyDescent="0.2">
      <c r="B62" s="269" t="s">
        <v>1278</v>
      </c>
      <c r="C62" s="292" t="s">
        <v>1272</v>
      </c>
      <c r="D62" s="15"/>
    </row>
    <row r="64" spans="2:25" x14ac:dyDescent="0.2">
      <c r="F64" s="270" t="s">
        <v>1295</v>
      </c>
      <c r="G64" s="270" t="s">
        <v>1296</v>
      </c>
      <c r="H64" s="270" t="s">
        <v>1297</v>
      </c>
      <c r="I64" s="270" t="s">
        <v>1298</v>
      </c>
      <c r="J64" s="270" t="s">
        <v>1299</v>
      </c>
      <c r="K64" s="270" t="s">
        <v>1300</v>
      </c>
      <c r="M64" s="270" t="s">
        <v>1295</v>
      </c>
      <c r="N64" s="270" t="s">
        <v>1306</v>
      </c>
      <c r="P64" s="270" t="s">
        <v>1315</v>
      </c>
      <c r="Q64" s="270" t="s">
        <v>1307</v>
      </c>
      <c r="R64" s="270" t="s">
        <v>9</v>
      </c>
      <c r="S64" s="270" t="s">
        <v>1305</v>
      </c>
      <c r="T64" s="270"/>
      <c r="U64" s="270" t="s">
        <v>1311</v>
      </c>
      <c r="V64" s="270" t="s">
        <v>1312</v>
      </c>
      <c r="W64" s="270" t="s">
        <v>1313</v>
      </c>
      <c r="X64" s="270" t="s">
        <v>1314</v>
      </c>
      <c r="Y64" s="270" t="s">
        <v>10</v>
      </c>
    </row>
    <row r="65" spans="6:25" x14ac:dyDescent="0.2">
      <c r="F65" s="267" t="s">
        <v>1182</v>
      </c>
      <c r="G65" s="267">
        <v>1</v>
      </c>
      <c r="H65" s="267">
        <v>1</v>
      </c>
      <c r="I65" s="267">
        <v>1</v>
      </c>
      <c r="J65" s="267">
        <v>1</v>
      </c>
      <c r="K65" s="267">
        <v>1</v>
      </c>
      <c r="M65" s="527" t="s">
        <v>1301</v>
      </c>
      <c r="N65" s="527"/>
      <c r="P65" s="267" t="s">
        <v>1182</v>
      </c>
      <c r="Q65" s="49" t="s">
        <v>1308</v>
      </c>
      <c r="R65" s="297">
        <v>1</v>
      </c>
      <c r="S65" s="273">
        <v>4500</v>
      </c>
      <c r="T65" s="273">
        <f>S65*12</f>
        <v>54000</v>
      </c>
      <c r="U65" s="273">
        <f>S65*R65*12</f>
        <v>54000</v>
      </c>
      <c r="V65" s="273">
        <f>S65*R65*2</f>
        <v>9000</v>
      </c>
      <c r="W65" s="273">
        <f>(((S65/6)+S65)*50%)*R65</f>
        <v>2625</v>
      </c>
      <c r="X65" s="273">
        <f>(9%*S65)*12</f>
        <v>4860</v>
      </c>
      <c r="Y65" s="273">
        <f>U65+V65+W65+X65</f>
        <v>70485</v>
      </c>
    </row>
    <row r="66" spans="6:25" x14ac:dyDescent="0.2">
      <c r="F66" s="267" t="s">
        <v>1184</v>
      </c>
      <c r="G66" s="267">
        <v>1</v>
      </c>
      <c r="H66" s="267">
        <v>1</v>
      </c>
      <c r="I66" s="267">
        <v>1</v>
      </c>
      <c r="J66" s="267">
        <v>1</v>
      </c>
      <c r="K66" s="267">
        <v>1</v>
      </c>
      <c r="M66" s="267" t="s">
        <v>1182</v>
      </c>
      <c r="N66" s="273">
        <v>4500</v>
      </c>
      <c r="P66" s="267" t="s">
        <v>1184</v>
      </c>
      <c r="Q66" s="49" t="s">
        <v>1308</v>
      </c>
      <c r="R66" s="297">
        <v>1</v>
      </c>
      <c r="S66" s="273">
        <v>3200</v>
      </c>
      <c r="T66" s="273">
        <f t="shared" ref="T66:T81" si="0">S66*12</f>
        <v>38400</v>
      </c>
      <c r="U66" s="273">
        <f t="shared" ref="U66:U81" si="1">S66*R66*12</f>
        <v>38400</v>
      </c>
      <c r="V66" s="273">
        <f t="shared" ref="V66:V81" si="2">S66*R66*2</f>
        <v>6400</v>
      </c>
      <c r="W66" s="273">
        <f t="shared" ref="W66:W81" si="3">(((S66/6)+S66)*50%)*R66</f>
        <v>1866.6666666666667</v>
      </c>
      <c r="X66" s="273">
        <f t="shared" ref="X66:X81" si="4">(9%*S66)*12</f>
        <v>3456</v>
      </c>
      <c r="Y66" s="273">
        <f t="shared" ref="Y66:Y81" si="5">U66+V66+W66+X66</f>
        <v>50122.666666666664</v>
      </c>
    </row>
    <row r="67" spans="6:25" x14ac:dyDescent="0.2">
      <c r="F67" s="267" t="s">
        <v>1185</v>
      </c>
      <c r="G67" s="267">
        <v>1</v>
      </c>
      <c r="H67" s="267">
        <v>1</v>
      </c>
      <c r="I67" s="267">
        <v>1</v>
      </c>
      <c r="J67" s="267">
        <v>1</v>
      </c>
      <c r="K67" s="267">
        <v>1</v>
      </c>
      <c r="M67" s="267" t="s">
        <v>1183</v>
      </c>
      <c r="N67" s="273">
        <v>900</v>
      </c>
      <c r="P67" s="267" t="s">
        <v>1185</v>
      </c>
      <c r="Q67" s="49" t="s">
        <v>1303</v>
      </c>
      <c r="R67" s="297">
        <v>1</v>
      </c>
      <c r="S67" s="273">
        <v>3200</v>
      </c>
      <c r="T67" s="273">
        <f t="shared" si="0"/>
        <v>38400</v>
      </c>
      <c r="U67" s="273">
        <f t="shared" si="1"/>
        <v>38400</v>
      </c>
      <c r="V67" s="273">
        <f t="shared" si="2"/>
        <v>6400</v>
      </c>
      <c r="W67" s="273">
        <f t="shared" si="3"/>
        <v>1866.6666666666667</v>
      </c>
      <c r="X67" s="273">
        <f t="shared" si="4"/>
        <v>3456</v>
      </c>
      <c r="Y67" s="273">
        <f t="shared" si="5"/>
        <v>50122.666666666664</v>
      </c>
    </row>
    <row r="68" spans="6:25" x14ac:dyDescent="0.2">
      <c r="F68" s="267" t="s">
        <v>1186</v>
      </c>
      <c r="G68" s="267">
        <v>1</v>
      </c>
      <c r="H68" s="267">
        <v>1</v>
      </c>
      <c r="I68" s="267">
        <v>1</v>
      </c>
      <c r="J68" s="267">
        <v>1</v>
      </c>
      <c r="K68" s="267">
        <v>1</v>
      </c>
      <c r="M68" s="267" t="s">
        <v>1184</v>
      </c>
      <c r="N68" s="273">
        <v>3200</v>
      </c>
      <c r="P68" s="267" t="s">
        <v>1186</v>
      </c>
      <c r="Q68" s="49" t="s">
        <v>1310</v>
      </c>
      <c r="R68" s="297">
        <v>1</v>
      </c>
      <c r="S68" s="273">
        <v>3200</v>
      </c>
      <c r="T68" s="273">
        <f t="shared" si="0"/>
        <v>38400</v>
      </c>
      <c r="U68" s="273">
        <f t="shared" si="1"/>
        <v>38400</v>
      </c>
      <c r="V68" s="273">
        <f t="shared" si="2"/>
        <v>6400</v>
      </c>
      <c r="W68" s="273">
        <f t="shared" si="3"/>
        <v>1866.6666666666667</v>
      </c>
      <c r="X68" s="273">
        <f t="shared" si="4"/>
        <v>3456</v>
      </c>
      <c r="Y68" s="273">
        <f t="shared" si="5"/>
        <v>50122.666666666664</v>
      </c>
    </row>
    <row r="69" spans="6:25" x14ac:dyDescent="0.2">
      <c r="F69" s="267" t="s">
        <v>1188</v>
      </c>
      <c r="G69" s="267">
        <v>1</v>
      </c>
      <c r="H69" s="267">
        <v>1</v>
      </c>
      <c r="I69" s="267">
        <v>1</v>
      </c>
      <c r="J69" s="267">
        <v>1</v>
      </c>
      <c r="K69" s="267">
        <v>1</v>
      </c>
      <c r="M69" s="267" t="s">
        <v>1193</v>
      </c>
      <c r="N69" s="273">
        <v>1200</v>
      </c>
      <c r="P69" s="267" t="s">
        <v>1188</v>
      </c>
      <c r="Q69" s="49" t="s">
        <v>1303</v>
      </c>
      <c r="R69" s="297">
        <v>1</v>
      </c>
      <c r="S69" s="273">
        <v>2000</v>
      </c>
      <c r="T69" s="273">
        <f t="shared" si="0"/>
        <v>24000</v>
      </c>
      <c r="U69" s="273">
        <f t="shared" si="1"/>
        <v>24000</v>
      </c>
      <c r="V69" s="273">
        <f t="shared" si="2"/>
        <v>4000</v>
      </c>
      <c r="W69" s="273">
        <f t="shared" si="3"/>
        <v>1166.6666666666667</v>
      </c>
      <c r="X69" s="273">
        <f t="shared" si="4"/>
        <v>2160</v>
      </c>
      <c r="Y69" s="273">
        <f t="shared" si="5"/>
        <v>31326.666666666668</v>
      </c>
    </row>
    <row r="70" spans="6:25" x14ac:dyDescent="0.2">
      <c r="F70" s="267" t="s">
        <v>1189</v>
      </c>
      <c r="G70" s="267">
        <v>1</v>
      </c>
      <c r="H70" s="267">
        <v>1</v>
      </c>
      <c r="I70" s="267">
        <v>1</v>
      </c>
      <c r="J70" s="267">
        <v>1</v>
      </c>
      <c r="K70" s="267">
        <v>1</v>
      </c>
      <c r="M70" s="267" t="s">
        <v>1187</v>
      </c>
      <c r="N70" s="273">
        <v>1500</v>
      </c>
      <c r="P70" s="267" t="s">
        <v>1189</v>
      </c>
      <c r="Q70" s="49" t="s">
        <v>1303</v>
      </c>
      <c r="R70" s="297">
        <v>1</v>
      </c>
      <c r="S70" s="273">
        <v>2000</v>
      </c>
      <c r="T70" s="273">
        <f t="shared" si="0"/>
        <v>24000</v>
      </c>
      <c r="U70" s="273">
        <f t="shared" si="1"/>
        <v>24000</v>
      </c>
      <c r="V70" s="273">
        <f t="shared" si="2"/>
        <v>4000</v>
      </c>
      <c r="W70" s="273">
        <f t="shared" si="3"/>
        <v>1166.6666666666667</v>
      </c>
      <c r="X70" s="273">
        <f t="shared" si="4"/>
        <v>2160</v>
      </c>
      <c r="Y70" s="273">
        <f t="shared" si="5"/>
        <v>31326.666666666668</v>
      </c>
    </row>
    <row r="71" spans="6:25" x14ac:dyDescent="0.2">
      <c r="F71" s="267" t="s">
        <v>1190</v>
      </c>
      <c r="G71" s="267">
        <v>2</v>
      </c>
      <c r="H71" s="267">
        <v>2</v>
      </c>
      <c r="I71" s="267">
        <v>2</v>
      </c>
      <c r="J71" s="267">
        <v>2</v>
      </c>
      <c r="K71" s="267">
        <v>2</v>
      </c>
      <c r="M71" s="527" t="s">
        <v>1303</v>
      </c>
      <c r="N71" s="527"/>
      <c r="P71" s="267" t="s">
        <v>1190</v>
      </c>
      <c r="Q71" s="49" t="s">
        <v>1310</v>
      </c>
      <c r="R71" s="297">
        <v>2</v>
      </c>
      <c r="S71" s="273">
        <v>2000</v>
      </c>
      <c r="T71" s="273">
        <f t="shared" si="0"/>
        <v>24000</v>
      </c>
      <c r="U71" s="273">
        <f t="shared" si="1"/>
        <v>48000</v>
      </c>
      <c r="V71" s="273">
        <f t="shared" si="2"/>
        <v>8000</v>
      </c>
      <c r="W71" s="273">
        <f t="shared" si="3"/>
        <v>2333.3333333333335</v>
      </c>
      <c r="X71" s="273">
        <f t="shared" si="4"/>
        <v>2160</v>
      </c>
      <c r="Y71" s="273">
        <f t="shared" si="5"/>
        <v>60493.333333333336</v>
      </c>
    </row>
    <row r="72" spans="6:25" x14ac:dyDescent="0.2">
      <c r="F72" s="267" t="s">
        <v>1191</v>
      </c>
      <c r="G72" s="267">
        <v>1</v>
      </c>
      <c r="H72" s="267">
        <v>1</v>
      </c>
      <c r="I72" s="267">
        <v>1</v>
      </c>
      <c r="J72" s="267">
        <v>1</v>
      </c>
      <c r="K72" s="267">
        <v>1</v>
      </c>
      <c r="M72" s="267" t="s">
        <v>1185</v>
      </c>
      <c r="N72" s="273">
        <v>3200</v>
      </c>
      <c r="P72" s="267" t="s">
        <v>1191</v>
      </c>
      <c r="Q72" s="49" t="s">
        <v>1310</v>
      </c>
      <c r="R72" s="297">
        <v>1</v>
      </c>
      <c r="S72" s="273">
        <v>2000</v>
      </c>
      <c r="T72" s="273">
        <f t="shared" si="0"/>
        <v>24000</v>
      </c>
      <c r="U72" s="273">
        <f t="shared" si="1"/>
        <v>24000</v>
      </c>
      <c r="V72" s="273">
        <f t="shared" si="2"/>
        <v>4000</v>
      </c>
      <c r="W72" s="273">
        <f t="shared" si="3"/>
        <v>1166.6666666666667</v>
      </c>
      <c r="X72" s="273">
        <f t="shared" si="4"/>
        <v>2160</v>
      </c>
      <c r="Y72" s="273">
        <f t="shared" si="5"/>
        <v>31326.666666666668</v>
      </c>
    </row>
    <row r="73" spans="6:25" x14ac:dyDescent="0.2">
      <c r="F73" s="267" t="s">
        <v>1192</v>
      </c>
      <c r="G73" s="267">
        <v>1</v>
      </c>
      <c r="H73" s="267">
        <v>1</v>
      </c>
      <c r="I73" s="267">
        <v>1</v>
      </c>
      <c r="J73" s="267">
        <v>1</v>
      </c>
      <c r="K73" s="267">
        <v>1</v>
      </c>
      <c r="M73" s="267" t="s">
        <v>1188</v>
      </c>
      <c r="N73" s="273">
        <v>2000</v>
      </c>
      <c r="P73" s="267" t="s">
        <v>1192</v>
      </c>
      <c r="Q73" s="49" t="s">
        <v>1310</v>
      </c>
      <c r="R73" s="297">
        <v>1</v>
      </c>
      <c r="S73" s="273">
        <v>2000</v>
      </c>
      <c r="T73" s="273">
        <f t="shared" si="0"/>
        <v>24000</v>
      </c>
      <c r="U73" s="273">
        <f t="shared" si="1"/>
        <v>24000</v>
      </c>
      <c r="V73" s="273">
        <f t="shared" si="2"/>
        <v>4000</v>
      </c>
      <c r="W73" s="273">
        <f t="shared" si="3"/>
        <v>1166.6666666666667</v>
      </c>
      <c r="X73" s="273">
        <f t="shared" si="4"/>
        <v>2160</v>
      </c>
      <c r="Y73" s="273">
        <f t="shared" si="5"/>
        <v>31326.666666666668</v>
      </c>
    </row>
    <row r="74" spans="6:25" x14ac:dyDescent="0.2">
      <c r="F74" s="267" t="s">
        <v>1193</v>
      </c>
      <c r="G74" s="267">
        <v>1</v>
      </c>
      <c r="H74" s="267">
        <v>1</v>
      </c>
      <c r="I74" s="267">
        <v>1</v>
      </c>
      <c r="J74" s="267">
        <v>1</v>
      </c>
      <c r="K74" s="267">
        <v>1</v>
      </c>
      <c r="M74" s="267" t="s">
        <v>1189</v>
      </c>
      <c r="N74" s="273">
        <v>2000</v>
      </c>
      <c r="P74" s="267" t="s">
        <v>1193</v>
      </c>
      <c r="Q74" s="49" t="s">
        <v>1308</v>
      </c>
      <c r="R74" s="297">
        <v>1</v>
      </c>
      <c r="S74" s="273">
        <v>1200</v>
      </c>
      <c r="T74" s="273">
        <f t="shared" si="0"/>
        <v>14400</v>
      </c>
      <c r="U74" s="273">
        <f t="shared" si="1"/>
        <v>14400</v>
      </c>
      <c r="V74" s="273">
        <f t="shared" si="2"/>
        <v>2400</v>
      </c>
      <c r="W74" s="273">
        <f t="shared" si="3"/>
        <v>700</v>
      </c>
      <c r="X74" s="273">
        <f t="shared" si="4"/>
        <v>1296</v>
      </c>
      <c r="Y74" s="273">
        <f t="shared" si="5"/>
        <v>18796</v>
      </c>
    </row>
    <row r="75" spans="6:25" x14ac:dyDescent="0.2">
      <c r="F75" s="267" t="s">
        <v>1187</v>
      </c>
      <c r="G75" s="267">
        <v>1</v>
      </c>
      <c r="H75" s="267">
        <v>1</v>
      </c>
      <c r="I75" s="267">
        <v>1</v>
      </c>
      <c r="J75" s="267">
        <v>1</v>
      </c>
      <c r="K75" s="267">
        <v>1</v>
      </c>
      <c r="M75" s="267" t="s">
        <v>1194</v>
      </c>
      <c r="N75" s="273">
        <v>1200</v>
      </c>
      <c r="P75" s="267" t="s">
        <v>1187</v>
      </c>
      <c r="Q75" s="49" t="s">
        <v>1308</v>
      </c>
      <c r="R75" s="297">
        <v>1</v>
      </c>
      <c r="S75" s="273">
        <v>1500</v>
      </c>
      <c r="T75" s="273">
        <f t="shared" si="0"/>
        <v>18000</v>
      </c>
      <c r="U75" s="273">
        <f t="shared" si="1"/>
        <v>18000</v>
      </c>
      <c r="V75" s="273">
        <f t="shared" si="2"/>
        <v>3000</v>
      </c>
      <c r="W75" s="273">
        <f t="shared" si="3"/>
        <v>875</v>
      </c>
      <c r="X75" s="273">
        <f t="shared" si="4"/>
        <v>1620</v>
      </c>
      <c r="Y75" s="273">
        <f t="shared" si="5"/>
        <v>23495</v>
      </c>
    </row>
    <row r="76" spans="6:25" x14ac:dyDescent="0.2">
      <c r="F76" s="267" t="s">
        <v>1194</v>
      </c>
      <c r="G76" s="267">
        <v>1</v>
      </c>
      <c r="H76" s="267">
        <v>1</v>
      </c>
      <c r="I76" s="267">
        <v>1</v>
      </c>
      <c r="J76" s="267">
        <v>1</v>
      </c>
      <c r="K76" s="267">
        <v>1</v>
      </c>
      <c r="M76" s="267" t="s">
        <v>1196</v>
      </c>
      <c r="N76" s="273">
        <v>1000</v>
      </c>
      <c r="P76" s="267" t="s">
        <v>1194</v>
      </c>
      <c r="Q76" s="49" t="s">
        <v>1303</v>
      </c>
      <c r="R76" s="297">
        <v>1</v>
      </c>
      <c r="S76" s="273">
        <v>1200</v>
      </c>
      <c r="T76" s="273">
        <f t="shared" si="0"/>
        <v>14400</v>
      </c>
      <c r="U76" s="273">
        <f t="shared" si="1"/>
        <v>14400</v>
      </c>
      <c r="V76" s="273">
        <f t="shared" si="2"/>
        <v>2400</v>
      </c>
      <c r="W76" s="273">
        <f t="shared" si="3"/>
        <v>700</v>
      </c>
      <c r="X76" s="273">
        <f t="shared" si="4"/>
        <v>1296</v>
      </c>
      <c r="Y76" s="273">
        <f t="shared" si="5"/>
        <v>18796</v>
      </c>
    </row>
    <row r="77" spans="6:25" x14ac:dyDescent="0.2">
      <c r="F77" s="267" t="s">
        <v>1195</v>
      </c>
      <c r="G77" s="267">
        <v>2</v>
      </c>
      <c r="H77" s="267">
        <v>2</v>
      </c>
      <c r="I77" s="267">
        <v>2</v>
      </c>
      <c r="J77" s="267">
        <v>2</v>
      </c>
      <c r="K77" s="267">
        <v>2</v>
      </c>
      <c r="M77" s="527" t="s">
        <v>1302</v>
      </c>
      <c r="N77" s="527"/>
      <c r="P77" s="267" t="s">
        <v>1195</v>
      </c>
      <c r="Q77" s="49" t="s">
        <v>1309</v>
      </c>
      <c r="R77" s="297">
        <v>2</v>
      </c>
      <c r="S77" s="273">
        <v>1200</v>
      </c>
      <c r="T77" s="273">
        <f t="shared" si="0"/>
        <v>14400</v>
      </c>
      <c r="U77" s="273">
        <f t="shared" si="1"/>
        <v>28800</v>
      </c>
      <c r="V77" s="273">
        <f t="shared" si="2"/>
        <v>4800</v>
      </c>
      <c r="W77" s="273">
        <f t="shared" si="3"/>
        <v>1400</v>
      </c>
      <c r="X77" s="273">
        <f t="shared" si="4"/>
        <v>1296</v>
      </c>
      <c r="Y77" s="273">
        <f t="shared" si="5"/>
        <v>36296</v>
      </c>
    </row>
    <row r="78" spans="6:25" x14ac:dyDescent="0.2">
      <c r="F78" s="267" t="s">
        <v>1196</v>
      </c>
      <c r="G78" s="267">
        <v>3</v>
      </c>
      <c r="H78" s="267">
        <v>3</v>
      </c>
      <c r="I78" s="267">
        <v>3</v>
      </c>
      <c r="J78" s="267">
        <v>3</v>
      </c>
      <c r="K78" s="267">
        <v>3</v>
      </c>
      <c r="M78" s="267" t="s">
        <v>1197</v>
      </c>
      <c r="N78" s="273">
        <v>850</v>
      </c>
      <c r="P78" s="267" t="s">
        <v>1196</v>
      </c>
      <c r="Q78" s="49" t="s">
        <v>1303</v>
      </c>
      <c r="R78" s="297">
        <v>3</v>
      </c>
      <c r="S78" s="273">
        <v>1000</v>
      </c>
      <c r="T78" s="273">
        <f t="shared" si="0"/>
        <v>12000</v>
      </c>
      <c r="U78" s="273">
        <f t="shared" si="1"/>
        <v>36000</v>
      </c>
      <c r="V78" s="273">
        <f t="shared" si="2"/>
        <v>6000</v>
      </c>
      <c r="W78" s="273">
        <f t="shared" si="3"/>
        <v>1750</v>
      </c>
      <c r="X78" s="273">
        <f t="shared" si="4"/>
        <v>1080</v>
      </c>
      <c r="Y78" s="273">
        <f t="shared" si="5"/>
        <v>44830</v>
      </c>
    </row>
    <row r="79" spans="6:25" x14ac:dyDescent="0.2">
      <c r="F79" s="267" t="s">
        <v>1197</v>
      </c>
      <c r="G79" s="267">
        <v>11</v>
      </c>
      <c r="H79" s="267">
        <v>13</v>
      </c>
      <c r="I79" s="267">
        <v>15</v>
      </c>
      <c r="J79" s="267">
        <v>17</v>
      </c>
      <c r="K79" s="267">
        <v>19</v>
      </c>
      <c r="M79" s="267" t="s">
        <v>1198</v>
      </c>
      <c r="N79" s="273">
        <v>850</v>
      </c>
      <c r="P79" s="267" t="s">
        <v>1197</v>
      </c>
      <c r="Q79" s="49" t="s">
        <v>1309</v>
      </c>
      <c r="R79" s="297">
        <v>11</v>
      </c>
      <c r="S79" s="273">
        <v>930</v>
      </c>
      <c r="T79" s="273">
        <f t="shared" si="0"/>
        <v>11160</v>
      </c>
      <c r="U79" s="273">
        <f t="shared" si="1"/>
        <v>122760</v>
      </c>
      <c r="V79" s="273">
        <f t="shared" si="2"/>
        <v>20460</v>
      </c>
      <c r="W79" s="273">
        <f t="shared" si="3"/>
        <v>5967.5</v>
      </c>
      <c r="X79" s="273">
        <f t="shared" si="4"/>
        <v>1004.4000000000001</v>
      </c>
      <c r="Y79" s="273">
        <f t="shared" si="5"/>
        <v>150191.9</v>
      </c>
    </row>
    <row r="80" spans="6:25" x14ac:dyDescent="0.2">
      <c r="F80" s="267" t="s">
        <v>1198</v>
      </c>
      <c r="G80" s="267">
        <v>2</v>
      </c>
      <c r="H80" s="267">
        <v>2</v>
      </c>
      <c r="I80" s="267">
        <v>2</v>
      </c>
      <c r="J80" s="267">
        <v>2</v>
      </c>
      <c r="K80" s="267">
        <v>2</v>
      </c>
      <c r="M80" s="267" t="s">
        <v>1195</v>
      </c>
      <c r="N80" s="273">
        <v>1200</v>
      </c>
      <c r="P80" s="267" t="s">
        <v>1198</v>
      </c>
      <c r="Q80" s="49" t="s">
        <v>1309</v>
      </c>
      <c r="R80" s="297">
        <v>2</v>
      </c>
      <c r="S80" s="273">
        <v>930</v>
      </c>
      <c r="T80" s="273">
        <f t="shared" si="0"/>
        <v>11160</v>
      </c>
      <c r="U80" s="273">
        <f t="shared" si="1"/>
        <v>22320</v>
      </c>
      <c r="V80" s="273">
        <f t="shared" si="2"/>
        <v>3720</v>
      </c>
      <c r="W80" s="273">
        <f t="shared" si="3"/>
        <v>1085</v>
      </c>
      <c r="X80" s="273">
        <f t="shared" si="4"/>
        <v>1004.4000000000001</v>
      </c>
      <c r="Y80" s="273">
        <f t="shared" si="5"/>
        <v>28129.4</v>
      </c>
    </row>
    <row r="81" spans="6:25" x14ac:dyDescent="0.2">
      <c r="F81" s="267" t="s">
        <v>1183</v>
      </c>
      <c r="G81" s="267">
        <v>1</v>
      </c>
      <c r="H81" s="267">
        <v>1</v>
      </c>
      <c r="I81" s="267">
        <v>1</v>
      </c>
      <c r="J81" s="267">
        <v>1</v>
      </c>
      <c r="K81" s="267">
        <v>1</v>
      </c>
      <c r="M81" s="527" t="s">
        <v>1304</v>
      </c>
      <c r="N81" s="527"/>
      <c r="P81" s="267" t="s">
        <v>1183</v>
      </c>
      <c r="Q81" s="49" t="s">
        <v>1308</v>
      </c>
      <c r="R81" s="297">
        <v>1</v>
      </c>
      <c r="S81" s="273">
        <v>930</v>
      </c>
      <c r="T81" s="273">
        <f t="shared" si="0"/>
        <v>11160</v>
      </c>
      <c r="U81" s="273">
        <f t="shared" si="1"/>
        <v>11160</v>
      </c>
      <c r="V81" s="273">
        <f t="shared" si="2"/>
        <v>1860</v>
      </c>
      <c r="W81" s="273">
        <f t="shared" si="3"/>
        <v>542.5</v>
      </c>
      <c r="X81" s="273">
        <f t="shared" si="4"/>
        <v>1004.4000000000001</v>
      </c>
      <c r="Y81" s="273">
        <f t="shared" si="5"/>
        <v>14566.9</v>
      </c>
    </row>
    <row r="82" spans="6:25" x14ac:dyDescent="0.2">
      <c r="F82" s="270" t="s">
        <v>10</v>
      </c>
      <c r="G82" s="270">
        <f>SUM(G65:G81)</f>
        <v>32</v>
      </c>
      <c r="H82" s="270">
        <f t="shared" ref="H82:K82" si="6">SUM(H65:H81)</f>
        <v>34</v>
      </c>
      <c r="I82" s="270">
        <f t="shared" si="6"/>
        <v>36</v>
      </c>
      <c r="J82" s="270">
        <f t="shared" si="6"/>
        <v>38</v>
      </c>
      <c r="K82" s="270">
        <f t="shared" si="6"/>
        <v>40</v>
      </c>
      <c r="M82" s="267" t="s">
        <v>1186</v>
      </c>
      <c r="N82" s="273">
        <v>3200</v>
      </c>
      <c r="P82" s="15"/>
      <c r="Q82" s="15"/>
      <c r="R82" s="15"/>
      <c r="S82" s="15"/>
      <c r="T82" s="15"/>
      <c r="U82" s="15"/>
      <c r="V82" s="15"/>
      <c r="W82" s="15"/>
      <c r="X82" s="15"/>
      <c r="Y82" s="196">
        <f>SUM(Y65:Y81)</f>
        <v>741754.20000000007</v>
      </c>
    </row>
    <row r="83" spans="6:25" x14ac:dyDescent="0.2">
      <c r="M83" s="267" t="s">
        <v>1190</v>
      </c>
      <c r="N83" s="273">
        <v>2000</v>
      </c>
    </row>
    <row r="84" spans="6:25" x14ac:dyDescent="0.2">
      <c r="M84" s="267" t="s">
        <v>1191</v>
      </c>
      <c r="N84" s="273">
        <v>2000</v>
      </c>
      <c r="P84" s="270" t="s">
        <v>1316</v>
      </c>
      <c r="Q84" s="270" t="s">
        <v>1307</v>
      </c>
      <c r="R84" s="270" t="s">
        <v>9</v>
      </c>
      <c r="S84" s="270" t="s">
        <v>1305</v>
      </c>
      <c r="T84" s="270"/>
      <c r="U84" s="270" t="s">
        <v>1311</v>
      </c>
      <c r="V84" s="270" t="s">
        <v>1312</v>
      </c>
      <c r="W84" s="270" t="s">
        <v>1313</v>
      </c>
      <c r="X84" s="270" t="s">
        <v>1314</v>
      </c>
      <c r="Y84" s="270" t="s">
        <v>10</v>
      </c>
    </row>
    <row r="85" spans="6:25" x14ac:dyDescent="0.2">
      <c r="M85" s="267" t="s">
        <v>1192</v>
      </c>
      <c r="N85" s="273">
        <v>2000</v>
      </c>
      <c r="P85" s="267" t="s">
        <v>1182</v>
      </c>
      <c r="Q85" s="49" t="s">
        <v>1308</v>
      </c>
      <c r="R85" s="297">
        <v>1</v>
      </c>
      <c r="S85" s="273">
        <v>4500</v>
      </c>
      <c r="T85" s="273">
        <f>S85*12</f>
        <v>54000</v>
      </c>
      <c r="U85" s="273">
        <f>S85*R85*12</f>
        <v>54000</v>
      </c>
      <c r="V85" s="273">
        <f>S85*R85*2</f>
        <v>9000</v>
      </c>
      <c r="W85" s="273">
        <f>(((S85/6)+S85)*50%)*R85</f>
        <v>2625</v>
      </c>
      <c r="X85" s="273">
        <f>(9%*S85)*12</f>
        <v>4860</v>
      </c>
      <c r="Y85" s="273">
        <f>U85+V85+W85+X85</f>
        <v>70485</v>
      </c>
    </row>
    <row r="86" spans="6:25" x14ac:dyDescent="0.2">
      <c r="P86" s="267" t="s">
        <v>1184</v>
      </c>
      <c r="Q86" s="49" t="s">
        <v>1308</v>
      </c>
      <c r="R86" s="297">
        <v>1</v>
      </c>
      <c r="S86" s="273">
        <v>3200</v>
      </c>
      <c r="T86" s="273">
        <f t="shared" ref="T86:T101" si="7">S86*12</f>
        <v>38400</v>
      </c>
      <c r="U86" s="273">
        <f t="shared" ref="U86:U101" si="8">S86*R86*12</f>
        <v>38400</v>
      </c>
      <c r="V86" s="273">
        <f t="shared" ref="V86:V101" si="9">S86*R86*2</f>
        <v>6400</v>
      </c>
      <c r="W86" s="273">
        <f t="shared" ref="W86:W101" si="10">(((S86/6)+S86)*50%)*R86</f>
        <v>1866.6666666666667</v>
      </c>
      <c r="X86" s="273">
        <f t="shared" ref="X86:X101" si="11">(9%*S86)*12</f>
        <v>3456</v>
      </c>
      <c r="Y86" s="273">
        <f t="shared" ref="Y86:Y101" si="12">U86+V86+W86+X86</f>
        <v>50122.666666666664</v>
      </c>
    </row>
    <row r="87" spans="6:25" x14ac:dyDescent="0.2">
      <c r="P87" s="267" t="s">
        <v>1185</v>
      </c>
      <c r="Q87" s="49" t="s">
        <v>1303</v>
      </c>
      <c r="R87" s="297">
        <v>1</v>
      </c>
      <c r="S87" s="273">
        <v>3200</v>
      </c>
      <c r="T87" s="273">
        <f t="shared" si="7"/>
        <v>38400</v>
      </c>
      <c r="U87" s="273">
        <f t="shared" si="8"/>
        <v>38400</v>
      </c>
      <c r="V87" s="273">
        <f t="shared" si="9"/>
        <v>6400</v>
      </c>
      <c r="W87" s="273">
        <f t="shared" si="10"/>
        <v>1866.6666666666667</v>
      </c>
      <c r="X87" s="273">
        <f t="shared" si="11"/>
        <v>3456</v>
      </c>
      <c r="Y87" s="273">
        <f t="shared" si="12"/>
        <v>50122.666666666664</v>
      </c>
    </row>
    <row r="88" spans="6:25" x14ac:dyDescent="0.2">
      <c r="P88" s="267" t="s">
        <v>1186</v>
      </c>
      <c r="Q88" s="49" t="s">
        <v>1310</v>
      </c>
      <c r="R88" s="297">
        <v>1</v>
      </c>
      <c r="S88" s="273">
        <v>3200</v>
      </c>
      <c r="T88" s="273">
        <f t="shared" si="7"/>
        <v>38400</v>
      </c>
      <c r="U88" s="273">
        <f t="shared" si="8"/>
        <v>38400</v>
      </c>
      <c r="V88" s="273">
        <f t="shared" si="9"/>
        <v>6400</v>
      </c>
      <c r="W88" s="273">
        <f t="shared" si="10"/>
        <v>1866.6666666666667</v>
      </c>
      <c r="X88" s="273">
        <f t="shared" si="11"/>
        <v>3456</v>
      </c>
      <c r="Y88" s="273">
        <f t="shared" si="12"/>
        <v>50122.666666666664</v>
      </c>
    </row>
    <row r="89" spans="6:25" x14ac:dyDescent="0.2">
      <c r="P89" s="267" t="s">
        <v>1188</v>
      </c>
      <c r="Q89" s="49" t="s">
        <v>1303</v>
      </c>
      <c r="R89" s="297">
        <v>1</v>
      </c>
      <c r="S89" s="273">
        <v>2000</v>
      </c>
      <c r="T89" s="273">
        <f t="shared" si="7"/>
        <v>24000</v>
      </c>
      <c r="U89" s="273">
        <f t="shared" si="8"/>
        <v>24000</v>
      </c>
      <c r="V89" s="273">
        <f t="shared" si="9"/>
        <v>4000</v>
      </c>
      <c r="W89" s="273">
        <f t="shared" si="10"/>
        <v>1166.6666666666667</v>
      </c>
      <c r="X89" s="273">
        <f t="shared" si="11"/>
        <v>2160</v>
      </c>
      <c r="Y89" s="273">
        <f t="shared" si="12"/>
        <v>31326.666666666668</v>
      </c>
    </row>
    <row r="90" spans="6:25" x14ac:dyDescent="0.2">
      <c r="P90" s="267" t="s">
        <v>1189</v>
      </c>
      <c r="Q90" s="49" t="s">
        <v>1303</v>
      </c>
      <c r="R90" s="297">
        <v>1</v>
      </c>
      <c r="S90" s="273">
        <v>2000</v>
      </c>
      <c r="T90" s="273">
        <f t="shared" si="7"/>
        <v>24000</v>
      </c>
      <c r="U90" s="273">
        <f t="shared" si="8"/>
        <v>24000</v>
      </c>
      <c r="V90" s="273">
        <f t="shared" si="9"/>
        <v>4000</v>
      </c>
      <c r="W90" s="273">
        <f t="shared" si="10"/>
        <v>1166.6666666666667</v>
      </c>
      <c r="X90" s="273">
        <f t="shared" si="11"/>
        <v>2160</v>
      </c>
      <c r="Y90" s="273">
        <f t="shared" si="12"/>
        <v>31326.666666666668</v>
      </c>
    </row>
    <row r="91" spans="6:25" x14ac:dyDescent="0.2">
      <c r="P91" s="267" t="s">
        <v>1190</v>
      </c>
      <c r="Q91" s="49" t="s">
        <v>1310</v>
      </c>
      <c r="R91" s="297">
        <v>2</v>
      </c>
      <c r="S91" s="273">
        <v>2000</v>
      </c>
      <c r="T91" s="273">
        <f t="shared" si="7"/>
        <v>24000</v>
      </c>
      <c r="U91" s="273">
        <f t="shared" si="8"/>
        <v>48000</v>
      </c>
      <c r="V91" s="273">
        <f t="shared" si="9"/>
        <v>8000</v>
      </c>
      <c r="W91" s="273">
        <f t="shared" si="10"/>
        <v>2333.3333333333335</v>
      </c>
      <c r="X91" s="273">
        <f t="shared" si="11"/>
        <v>2160</v>
      </c>
      <c r="Y91" s="273">
        <f t="shared" si="12"/>
        <v>60493.333333333336</v>
      </c>
    </row>
    <row r="92" spans="6:25" x14ac:dyDescent="0.2">
      <c r="P92" s="267" t="s">
        <v>1191</v>
      </c>
      <c r="Q92" s="49" t="s">
        <v>1310</v>
      </c>
      <c r="R92" s="297">
        <v>1</v>
      </c>
      <c r="S92" s="273">
        <v>2000</v>
      </c>
      <c r="T92" s="273">
        <f t="shared" si="7"/>
        <v>24000</v>
      </c>
      <c r="U92" s="273">
        <f t="shared" si="8"/>
        <v>24000</v>
      </c>
      <c r="V92" s="273">
        <f t="shared" si="9"/>
        <v>4000</v>
      </c>
      <c r="W92" s="273">
        <f t="shared" si="10"/>
        <v>1166.6666666666667</v>
      </c>
      <c r="X92" s="273">
        <f t="shared" si="11"/>
        <v>2160</v>
      </c>
      <c r="Y92" s="273">
        <f t="shared" si="12"/>
        <v>31326.666666666668</v>
      </c>
    </row>
    <row r="93" spans="6:25" x14ac:dyDescent="0.2">
      <c r="P93" s="267" t="s">
        <v>1192</v>
      </c>
      <c r="Q93" s="49" t="s">
        <v>1310</v>
      </c>
      <c r="R93" s="297">
        <v>1</v>
      </c>
      <c r="S93" s="273">
        <v>2000</v>
      </c>
      <c r="T93" s="273">
        <f t="shared" si="7"/>
        <v>24000</v>
      </c>
      <c r="U93" s="273">
        <f t="shared" si="8"/>
        <v>24000</v>
      </c>
      <c r="V93" s="273">
        <f t="shared" si="9"/>
        <v>4000</v>
      </c>
      <c r="W93" s="273">
        <f t="shared" si="10"/>
        <v>1166.6666666666667</v>
      </c>
      <c r="X93" s="273">
        <f t="shared" si="11"/>
        <v>2160</v>
      </c>
      <c r="Y93" s="273">
        <f t="shared" si="12"/>
        <v>31326.666666666668</v>
      </c>
    </row>
    <row r="94" spans="6:25" x14ac:dyDescent="0.2">
      <c r="P94" s="267" t="s">
        <v>1193</v>
      </c>
      <c r="Q94" s="49" t="s">
        <v>1308</v>
      </c>
      <c r="R94" s="297">
        <v>1</v>
      </c>
      <c r="S94" s="273">
        <v>1200</v>
      </c>
      <c r="T94" s="273">
        <f t="shared" si="7"/>
        <v>14400</v>
      </c>
      <c r="U94" s="273">
        <f t="shared" si="8"/>
        <v>14400</v>
      </c>
      <c r="V94" s="273">
        <f t="shared" si="9"/>
        <v>2400</v>
      </c>
      <c r="W94" s="273">
        <f t="shared" si="10"/>
        <v>700</v>
      </c>
      <c r="X94" s="273">
        <f t="shared" si="11"/>
        <v>1296</v>
      </c>
      <c r="Y94" s="273">
        <f t="shared" si="12"/>
        <v>18796</v>
      </c>
    </row>
    <row r="95" spans="6:25" x14ac:dyDescent="0.2">
      <c r="P95" s="267" t="s">
        <v>1187</v>
      </c>
      <c r="Q95" s="49" t="s">
        <v>1308</v>
      </c>
      <c r="R95" s="297">
        <v>1</v>
      </c>
      <c r="S95" s="273">
        <v>1500</v>
      </c>
      <c r="T95" s="273">
        <f t="shared" si="7"/>
        <v>18000</v>
      </c>
      <c r="U95" s="273">
        <f t="shared" si="8"/>
        <v>18000</v>
      </c>
      <c r="V95" s="273">
        <f t="shared" si="9"/>
        <v>3000</v>
      </c>
      <c r="W95" s="273">
        <f t="shared" si="10"/>
        <v>875</v>
      </c>
      <c r="X95" s="273">
        <f t="shared" si="11"/>
        <v>1620</v>
      </c>
      <c r="Y95" s="273">
        <f t="shared" si="12"/>
        <v>23495</v>
      </c>
    </row>
    <row r="96" spans="6:25" x14ac:dyDescent="0.2">
      <c r="P96" s="267" t="s">
        <v>1194</v>
      </c>
      <c r="Q96" s="49" t="s">
        <v>1303</v>
      </c>
      <c r="R96" s="297">
        <v>1</v>
      </c>
      <c r="S96" s="273">
        <v>1200</v>
      </c>
      <c r="T96" s="273">
        <f t="shared" si="7"/>
        <v>14400</v>
      </c>
      <c r="U96" s="273">
        <f t="shared" si="8"/>
        <v>14400</v>
      </c>
      <c r="V96" s="273">
        <f t="shared" si="9"/>
        <v>2400</v>
      </c>
      <c r="W96" s="273">
        <f t="shared" si="10"/>
        <v>700</v>
      </c>
      <c r="X96" s="273">
        <f t="shared" si="11"/>
        <v>1296</v>
      </c>
      <c r="Y96" s="273">
        <f t="shared" si="12"/>
        <v>18796</v>
      </c>
    </row>
    <row r="97" spans="16:25" x14ac:dyDescent="0.2">
      <c r="P97" s="267" t="s">
        <v>1195</v>
      </c>
      <c r="Q97" s="49" t="s">
        <v>1309</v>
      </c>
      <c r="R97" s="297">
        <v>2</v>
      </c>
      <c r="S97" s="273">
        <v>1200</v>
      </c>
      <c r="T97" s="273">
        <f t="shared" si="7"/>
        <v>14400</v>
      </c>
      <c r="U97" s="273">
        <f t="shared" si="8"/>
        <v>28800</v>
      </c>
      <c r="V97" s="273">
        <f t="shared" si="9"/>
        <v>4800</v>
      </c>
      <c r="W97" s="273">
        <f t="shared" si="10"/>
        <v>1400</v>
      </c>
      <c r="X97" s="273">
        <f t="shared" si="11"/>
        <v>1296</v>
      </c>
      <c r="Y97" s="273">
        <f t="shared" si="12"/>
        <v>36296</v>
      </c>
    </row>
    <row r="98" spans="16:25" x14ac:dyDescent="0.2">
      <c r="P98" s="267" t="s">
        <v>1196</v>
      </c>
      <c r="Q98" s="49" t="s">
        <v>1303</v>
      </c>
      <c r="R98" s="297">
        <v>3</v>
      </c>
      <c r="S98" s="273">
        <v>1000</v>
      </c>
      <c r="T98" s="273">
        <f t="shared" si="7"/>
        <v>12000</v>
      </c>
      <c r="U98" s="273">
        <f t="shared" si="8"/>
        <v>36000</v>
      </c>
      <c r="V98" s="273">
        <f t="shared" si="9"/>
        <v>6000</v>
      </c>
      <c r="W98" s="273">
        <f t="shared" si="10"/>
        <v>1750</v>
      </c>
      <c r="X98" s="273">
        <f t="shared" si="11"/>
        <v>1080</v>
      </c>
      <c r="Y98" s="273">
        <f t="shared" si="12"/>
        <v>44830</v>
      </c>
    </row>
    <row r="99" spans="16:25" x14ac:dyDescent="0.2">
      <c r="P99" s="267" t="s">
        <v>1197</v>
      </c>
      <c r="Q99" s="49" t="s">
        <v>1309</v>
      </c>
      <c r="R99" s="297">
        <v>13</v>
      </c>
      <c r="S99" s="273">
        <v>930</v>
      </c>
      <c r="T99" s="273">
        <f t="shared" si="7"/>
        <v>11160</v>
      </c>
      <c r="U99" s="273">
        <f t="shared" si="8"/>
        <v>145080</v>
      </c>
      <c r="V99" s="273">
        <f t="shared" si="9"/>
        <v>24180</v>
      </c>
      <c r="W99" s="273">
        <f t="shared" si="10"/>
        <v>7052.5</v>
      </c>
      <c r="X99" s="273">
        <f t="shared" si="11"/>
        <v>1004.4000000000001</v>
      </c>
      <c r="Y99" s="273">
        <f t="shared" si="12"/>
        <v>177316.9</v>
      </c>
    </row>
    <row r="100" spans="16:25" x14ac:dyDescent="0.2">
      <c r="P100" s="267" t="s">
        <v>1198</v>
      </c>
      <c r="Q100" s="49" t="s">
        <v>1309</v>
      </c>
      <c r="R100" s="297">
        <v>2</v>
      </c>
      <c r="S100" s="273">
        <v>930</v>
      </c>
      <c r="T100" s="273">
        <f t="shared" si="7"/>
        <v>11160</v>
      </c>
      <c r="U100" s="273">
        <f t="shared" si="8"/>
        <v>22320</v>
      </c>
      <c r="V100" s="273">
        <f t="shared" si="9"/>
        <v>3720</v>
      </c>
      <c r="W100" s="273">
        <f t="shared" si="10"/>
        <v>1085</v>
      </c>
      <c r="X100" s="273">
        <f t="shared" si="11"/>
        <v>1004.4000000000001</v>
      </c>
      <c r="Y100" s="273">
        <f t="shared" si="12"/>
        <v>28129.4</v>
      </c>
    </row>
    <row r="101" spans="16:25" x14ac:dyDescent="0.2">
      <c r="P101" s="267" t="s">
        <v>1183</v>
      </c>
      <c r="Q101" s="49" t="s">
        <v>1308</v>
      </c>
      <c r="R101" s="297">
        <v>1</v>
      </c>
      <c r="S101" s="273">
        <v>930</v>
      </c>
      <c r="T101" s="273">
        <f t="shared" si="7"/>
        <v>11160</v>
      </c>
      <c r="U101" s="273">
        <f t="shared" si="8"/>
        <v>11160</v>
      </c>
      <c r="V101" s="273">
        <f t="shared" si="9"/>
        <v>1860</v>
      </c>
      <c r="W101" s="273">
        <f t="shared" si="10"/>
        <v>542.5</v>
      </c>
      <c r="X101" s="273">
        <f t="shared" si="11"/>
        <v>1004.4000000000001</v>
      </c>
      <c r="Y101" s="273">
        <f t="shared" si="12"/>
        <v>14566.9</v>
      </c>
    </row>
    <row r="102" spans="16:25" x14ac:dyDescent="0.2">
      <c r="P102" s="15"/>
      <c r="Q102" s="15"/>
      <c r="R102" s="15"/>
      <c r="S102" s="15"/>
      <c r="T102" s="15"/>
      <c r="U102" s="15"/>
      <c r="V102" s="15"/>
      <c r="W102" s="15"/>
      <c r="X102" s="15"/>
      <c r="Y102" s="196">
        <f>SUM(Y85:Y101)</f>
        <v>768879.20000000007</v>
      </c>
    </row>
    <row r="104" spans="16:25" x14ac:dyDescent="0.2">
      <c r="P104" s="270" t="s">
        <v>1317</v>
      </c>
      <c r="Q104" s="270" t="s">
        <v>1307</v>
      </c>
      <c r="R104" s="270" t="s">
        <v>9</v>
      </c>
      <c r="S104" s="270" t="s">
        <v>1305</v>
      </c>
      <c r="T104" s="270"/>
      <c r="U104" s="270" t="s">
        <v>1311</v>
      </c>
      <c r="V104" s="270" t="s">
        <v>1312</v>
      </c>
      <c r="W104" s="270" t="s">
        <v>1313</v>
      </c>
      <c r="X104" s="270" t="s">
        <v>1314</v>
      </c>
      <c r="Y104" s="270" t="s">
        <v>10</v>
      </c>
    </row>
    <row r="105" spans="16:25" x14ac:dyDescent="0.2">
      <c r="P105" s="267" t="s">
        <v>1182</v>
      </c>
      <c r="Q105" s="49" t="s">
        <v>1308</v>
      </c>
      <c r="R105" s="297">
        <v>1</v>
      </c>
      <c r="S105" s="273">
        <v>4500</v>
      </c>
      <c r="T105" s="273">
        <f>S105*12</f>
        <v>54000</v>
      </c>
      <c r="U105" s="273">
        <f>S105*R105*12</f>
        <v>54000</v>
      </c>
      <c r="V105" s="273">
        <f>S105*R105*2</f>
        <v>9000</v>
      </c>
      <c r="W105" s="273">
        <f>(((S105/6)+S105)*50%)*R105</f>
        <v>2625</v>
      </c>
      <c r="X105" s="273">
        <f>(9%*S105)*12</f>
        <v>4860</v>
      </c>
      <c r="Y105" s="273">
        <f>U105+V105+W105+X105</f>
        <v>70485</v>
      </c>
    </row>
    <row r="106" spans="16:25" x14ac:dyDescent="0.2">
      <c r="P106" s="267" t="s">
        <v>1184</v>
      </c>
      <c r="Q106" s="49" t="s">
        <v>1308</v>
      </c>
      <c r="R106" s="297">
        <v>1</v>
      </c>
      <c r="S106" s="273">
        <v>3200</v>
      </c>
      <c r="T106" s="273">
        <f t="shared" ref="T106:T121" si="13">S106*12</f>
        <v>38400</v>
      </c>
      <c r="U106" s="273">
        <f t="shared" ref="U106:U121" si="14">S106*R106*12</f>
        <v>38400</v>
      </c>
      <c r="V106" s="273">
        <f t="shared" ref="V106:V121" si="15">S106*R106*2</f>
        <v>6400</v>
      </c>
      <c r="W106" s="273">
        <f t="shared" ref="W106:W121" si="16">(((S106/6)+S106)*50%)*R106</f>
        <v>1866.6666666666667</v>
      </c>
      <c r="X106" s="273">
        <f t="shared" ref="X106:X121" si="17">(9%*S106)*12</f>
        <v>3456</v>
      </c>
      <c r="Y106" s="273">
        <f t="shared" ref="Y106:Y121" si="18">U106+V106+W106+X106</f>
        <v>50122.666666666664</v>
      </c>
    </row>
    <row r="107" spans="16:25" x14ac:dyDescent="0.2">
      <c r="P107" s="267" t="s">
        <v>1185</v>
      </c>
      <c r="Q107" s="49" t="s">
        <v>1303</v>
      </c>
      <c r="R107" s="297">
        <v>1</v>
      </c>
      <c r="S107" s="273">
        <v>3200</v>
      </c>
      <c r="T107" s="273">
        <f t="shared" si="13"/>
        <v>38400</v>
      </c>
      <c r="U107" s="273">
        <f t="shared" si="14"/>
        <v>38400</v>
      </c>
      <c r="V107" s="273">
        <f t="shared" si="15"/>
        <v>6400</v>
      </c>
      <c r="W107" s="273">
        <f t="shared" si="16"/>
        <v>1866.6666666666667</v>
      </c>
      <c r="X107" s="273">
        <f t="shared" si="17"/>
        <v>3456</v>
      </c>
      <c r="Y107" s="273">
        <f t="shared" si="18"/>
        <v>50122.666666666664</v>
      </c>
    </row>
    <row r="108" spans="16:25" x14ac:dyDescent="0.2">
      <c r="P108" s="267" t="s">
        <v>1186</v>
      </c>
      <c r="Q108" s="49" t="s">
        <v>1310</v>
      </c>
      <c r="R108" s="297">
        <v>1</v>
      </c>
      <c r="S108" s="273">
        <v>3200</v>
      </c>
      <c r="T108" s="273">
        <f t="shared" si="13"/>
        <v>38400</v>
      </c>
      <c r="U108" s="273">
        <f t="shared" si="14"/>
        <v>38400</v>
      </c>
      <c r="V108" s="273">
        <f t="shared" si="15"/>
        <v>6400</v>
      </c>
      <c r="W108" s="273">
        <f t="shared" si="16"/>
        <v>1866.6666666666667</v>
      </c>
      <c r="X108" s="273">
        <f t="shared" si="17"/>
        <v>3456</v>
      </c>
      <c r="Y108" s="273">
        <f t="shared" si="18"/>
        <v>50122.666666666664</v>
      </c>
    </row>
    <row r="109" spans="16:25" x14ac:dyDescent="0.2">
      <c r="P109" s="267" t="s">
        <v>1188</v>
      </c>
      <c r="Q109" s="49" t="s">
        <v>1303</v>
      </c>
      <c r="R109" s="297">
        <v>1</v>
      </c>
      <c r="S109" s="273">
        <v>2000</v>
      </c>
      <c r="T109" s="273">
        <f t="shared" si="13"/>
        <v>24000</v>
      </c>
      <c r="U109" s="273">
        <f t="shared" si="14"/>
        <v>24000</v>
      </c>
      <c r="V109" s="273">
        <f t="shared" si="15"/>
        <v>4000</v>
      </c>
      <c r="W109" s="273">
        <f t="shared" si="16"/>
        <v>1166.6666666666667</v>
      </c>
      <c r="X109" s="273">
        <f t="shared" si="17"/>
        <v>2160</v>
      </c>
      <c r="Y109" s="273">
        <f t="shared" si="18"/>
        <v>31326.666666666668</v>
      </c>
    </row>
    <row r="110" spans="16:25" x14ac:dyDescent="0.2">
      <c r="P110" s="267" t="s">
        <v>1189</v>
      </c>
      <c r="Q110" s="49" t="s">
        <v>1303</v>
      </c>
      <c r="R110" s="297">
        <v>1</v>
      </c>
      <c r="S110" s="273">
        <v>2000</v>
      </c>
      <c r="T110" s="273">
        <f t="shared" si="13"/>
        <v>24000</v>
      </c>
      <c r="U110" s="273">
        <f t="shared" si="14"/>
        <v>24000</v>
      </c>
      <c r="V110" s="273">
        <f t="shared" si="15"/>
        <v>4000</v>
      </c>
      <c r="W110" s="273">
        <f t="shared" si="16"/>
        <v>1166.6666666666667</v>
      </c>
      <c r="X110" s="273">
        <f t="shared" si="17"/>
        <v>2160</v>
      </c>
      <c r="Y110" s="273">
        <f t="shared" si="18"/>
        <v>31326.666666666668</v>
      </c>
    </row>
    <row r="111" spans="16:25" x14ac:dyDescent="0.2">
      <c r="P111" s="267" t="s">
        <v>1190</v>
      </c>
      <c r="Q111" s="49" t="s">
        <v>1310</v>
      </c>
      <c r="R111" s="297">
        <v>2</v>
      </c>
      <c r="S111" s="273">
        <v>2000</v>
      </c>
      <c r="T111" s="273">
        <f t="shared" si="13"/>
        <v>24000</v>
      </c>
      <c r="U111" s="273">
        <f t="shared" si="14"/>
        <v>48000</v>
      </c>
      <c r="V111" s="273">
        <f t="shared" si="15"/>
        <v>8000</v>
      </c>
      <c r="W111" s="273">
        <f t="shared" si="16"/>
        <v>2333.3333333333335</v>
      </c>
      <c r="X111" s="273">
        <f t="shared" si="17"/>
        <v>2160</v>
      </c>
      <c r="Y111" s="273">
        <f t="shared" si="18"/>
        <v>60493.333333333336</v>
      </c>
    </row>
    <row r="112" spans="16:25" x14ac:dyDescent="0.2">
      <c r="P112" s="267" t="s">
        <v>1191</v>
      </c>
      <c r="Q112" s="49" t="s">
        <v>1310</v>
      </c>
      <c r="R112" s="297">
        <v>1</v>
      </c>
      <c r="S112" s="273">
        <v>2000</v>
      </c>
      <c r="T112" s="273">
        <f t="shared" si="13"/>
        <v>24000</v>
      </c>
      <c r="U112" s="273">
        <f t="shared" si="14"/>
        <v>24000</v>
      </c>
      <c r="V112" s="273">
        <f t="shared" si="15"/>
        <v>4000</v>
      </c>
      <c r="W112" s="273">
        <f t="shared" si="16"/>
        <v>1166.6666666666667</v>
      </c>
      <c r="X112" s="273">
        <f t="shared" si="17"/>
        <v>2160</v>
      </c>
      <c r="Y112" s="273">
        <f t="shared" si="18"/>
        <v>31326.666666666668</v>
      </c>
    </row>
    <row r="113" spans="16:25" x14ac:dyDescent="0.2">
      <c r="P113" s="267" t="s">
        <v>1192</v>
      </c>
      <c r="Q113" s="49" t="s">
        <v>1310</v>
      </c>
      <c r="R113" s="297">
        <v>1</v>
      </c>
      <c r="S113" s="273">
        <v>2000</v>
      </c>
      <c r="T113" s="273">
        <f t="shared" si="13"/>
        <v>24000</v>
      </c>
      <c r="U113" s="273">
        <f t="shared" si="14"/>
        <v>24000</v>
      </c>
      <c r="V113" s="273">
        <f t="shared" si="15"/>
        <v>4000</v>
      </c>
      <c r="W113" s="273">
        <f t="shared" si="16"/>
        <v>1166.6666666666667</v>
      </c>
      <c r="X113" s="273">
        <f t="shared" si="17"/>
        <v>2160</v>
      </c>
      <c r="Y113" s="273">
        <f t="shared" si="18"/>
        <v>31326.666666666668</v>
      </c>
    </row>
    <row r="114" spans="16:25" x14ac:dyDescent="0.2">
      <c r="P114" s="267" t="s">
        <v>1193</v>
      </c>
      <c r="Q114" s="49" t="s">
        <v>1308</v>
      </c>
      <c r="R114" s="297">
        <v>1</v>
      </c>
      <c r="S114" s="273">
        <v>1200</v>
      </c>
      <c r="T114" s="273">
        <f t="shared" si="13"/>
        <v>14400</v>
      </c>
      <c r="U114" s="273">
        <f t="shared" si="14"/>
        <v>14400</v>
      </c>
      <c r="V114" s="273">
        <f t="shared" si="15"/>
        <v>2400</v>
      </c>
      <c r="W114" s="273">
        <f t="shared" si="16"/>
        <v>700</v>
      </c>
      <c r="X114" s="273">
        <f t="shared" si="17"/>
        <v>1296</v>
      </c>
      <c r="Y114" s="273">
        <f t="shared" si="18"/>
        <v>18796</v>
      </c>
    </row>
    <row r="115" spans="16:25" x14ac:dyDescent="0.2">
      <c r="P115" s="267" t="s">
        <v>1187</v>
      </c>
      <c r="Q115" s="49" t="s">
        <v>1308</v>
      </c>
      <c r="R115" s="297">
        <v>1</v>
      </c>
      <c r="S115" s="273">
        <v>1500</v>
      </c>
      <c r="T115" s="273">
        <f t="shared" si="13"/>
        <v>18000</v>
      </c>
      <c r="U115" s="273">
        <f t="shared" si="14"/>
        <v>18000</v>
      </c>
      <c r="V115" s="273">
        <f t="shared" si="15"/>
        <v>3000</v>
      </c>
      <c r="W115" s="273">
        <f t="shared" si="16"/>
        <v>875</v>
      </c>
      <c r="X115" s="273">
        <f t="shared" si="17"/>
        <v>1620</v>
      </c>
      <c r="Y115" s="273">
        <f t="shared" si="18"/>
        <v>23495</v>
      </c>
    </row>
    <row r="116" spans="16:25" x14ac:dyDescent="0.2">
      <c r="P116" s="267" t="s">
        <v>1194</v>
      </c>
      <c r="Q116" s="49" t="s">
        <v>1303</v>
      </c>
      <c r="R116" s="297">
        <v>1</v>
      </c>
      <c r="S116" s="273">
        <v>1200</v>
      </c>
      <c r="T116" s="273">
        <f t="shared" si="13"/>
        <v>14400</v>
      </c>
      <c r="U116" s="273">
        <f t="shared" si="14"/>
        <v>14400</v>
      </c>
      <c r="V116" s="273">
        <f t="shared" si="15"/>
        <v>2400</v>
      </c>
      <c r="W116" s="273">
        <f t="shared" si="16"/>
        <v>700</v>
      </c>
      <c r="X116" s="273">
        <f t="shared" si="17"/>
        <v>1296</v>
      </c>
      <c r="Y116" s="273">
        <f t="shared" si="18"/>
        <v>18796</v>
      </c>
    </row>
    <row r="117" spans="16:25" x14ac:dyDescent="0.2">
      <c r="P117" s="267" t="s">
        <v>1195</v>
      </c>
      <c r="Q117" s="49" t="s">
        <v>1309</v>
      </c>
      <c r="R117" s="297">
        <v>2</v>
      </c>
      <c r="S117" s="273">
        <v>1200</v>
      </c>
      <c r="T117" s="273">
        <f t="shared" si="13"/>
        <v>14400</v>
      </c>
      <c r="U117" s="273">
        <f t="shared" si="14"/>
        <v>28800</v>
      </c>
      <c r="V117" s="273">
        <f t="shared" si="15"/>
        <v>4800</v>
      </c>
      <c r="W117" s="273">
        <f t="shared" si="16"/>
        <v>1400</v>
      </c>
      <c r="X117" s="273">
        <f t="shared" si="17"/>
        <v>1296</v>
      </c>
      <c r="Y117" s="273">
        <f t="shared" si="18"/>
        <v>36296</v>
      </c>
    </row>
    <row r="118" spans="16:25" x14ac:dyDescent="0.2">
      <c r="P118" s="267" t="s">
        <v>1196</v>
      </c>
      <c r="Q118" s="49" t="s">
        <v>1303</v>
      </c>
      <c r="R118" s="297">
        <v>3</v>
      </c>
      <c r="S118" s="273">
        <v>1000</v>
      </c>
      <c r="T118" s="273">
        <f t="shared" si="13"/>
        <v>12000</v>
      </c>
      <c r="U118" s="273">
        <f t="shared" si="14"/>
        <v>36000</v>
      </c>
      <c r="V118" s="273">
        <f t="shared" si="15"/>
        <v>6000</v>
      </c>
      <c r="W118" s="273">
        <f t="shared" si="16"/>
        <v>1750</v>
      </c>
      <c r="X118" s="273">
        <f t="shared" si="17"/>
        <v>1080</v>
      </c>
      <c r="Y118" s="273">
        <f t="shared" si="18"/>
        <v>44830</v>
      </c>
    </row>
    <row r="119" spans="16:25" x14ac:dyDescent="0.2">
      <c r="P119" s="267" t="s">
        <v>1197</v>
      </c>
      <c r="Q119" s="49" t="s">
        <v>1309</v>
      </c>
      <c r="R119" s="297">
        <v>15</v>
      </c>
      <c r="S119" s="273">
        <v>930</v>
      </c>
      <c r="T119" s="273">
        <f t="shared" si="13"/>
        <v>11160</v>
      </c>
      <c r="U119" s="273">
        <f t="shared" si="14"/>
        <v>167400</v>
      </c>
      <c r="V119" s="273">
        <f t="shared" si="15"/>
        <v>27900</v>
      </c>
      <c r="W119" s="273">
        <f t="shared" si="16"/>
        <v>8137.5</v>
      </c>
      <c r="X119" s="273">
        <f t="shared" si="17"/>
        <v>1004.4000000000001</v>
      </c>
      <c r="Y119" s="273">
        <f t="shared" si="18"/>
        <v>204441.9</v>
      </c>
    </row>
    <row r="120" spans="16:25" x14ac:dyDescent="0.2">
      <c r="P120" s="267" t="s">
        <v>1198</v>
      </c>
      <c r="Q120" s="49" t="s">
        <v>1309</v>
      </c>
      <c r="R120" s="297">
        <v>2</v>
      </c>
      <c r="S120" s="273">
        <v>930</v>
      </c>
      <c r="T120" s="273">
        <f t="shared" si="13"/>
        <v>11160</v>
      </c>
      <c r="U120" s="273">
        <f t="shared" si="14"/>
        <v>22320</v>
      </c>
      <c r="V120" s="273">
        <f t="shared" si="15"/>
        <v>3720</v>
      </c>
      <c r="W120" s="273">
        <f t="shared" si="16"/>
        <v>1085</v>
      </c>
      <c r="X120" s="273">
        <f t="shared" si="17"/>
        <v>1004.4000000000001</v>
      </c>
      <c r="Y120" s="273">
        <f t="shared" si="18"/>
        <v>28129.4</v>
      </c>
    </row>
    <row r="121" spans="16:25" x14ac:dyDescent="0.2">
      <c r="P121" s="267" t="s">
        <v>1183</v>
      </c>
      <c r="Q121" s="49" t="s">
        <v>1308</v>
      </c>
      <c r="R121" s="297">
        <v>1</v>
      </c>
      <c r="S121" s="273">
        <v>930</v>
      </c>
      <c r="T121" s="273">
        <f t="shared" si="13"/>
        <v>11160</v>
      </c>
      <c r="U121" s="273">
        <f t="shared" si="14"/>
        <v>11160</v>
      </c>
      <c r="V121" s="273">
        <f t="shared" si="15"/>
        <v>1860</v>
      </c>
      <c r="W121" s="273">
        <f t="shared" si="16"/>
        <v>542.5</v>
      </c>
      <c r="X121" s="273">
        <f t="shared" si="17"/>
        <v>1004.4000000000001</v>
      </c>
      <c r="Y121" s="273">
        <f t="shared" si="18"/>
        <v>14566.9</v>
      </c>
    </row>
    <row r="122" spans="16:25" x14ac:dyDescent="0.2">
      <c r="P122" s="15"/>
      <c r="Q122" s="15"/>
      <c r="R122" s="15"/>
      <c r="S122" s="15"/>
      <c r="T122" s="15"/>
      <c r="U122" s="15"/>
      <c r="V122" s="15"/>
      <c r="W122" s="15"/>
      <c r="X122" s="15"/>
      <c r="Y122" s="196">
        <f>SUM(Y105:Y121)</f>
        <v>796004.20000000007</v>
      </c>
    </row>
    <row r="124" spans="16:25" x14ac:dyDescent="0.2">
      <c r="P124" s="270" t="s">
        <v>1318</v>
      </c>
      <c r="Q124" s="270" t="s">
        <v>1307</v>
      </c>
      <c r="R124" s="270" t="s">
        <v>9</v>
      </c>
      <c r="S124" s="270" t="s">
        <v>1305</v>
      </c>
      <c r="T124" s="270"/>
      <c r="U124" s="270" t="s">
        <v>1311</v>
      </c>
      <c r="V124" s="270" t="s">
        <v>1312</v>
      </c>
      <c r="W124" s="270" t="s">
        <v>1313</v>
      </c>
      <c r="X124" s="270" t="s">
        <v>1314</v>
      </c>
      <c r="Y124" s="270" t="s">
        <v>10</v>
      </c>
    </row>
    <row r="125" spans="16:25" x14ac:dyDescent="0.2">
      <c r="P125" s="267" t="s">
        <v>1182</v>
      </c>
      <c r="Q125" s="49" t="s">
        <v>1308</v>
      </c>
      <c r="R125" s="297">
        <v>1</v>
      </c>
      <c r="S125" s="273">
        <v>4500</v>
      </c>
      <c r="T125" s="273">
        <f>S125*12</f>
        <v>54000</v>
      </c>
      <c r="U125" s="273">
        <f>S125*R125*12</f>
        <v>54000</v>
      </c>
      <c r="V125" s="273">
        <f>S125*R125*2</f>
        <v>9000</v>
      </c>
      <c r="W125" s="273">
        <f>(((S125/6)+S125)*50%)*R125</f>
        <v>2625</v>
      </c>
      <c r="X125" s="273">
        <f>(9%*S125)*12</f>
        <v>4860</v>
      </c>
      <c r="Y125" s="273">
        <f>U125+V125+W125+X125</f>
        <v>70485</v>
      </c>
    </row>
    <row r="126" spans="16:25" x14ac:dyDescent="0.2">
      <c r="P126" s="267" t="s">
        <v>1184</v>
      </c>
      <c r="Q126" s="49" t="s">
        <v>1308</v>
      </c>
      <c r="R126" s="297">
        <v>1</v>
      </c>
      <c r="S126" s="273">
        <v>3200</v>
      </c>
      <c r="T126" s="273">
        <f t="shared" ref="T126:T141" si="19">S126*12</f>
        <v>38400</v>
      </c>
      <c r="U126" s="273">
        <f t="shared" ref="U126:U141" si="20">S126*R126*12</f>
        <v>38400</v>
      </c>
      <c r="V126" s="273">
        <f t="shared" ref="V126:V141" si="21">S126*R126*2</f>
        <v>6400</v>
      </c>
      <c r="W126" s="273">
        <f t="shared" ref="W126:W141" si="22">(((S126/6)+S126)*50%)*R126</f>
        <v>1866.6666666666667</v>
      </c>
      <c r="X126" s="273">
        <f t="shared" ref="X126:X141" si="23">(9%*S126)*12</f>
        <v>3456</v>
      </c>
      <c r="Y126" s="273">
        <f t="shared" ref="Y126:Y141" si="24">U126+V126+W126+X126</f>
        <v>50122.666666666664</v>
      </c>
    </row>
    <row r="127" spans="16:25" x14ac:dyDescent="0.2">
      <c r="P127" s="267" t="s">
        <v>1185</v>
      </c>
      <c r="Q127" s="49" t="s">
        <v>1303</v>
      </c>
      <c r="R127" s="297">
        <v>1</v>
      </c>
      <c r="S127" s="273">
        <v>3200</v>
      </c>
      <c r="T127" s="273">
        <f t="shared" si="19"/>
        <v>38400</v>
      </c>
      <c r="U127" s="273">
        <f t="shared" si="20"/>
        <v>38400</v>
      </c>
      <c r="V127" s="273">
        <f t="shared" si="21"/>
        <v>6400</v>
      </c>
      <c r="W127" s="273">
        <f t="shared" si="22"/>
        <v>1866.6666666666667</v>
      </c>
      <c r="X127" s="273">
        <f t="shared" si="23"/>
        <v>3456</v>
      </c>
      <c r="Y127" s="273">
        <f t="shared" si="24"/>
        <v>50122.666666666664</v>
      </c>
    </row>
    <row r="128" spans="16:25" x14ac:dyDescent="0.2">
      <c r="P128" s="267" t="s">
        <v>1186</v>
      </c>
      <c r="Q128" s="49" t="s">
        <v>1310</v>
      </c>
      <c r="R128" s="297">
        <v>1</v>
      </c>
      <c r="S128" s="273">
        <v>3200</v>
      </c>
      <c r="T128" s="273">
        <f t="shared" si="19"/>
        <v>38400</v>
      </c>
      <c r="U128" s="273">
        <f t="shared" si="20"/>
        <v>38400</v>
      </c>
      <c r="V128" s="273">
        <f t="shared" si="21"/>
        <v>6400</v>
      </c>
      <c r="W128" s="273">
        <f t="shared" si="22"/>
        <v>1866.6666666666667</v>
      </c>
      <c r="X128" s="273">
        <f t="shared" si="23"/>
        <v>3456</v>
      </c>
      <c r="Y128" s="273">
        <f t="shared" si="24"/>
        <v>50122.666666666664</v>
      </c>
    </row>
    <row r="129" spans="16:25" x14ac:dyDescent="0.2">
      <c r="P129" s="267" t="s">
        <v>1188</v>
      </c>
      <c r="Q129" s="49" t="s">
        <v>1303</v>
      </c>
      <c r="R129" s="297">
        <v>1</v>
      </c>
      <c r="S129" s="273">
        <v>2000</v>
      </c>
      <c r="T129" s="273">
        <f t="shared" si="19"/>
        <v>24000</v>
      </c>
      <c r="U129" s="273">
        <f t="shared" si="20"/>
        <v>24000</v>
      </c>
      <c r="V129" s="273">
        <f t="shared" si="21"/>
        <v>4000</v>
      </c>
      <c r="W129" s="273">
        <f t="shared" si="22"/>
        <v>1166.6666666666667</v>
      </c>
      <c r="X129" s="273">
        <f t="shared" si="23"/>
        <v>2160</v>
      </c>
      <c r="Y129" s="273">
        <f t="shared" si="24"/>
        <v>31326.666666666668</v>
      </c>
    </row>
    <row r="130" spans="16:25" x14ac:dyDescent="0.2">
      <c r="P130" s="267" t="s">
        <v>1189</v>
      </c>
      <c r="Q130" s="49" t="s">
        <v>1303</v>
      </c>
      <c r="R130" s="297">
        <v>1</v>
      </c>
      <c r="S130" s="273">
        <v>2000</v>
      </c>
      <c r="T130" s="273">
        <f t="shared" si="19"/>
        <v>24000</v>
      </c>
      <c r="U130" s="273">
        <f t="shared" si="20"/>
        <v>24000</v>
      </c>
      <c r="V130" s="273">
        <f t="shared" si="21"/>
        <v>4000</v>
      </c>
      <c r="W130" s="273">
        <f t="shared" si="22"/>
        <v>1166.6666666666667</v>
      </c>
      <c r="X130" s="273">
        <f t="shared" si="23"/>
        <v>2160</v>
      </c>
      <c r="Y130" s="273">
        <f t="shared" si="24"/>
        <v>31326.666666666668</v>
      </c>
    </row>
    <row r="131" spans="16:25" x14ac:dyDescent="0.2">
      <c r="P131" s="267" t="s">
        <v>1190</v>
      </c>
      <c r="Q131" s="49" t="s">
        <v>1310</v>
      </c>
      <c r="R131" s="297">
        <v>2</v>
      </c>
      <c r="S131" s="273">
        <v>2000</v>
      </c>
      <c r="T131" s="273">
        <f t="shared" si="19"/>
        <v>24000</v>
      </c>
      <c r="U131" s="273">
        <f t="shared" si="20"/>
        <v>48000</v>
      </c>
      <c r="V131" s="273">
        <f t="shared" si="21"/>
        <v>8000</v>
      </c>
      <c r="W131" s="273">
        <f t="shared" si="22"/>
        <v>2333.3333333333335</v>
      </c>
      <c r="X131" s="273">
        <f t="shared" si="23"/>
        <v>2160</v>
      </c>
      <c r="Y131" s="273">
        <f t="shared" si="24"/>
        <v>60493.333333333336</v>
      </c>
    </row>
    <row r="132" spans="16:25" x14ac:dyDescent="0.2">
      <c r="P132" s="267" t="s">
        <v>1191</v>
      </c>
      <c r="Q132" s="49" t="s">
        <v>1310</v>
      </c>
      <c r="R132" s="297">
        <v>1</v>
      </c>
      <c r="S132" s="273">
        <v>2000</v>
      </c>
      <c r="T132" s="273">
        <f t="shared" si="19"/>
        <v>24000</v>
      </c>
      <c r="U132" s="273">
        <f t="shared" si="20"/>
        <v>24000</v>
      </c>
      <c r="V132" s="273">
        <f t="shared" si="21"/>
        <v>4000</v>
      </c>
      <c r="W132" s="273">
        <f t="shared" si="22"/>
        <v>1166.6666666666667</v>
      </c>
      <c r="X132" s="273">
        <f t="shared" si="23"/>
        <v>2160</v>
      </c>
      <c r="Y132" s="273">
        <f t="shared" si="24"/>
        <v>31326.666666666668</v>
      </c>
    </row>
    <row r="133" spans="16:25" x14ac:dyDescent="0.2">
      <c r="P133" s="267" t="s">
        <v>1192</v>
      </c>
      <c r="Q133" s="49" t="s">
        <v>1310</v>
      </c>
      <c r="R133" s="297">
        <v>1</v>
      </c>
      <c r="S133" s="273">
        <v>2000</v>
      </c>
      <c r="T133" s="273">
        <f t="shared" si="19"/>
        <v>24000</v>
      </c>
      <c r="U133" s="273">
        <f t="shared" si="20"/>
        <v>24000</v>
      </c>
      <c r="V133" s="273">
        <f t="shared" si="21"/>
        <v>4000</v>
      </c>
      <c r="W133" s="273">
        <f t="shared" si="22"/>
        <v>1166.6666666666667</v>
      </c>
      <c r="X133" s="273">
        <f t="shared" si="23"/>
        <v>2160</v>
      </c>
      <c r="Y133" s="273">
        <f t="shared" si="24"/>
        <v>31326.666666666668</v>
      </c>
    </row>
    <row r="134" spans="16:25" x14ac:dyDescent="0.2">
      <c r="P134" s="267" t="s">
        <v>1193</v>
      </c>
      <c r="Q134" s="49" t="s">
        <v>1308</v>
      </c>
      <c r="R134" s="297">
        <v>1</v>
      </c>
      <c r="S134" s="273">
        <v>1200</v>
      </c>
      <c r="T134" s="273">
        <f t="shared" si="19"/>
        <v>14400</v>
      </c>
      <c r="U134" s="273">
        <f t="shared" si="20"/>
        <v>14400</v>
      </c>
      <c r="V134" s="273">
        <f t="shared" si="21"/>
        <v>2400</v>
      </c>
      <c r="W134" s="273">
        <f t="shared" si="22"/>
        <v>700</v>
      </c>
      <c r="X134" s="273">
        <f t="shared" si="23"/>
        <v>1296</v>
      </c>
      <c r="Y134" s="273">
        <f t="shared" si="24"/>
        <v>18796</v>
      </c>
    </row>
    <row r="135" spans="16:25" x14ac:dyDescent="0.2">
      <c r="P135" s="267" t="s">
        <v>1187</v>
      </c>
      <c r="Q135" s="49" t="s">
        <v>1308</v>
      </c>
      <c r="R135" s="297">
        <v>1</v>
      </c>
      <c r="S135" s="273">
        <v>1500</v>
      </c>
      <c r="T135" s="273">
        <f t="shared" si="19"/>
        <v>18000</v>
      </c>
      <c r="U135" s="273">
        <f t="shared" si="20"/>
        <v>18000</v>
      </c>
      <c r="V135" s="273">
        <f t="shared" si="21"/>
        <v>3000</v>
      </c>
      <c r="W135" s="273">
        <f t="shared" si="22"/>
        <v>875</v>
      </c>
      <c r="X135" s="273">
        <f t="shared" si="23"/>
        <v>1620</v>
      </c>
      <c r="Y135" s="273">
        <f t="shared" si="24"/>
        <v>23495</v>
      </c>
    </row>
    <row r="136" spans="16:25" x14ac:dyDescent="0.2">
      <c r="P136" s="267" t="s">
        <v>1194</v>
      </c>
      <c r="Q136" s="49" t="s">
        <v>1303</v>
      </c>
      <c r="R136" s="297">
        <v>1</v>
      </c>
      <c r="S136" s="273">
        <v>1200</v>
      </c>
      <c r="T136" s="273">
        <f t="shared" si="19"/>
        <v>14400</v>
      </c>
      <c r="U136" s="273">
        <f t="shared" si="20"/>
        <v>14400</v>
      </c>
      <c r="V136" s="273">
        <f t="shared" si="21"/>
        <v>2400</v>
      </c>
      <c r="W136" s="273">
        <f t="shared" si="22"/>
        <v>700</v>
      </c>
      <c r="X136" s="273">
        <f t="shared" si="23"/>
        <v>1296</v>
      </c>
      <c r="Y136" s="273">
        <f t="shared" si="24"/>
        <v>18796</v>
      </c>
    </row>
    <row r="137" spans="16:25" x14ac:dyDescent="0.2">
      <c r="P137" s="267" t="s">
        <v>1195</v>
      </c>
      <c r="Q137" s="49" t="s">
        <v>1309</v>
      </c>
      <c r="R137" s="297">
        <v>2</v>
      </c>
      <c r="S137" s="273">
        <v>1200</v>
      </c>
      <c r="T137" s="273">
        <f t="shared" si="19"/>
        <v>14400</v>
      </c>
      <c r="U137" s="273">
        <f t="shared" si="20"/>
        <v>28800</v>
      </c>
      <c r="V137" s="273">
        <f t="shared" si="21"/>
        <v>4800</v>
      </c>
      <c r="W137" s="273">
        <f t="shared" si="22"/>
        <v>1400</v>
      </c>
      <c r="X137" s="273">
        <f t="shared" si="23"/>
        <v>1296</v>
      </c>
      <c r="Y137" s="273">
        <f t="shared" si="24"/>
        <v>36296</v>
      </c>
    </row>
    <row r="138" spans="16:25" x14ac:dyDescent="0.2">
      <c r="P138" s="267" t="s">
        <v>1196</v>
      </c>
      <c r="Q138" s="49" t="s">
        <v>1303</v>
      </c>
      <c r="R138" s="297">
        <v>3</v>
      </c>
      <c r="S138" s="273">
        <v>1000</v>
      </c>
      <c r="T138" s="273">
        <f t="shared" si="19"/>
        <v>12000</v>
      </c>
      <c r="U138" s="273">
        <f t="shared" si="20"/>
        <v>36000</v>
      </c>
      <c r="V138" s="273">
        <f t="shared" si="21"/>
        <v>6000</v>
      </c>
      <c r="W138" s="273">
        <f t="shared" si="22"/>
        <v>1750</v>
      </c>
      <c r="X138" s="273">
        <f t="shared" si="23"/>
        <v>1080</v>
      </c>
      <c r="Y138" s="273">
        <f t="shared" si="24"/>
        <v>44830</v>
      </c>
    </row>
    <row r="139" spans="16:25" x14ac:dyDescent="0.2">
      <c r="P139" s="267" t="s">
        <v>1197</v>
      </c>
      <c r="Q139" s="49" t="s">
        <v>1309</v>
      </c>
      <c r="R139" s="297">
        <v>17</v>
      </c>
      <c r="S139" s="273">
        <v>930</v>
      </c>
      <c r="T139" s="273">
        <f t="shared" si="19"/>
        <v>11160</v>
      </c>
      <c r="U139" s="273">
        <f t="shared" si="20"/>
        <v>189720</v>
      </c>
      <c r="V139" s="273">
        <f t="shared" si="21"/>
        <v>31620</v>
      </c>
      <c r="W139" s="273">
        <f t="shared" si="22"/>
        <v>9222.5</v>
      </c>
      <c r="X139" s="273">
        <f t="shared" si="23"/>
        <v>1004.4000000000001</v>
      </c>
      <c r="Y139" s="273">
        <f t="shared" si="24"/>
        <v>231566.9</v>
      </c>
    </row>
    <row r="140" spans="16:25" x14ac:dyDescent="0.2">
      <c r="P140" s="267" t="s">
        <v>1198</v>
      </c>
      <c r="Q140" s="49" t="s">
        <v>1309</v>
      </c>
      <c r="R140" s="297">
        <v>2</v>
      </c>
      <c r="S140" s="273">
        <v>930</v>
      </c>
      <c r="T140" s="273">
        <f t="shared" si="19"/>
        <v>11160</v>
      </c>
      <c r="U140" s="273">
        <f t="shared" si="20"/>
        <v>22320</v>
      </c>
      <c r="V140" s="273">
        <f t="shared" si="21"/>
        <v>3720</v>
      </c>
      <c r="W140" s="273">
        <f t="shared" si="22"/>
        <v>1085</v>
      </c>
      <c r="X140" s="273">
        <f t="shared" si="23"/>
        <v>1004.4000000000001</v>
      </c>
      <c r="Y140" s="273">
        <f t="shared" si="24"/>
        <v>28129.4</v>
      </c>
    </row>
    <row r="141" spans="16:25" x14ac:dyDescent="0.2">
      <c r="P141" s="267" t="s">
        <v>1183</v>
      </c>
      <c r="Q141" s="49" t="s">
        <v>1308</v>
      </c>
      <c r="R141" s="297">
        <v>1</v>
      </c>
      <c r="S141" s="273">
        <v>930</v>
      </c>
      <c r="T141" s="273">
        <f t="shared" si="19"/>
        <v>11160</v>
      </c>
      <c r="U141" s="273">
        <f t="shared" si="20"/>
        <v>11160</v>
      </c>
      <c r="V141" s="273">
        <f t="shared" si="21"/>
        <v>1860</v>
      </c>
      <c r="W141" s="273">
        <f t="shared" si="22"/>
        <v>542.5</v>
      </c>
      <c r="X141" s="273">
        <f t="shared" si="23"/>
        <v>1004.4000000000001</v>
      </c>
      <c r="Y141" s="273">
        <f t="shared" si="24"/>
        <v>14566.9</v>
      </c>
    </row>
    <row r="142" spans="16:25" x14ac:dyDescent="0.2">
      <c r="P142" s="15"/>
      <c r="Q142" s="15"/>
      <c r="R142" s="15"/>
      <c r="S142" s="15"/>
      <c r="T142" s="15"/>
      <c r="U142" s="15"/>
      <c r="V142" s="15"/>
      <c r="W142" s="15"/>
      <c r="X142" s="15"/>
      <c r="Y142" s="196">
        <f>SUM(Y125:Y141)</f>
        <v>823129.20000000007</v>
      </c>
    </row>
    <row r="144" spans="16:25" x14ac:dyDescent="0.2">
      <c r="P144" s="270" t="s">
        <v>1931</v>
      </c>
      <c r="Q144" s="270" t="s">
        <v>1307</v>
      </c>
      <c r="R144" s="270" t="s">
        <v>9</v>
      </c>
      <c r="S144" s="270" t="s">
        <v>1305</v>
      </c>
      <c r="T144" s="270"/>
      <c r="U144" s="270" t="s">
        <v>1311</v>
      </c>
      <c r="V144" s="270" t="s">
        <v>1312</v>
      </c>
      <c r="W144" s="270" t="s">
        <v>1313</v>
      </c>
      <c r="X144" s="270" t="s">
        <v>1314</v>
      </c>
      <c r="Y144" s="270" t="s">
        <v>10</v>
      </c>
    </row>
    <row r="145" spans="16:43" x14ac:dyDescent="0.2">
      <c r="P145" s="267" t="s">
        <v>1182</v>
      </c>
      <c r="Q145" s="49" t="s">
        <v>1308</v>
      </c>
      <c r="R145" s="297">
        <v>1</v>
      </c>
      <c r="S145" s="273">
        <v>4500</v>
      </c>
      <c r="T145" s="273">
        <f>S145*12</f>
        <v>54000</v>
      </c>
      <c r="U145" s="273">
        <f>S145*R145*12</f>
        <v>54000</v>
      </c>
      <c r="V145" s="273">
        <f>S145*R145*2</f>
        <v>9000</v>
      </c>
      <c r="W145" s="273">
        <f>(((S145/6)+S145)*50%)*R145</f>
        <v>2625</v>
      </c>
      <c r="X145" s="273">
        <f>(9%*S145)*12</f>
        <v>4860</v>
      </c>
      <c r="Y145" s="273">
        <f>U145+V145+W145+X145</f>
        <v>70485</v>
      </c>
      <c r="AC145" s="270" t="s">
        <v>136</v>
      </c>
      <c r="AD145" s="270" t="s">
        <v>1324</v>
      </c>
      <c r="AE145" s="270" t="s">
        <v>107</v>
      </c>
      <c r="AF145" s="270" t="s">
        <v>1546</v>
      </c>
    </row>
    <row r="146" spans="16:43" x14ac:dyDescent="0.2">
      <c r="P146" s="267" t="s">
        <v>1184</v>
      </c>
      <c r="Q146" s="49" t="s">
        <v>1308</v>
      </c>
      <c r="R146" s="297">
        <v>1</v>
      </c>
      <c r="S146" s="273">
        <v>3200</v>
      </c>
      <c r="T146" s="273">
        <f t="shared" ref="T146:T161" si="25">S146*12</f>
        <v>38400</v>
      </c>
      <c r="U146" s="273">
        <f t="shared" ref="U146:U161" si="26">S146*R146*12</f>
        <v>38400</v>
      </c>
      <c r="V146" s="273">
        <f t="shared" ref="V146:V161" si="27">S146*R146*2</f>
        <v>6400</v>
      </c>
      <c r="W146" s="273">
        <f t="shared" ref="W146:W161" si="28">(((S146/6)+S146)*50%)*R146</f>
        <v>1866.6666666666667</v>
      </c>
      <c r="X146" s="273">
        <f t="shared" ref="X146:X161" si="29">(9%*S146)*12</f>
        <v>3456</v>
      </c>
      <c r="Y146" s="273">
        <f t="shared" ref="Y146:Y161" si="30">U146+V146+W146+X146</f>
        <v>50122.666666666664</v>
      </c>
      <c r="AC146" s="310" t="s">
        <v>1545</v>
      </c>
      <c r="AD146" s="267" t="s">
        <v>1330</v>
      </c>
      <c r="AE146" s="267" t="s">
        <v>1544</v>
      </c>
      <c r="AF146" s="317">
        <v>1200</v>
      </c>
    </row>
    <row r="147" spans="16:43" x14ac:dyDescent="0.2">
      <c r="P147" s="267" t="s">
        <v>1185</v>
      </c>
      <c r="Q147" s="49" t="s">
        <v>1303</v>
      </c>
      <c r="R147" s="297">
        <v>1</v>
      </c>
      <c r="S147" s="273">
        <v>3200</v>
      </c>
      <c r="T147" s="273">
        <f t="shared" si="25"/>
        <v>38400</v>
      </c>
      <c r="U147" s="273">
        <f t="shared" si="26"/>
        <v>38400</v>
      </c>
      <c r="V147" s="273">
        <f t="shared" si="27"/>
        <v>6400</v>
      </c>
      <c r="W147" s="273">
        <f t="shared" si="28"/>
        <v>1866.6666666666667</v>
      </c>
      <c r="X147" s="273">
        <f t="shared" si="29"/>
        <v>3456</v>
      </c>
      <c r="Y147" s="273">
        <f t="shared" si="30"/>
        <v>50122.666666666664</v>
      </c>
    </row>
    <row r="148" spans="16:43" x14ac:dyDescent="0.2">
      <c r="P148" s="267" t="s">
        <v>1186</v>
      </c>
      <c r="Q148" s="49" t="s">
        <v>1310</v>
      </c>
      <c r="R148" s="297">
        <v>1</v>
      </c>
      <c r="S148" s="273">
        <v>3200</v>
      </c>
      <c r="T148" s="273">
        <f t="shared" si="25"/>
        <v>38400</v>
      </c>
      <c r="U148" s="273">
        <f t="shared" si="26"/>
        <v>38400</v>
      </c>
      <c r="V148" s="273">
        <f t="shared" si="27"/>
        <v>6400</v>
      </c>
      <c r="W148" s="273">
        <f t="shared" si="28"/>
        <v>1866.6666666666667</v>
      </c>
      <c r="X148" s="273">
        <f t="shared" si="29"/>
        <v>3456</v>
      </c>
      <c r="Y148" s="273">
        <f t="shared" si="30"/>
        <v>50122.666666666664</v>
      </c>
      <c r="AC148" s="270" t="s">
        <v>136</v>
      </c>
      <c r="AD148" s="270" t="s">
        <v>1324</v>
      </c>
      <c r="AE148" s="270" t="s">
        <v>107</v>
      </c>
      <c r="AF148" s="270" t="s">
        <v>1321</v>
      </c>
    </row>
    <row r="149" spans="16:43" x14ac:dyDescent="0.2">
      <c r="P149" s="267" t="s">
        <v>1188</v>
      </c>
      <c r="Q149" s="49" t="s">
        <v>1303</v>
      </c>
      <c r="R149" s="297">
        <v>1</v>
      </c>
      <c r="S149" s="273">
        <v>2000</v>
      </c>
      <c r="T149" s="273">
        <f t="shared" si="25"/>
        <v>24000</v>
      </c>
      <c r="U149" s="273">
        <f t="shared" si="26"/>
        <v>24000</v>
      </c>
      <c r="V149" s="273">
        <f t="shared" si="27"/>
        <v>4000</v>
      </c>
      <c r="W149" s="273">
        <f t="shared" si="28"/>
        <v>1166.6666666666667</v>
      </c>
      <c r="X149" s="273">
        <f t="shared" si="29"/>
        <v>2160</v>
      </c>
      <c r="Y149" s="273">
        <f t="shared" si="30"/>
        <v>31326.666666666668</v>
      </c>
      <c r="AC149" s="491" t="s">
        <v>1344</v>
      </c>
      <c r="AD149" s="491" t="s">
        <v>1329</v>
      </c>
      <c r="AE149" s="267" t="s">
        <v>1345</v>
      </c>
      <c r="AF149" s="363">
        <v>360</v>
      </c>
      <c r="AG149" s="9" t="s">
        <v>1348</v>
      </c>
      <c r="AI149" s="359" t="s">
        <v>22</v>
      </c>
      <c r="AJ149" s="359" t="s">
        <v>1736</v>
      </c>
      <c r="AK149" s="359" t="s">
        <v>1737</v>
      </c>
      <c r="AL149" s="195" t="s">
        <v>1738</v>
      </c>
      <c r="AM149" s="359" t="s">
        <v>1739</v>
      </c>
      <c r="AN149" s="359" t="s">
        <v>1740</v>
      </c>
      <c r="AO149" s="361" t="s">
        <v>1741</v>
      </c>
      <c r="AP149" s="195" t="s">
        <v>1742</v>
      </c>
      <c r="AQ149" s="373" t="s">
        <v>1743</v>
      </c>
    </row>
    <row r="150" spans="16:43" x14ac:dyDescent="0.2">
      <c r="P150" s="267" t="s">
        <v>1189</v>
      </c>
      <c r="Q150" s="49" t="s">
        <v>1303</v>
      </c>
      <c r="R150" s="297">
        <v>1</v>
      </c>
      <c r="S150" s="273">
        <v>2000</v>
      </c>
      <c r="T150" s="273">
        <f t="shared" si="25"/>
        <v>24000</v>
      </c>
      <c r="U150" s="273">
        <f t="shared" si="26"/>
        <v>24000</v>
      </c>
      <c r="V150" s="273">
        <f t="shared" si="27"/>
        <v>4000</v>
      </c>
      <c r="W150" s="273">
        <f t="shared" si="28"/>
        <v>1166.6666666666667</v>
      </c>
      <c r="X150" s="273">
        <f t="shared" si="29"/>
        <v>2160</v>
      </c>
      <c r="Y150" s="273">
        <f t="shared" si="30"/>
        <v>31326.666666666668</v>
      </c>
      <c r="AC150" s="491"/>
      <c r="AD150" s="491"/>
      <c r="AE150" s="268" t="s">
        <v>1346</v>
      </c>
      <c r="AF150" s="370"/>
      <c r="AI150" s="359">
        <v>2016</v>
      </c>
      <c r="AJ150" s="319">
        <v>773</v>
      </c>
      <c r="AK150" s="359">
        <v>0.4</v>
      </c>
      <c r="AL150" s="187">
        <f>(AJ150*AK150)*5</f>
        <v>1546.0000000000002</v>
      </c>
      <c r="AM150" s="359">
        <v>25</v>
      </c>
      <c r="AN150" s="319">
        <f>(AJ150/AM150)*5</f>
        <v>154.60000000000002</v>
      </c>
      <c r="AO150" s="361">
        <v>0.2</v>
      </c>
      <c r="AP150" s="224">
        <f>AO150*AN150</f>
        <v>30.920000000000005</v>
      </c>
      <c r="AQ150" s="374">
        <f>AL150+AP150</f>
        <v>1576.9200000000003</v>
      </c>
    </row>
    <row r="151" spans="16:43" x14ac:dyDescent="0.2">
      <c r="P151" s="267" t="s">
        <v>1190</v>
      </c>
      <c r="Q151" s="49" t="s">
        <v>1310</v>
      </c>
      <c r="R151" s="297">
        <v>2</v>
      </c>
      <c r="S151" s="273">
        <v>2000</v>
      </c>
      <c r="T151" s="273">
        <f t="shared" si="25"/>
        <v>24000</v>
      </c>
      <c r="U151" s="273">
        <f t="shared" si="26"/>
        <v>48000</v>
      </c>
      <c r="V151" s="273">
        <f t="shared" si="27"/>
        <v>8000</v>
      </c>
      <c r="W151" s="273">
        <f t="shared" si="28"/>
        <v>2333.3333333333335</v>
      </c>
      <c r="X151" s="273">
        <f t="shared" si="29"/>
        <v>2160</v>
      </c>
      <c r="Y151" s="273">
        <f t="shared" si="30"/>
        <v>60493.333333333336</v>
      </c>
      <c r="AC151" s="491"/>
      <c r="AD151" s="491"/>
      <c r="AE151" s="268" t="s">
        <v>1347</v>
      </c>
      <c r="AF151" s="371"/>
      <c r="AI151" s="359">
        <v>2017</v>
      </c>
      <c r="AJ151" s="319">
        <v>1422</v>
      </c>
      <c r="AK151" s="359">
        <v>0.4</v>
      </c>
      <c r="AL151" s="187">
        <f t="shared" ref="AL151:AL154" si="31">(AJ151*AK151)*5</f>
        <v>2844.0000000000005</v>
      </c>
      <c r="AM151" s="359">
        <v>25</v>
      </c>
      <c r="AN151" s="319">
        <f t="shared" ref="AN151:AN154" si="32">(AJ151/AM151)*5</f>
        <v>284.40000000000003</v>
      </c>
      <c r="AO151" s="361">
        <v>0.2</v>
      </c>
      <c r="AP151" s="224">
        <f t="shared" ref="AP151:AP154" si="33">AO151*AN151</f>
        <v>56.88000000000001</v>
      </c>
      <c r="AQ151" s="374">
        <f t="shared" ref="AQ151:AQ154" si="34">AL151+AP151</f>
        <v>2900.8800000000006</v>
      </c>
    </row>
    <row r="152" spans="16:43" x14ac:dyDescent="0.2">
      <c r="P152" s="267" t="s">
        <v>1191</v>
      </c>
      <c r="Q152" s="49" t="s">
        <v>1310</v>
      </c>
      <c r="R152" s="297">
        <v>1</v>
      </c>
      <c r="S152" s="273">
        <v>2000</v>
      </c>
      <c r="T152" s="273">
        <f t="shared" si="25"/>
        <v>24000</v>
      </c>
      <c r="U152" s="273">
        <f t="shared" si="26"/>
        <v>24000</v>
      </c>
      <c r="V152" s="273">
        <f t="shared" si="27"/>
        <v>4000</v>
      </c>
      <c r="W152" s="273">
        <f t="shared" si="28"/>
        <v>1166.6666666666667</v>
      </c>
      <c r="X152" s="273">
        <f t="shared" si="29"/>
        <v>2160</v>
      </c>
      <c r="Y152" s="273">
        <f t="shared" si="30"/>
        <v>31326.666666666668</v>
      </c>
      <c r="AI152" s="359">
        <v>2018</v>
      </c>
      <c r="AJ152" s="319">
        <v>2291</v>
      </c>
      <c r="AK152" s="359">
        <v>0.4</v>
      </c>
      <c r="AL152" s="187">
        <f t="shared" si="31"/>
        <v>4582</v>
      </c>
      <c r="AM152" s="359">
        <v>25</v>
      </c>
      <c r="AN152" s="319">
        <f t="shared" si="32"/>
        <v>458.2</v>
      </c>
      <c r="AO152" s="361">
        <v>0.2</v>
      </c>
      <c r="AP152" s="224">
        <f t="shared" si="33"/>
        <v>91.64</v>
      </c>
      <c r="AQ152" s="374">
        <f t="shared" si="34"/>
        <v>4673.6400000000003</v>
      </c>
    </row>
    <row r="153" spans="16:43" x14ac:dyDescent="0.2">
      <c r="P153" s="267" t="s">
        <v>1192</v>
      </c>
      <c r="Q153" s="49" t="s">
        <v>1310</v>
      </c>
      <c r="R153" s="297">
        <v>1</v>
      </c>
      <c r="S153" s="273">
        <v>2000</v>
      </c>
      <c r="T153" s="273">
        <f t="shared" si="25"/>
        <v>24000</v>
      </c>
      <c r="U153" s="273">
        <f t="shared" si="26"/>
        <v>24000</v>
      </c>
      <c r="V153" s="273">
        <f t="shared" si="27"/>
        <v>4000</v>
      </c>
      <c r="W153" s="273">
        <f t="shared" si="28"/>
        <v>1166.6666666666667</v>
      </c>
      <c r="X153" s="273">
        <f t="shared" si="29"/>
        <v>2160</v>
      </c>
      <c r="Y153" s="273">
        <f t="shared" si="30"/>
        <v>31326.666666666668</v>
      </c>
      <c r="AC153" s="270" t="s">
        <v>136</v>
      </c>
      <c r="AD153" s="270" t="s">
        <v>1324</v>
      </c>
      <c r="AE153" s="270" t="s">
        <v>107</v>
      </c>
      <c r="AF153" s="270" t="s">
        <v>1546</v>
      </c>
      <c r="AI153" s="359">
        <v>2019</v>
      </c>
      <c r="AJ153" s="319">
        <v>3402</v>
      </c>
      <c r="AK153" s="359">
        <v>0.4</v>
      </c>
      <c r="AL153" s="187">
        <f t="shared" si="31"/>
        <v>6804.0000000000009</v>
      </c>
      <c r="AM153" s="359">
        <v>25</v>
      </c>
      <c r="AN153" s="319">
        <f t="shared" si="32"/>
        <v>680.40000000000009</v>
      </c>
      <c r="AO153" s="361">
        <v>0.2</v>
      </c>
      <c r="AP153" s="224">
        <f t="shared" si="33"/>
        <v>136.08000000000001</v>
      </c>
      <c r="AQ153" s="374">
        <f t="shared" si="34"/>
        <v>6940.0800000000008</v>
      </c>
    </row>
    <row r="154" spans="16:43" x14ac:dyDescent="0.2">
      <c r="P154" s="267" t="s">
        <v>1193</v>
      </c>
      <c r="Q154" s="49" t="s">
        <v>1308</v>
      </c>
      <c r="R154" s="297">
        <v>1</v>
      </c>
      <c r="S154" s="273">
        <v>1200</v>
      </c>
      <c r="T154" s="273">
        <f t="shared" si="25"/>
        <v>14400</v>
      </c>
      <c r="U154" s="273">
        <f t="shared" si="26"/>
        <v>14400</v>
      </c>
      <c r="V154" s="273">
        <f t="shared" si="27"/>
        <v>2400</v>
      </c>
      <c r="W154" s="273">
        <f t="shared" si="28"/>
        <v>700</v>
      </c>
      <c r="X154" s="273">
        <f t="shared" si="29"/>
        <v>1296</v>
      </c>
      <c r="Y154" s="273">
        <f t="shared" si="30"/>
        <v>18796</v>
      </c>
      <c r="AA154" s="9" t="s">
        <v>1543</v>
      </c>
      <c r="AB154" s="9" t="s">
        <v>1518</v>
      </c>
      <c r="AC154" s="491" t="s">
        <v>1732</v>
      </c>
      <c r="AD154" s="491" t="s">
        <v>1328</v>
      </c>
      <c r="AE154" s="359" t="s">
        <v>1744</v>
      </c>
      <c r="AF154" s="375">
        <v>550</v>
      </c>
      <c r="AG154" s="9" t="s">
        <v>1735</v>
      </c>
      <c r="AI154" s="359">
        <v>2020</v>
      </c>
      <c r="AJ154" s="319">
        <v>4777</v>
      </c>
      <c r="AK154" s="359">
        <v>0.4</v>
      </c>
      <c r="AL154" s="187">
        <f t="shared" si="31"/>
        <v>9554</v>
      </c>
      <c r="AM154" s="359">
        <v>25</v>
      </c>
      <c r="AN154" s="319">
        <f t="shared" si="32"/>
        <v>955.40000000000009</v>
      </c>
      <c r="AO154" s="361">
        <v>0.2</v>
      </c>
      <c r="AP154" s="224">
        <f t="shared" si="33"/>
        <v>191.08000000000004</v>
      </c>
      <c r="AQ154" s="374">
        <f t="shared" si="34"/>
        <v>9745.08</v>
      </c>
    </row>
    <row r="155" spans="16:43" x14ac:dyDescent="0.2">
      <c r="P155" s="267" t="s">
        <v>1187</v>
      </c>
      <c r="Q155" s="49" t="s">
        <v>1308</v>
      </c>
      <c r="R155" s="297">
        <v>1</v>
      </c>
      <c r="S155" s="273">
        <v>1500</v>
      </c>
      <c r="T155" s="273">
        <f t="shared" si="25"/>
        <v>18000</v>
      </c>
      <c r="U155" s="273">
        <f t="shared" si="26"/>
        <v>18000</v>
      </c>
      <c r="V155" s="273">
        <f t="shared" si="27"/>
        <v>3000</v>
      </c>
      <c r="W155" s="273">
        <f t="shared" si="28"/>
        <v>875</v>
      </c>
      <c r="X155" s="273">
        <f t="shared" si="29"/>
        <v>1620</v>
      </c>
      <c r="Y155" s="273">
        <f t="shared" si="30"/>
        <v>23495</v>
      </c>
      <c r="AC155" s="491"/>
      <c r="AD155" s="491"/>
      <c r="AE155" s="359" t="s">
        <v>1745</v>
      </c>
      <c r="AF155" s="375">
        <v>650</v>
      </c>
    </row>
    <row r="156" spans="16:43" x14ac:dyDescent="0.2">
      <c r="P156" s="267" t="s">
        <v>1194</v>
      </c>
      <c r="Q156" s="49" t="s">
        <v>1303</v>
      </c>
      <c r="R156" s="297">
        <v>1</v>
      </c>
      <c r="S156" s="273">
        <v>1200</v>
      </c>
      <c r="T156" s="273">
        <f t="shared" si="25"/>
        <v>14400</v>
      </c>
      <c r="U156" s="273">
        <f t="shared" si="26"/>
        <v>14400</v>
      </c>
      <c r="V156" s="273">
        <f t="shared" si="27"/>
        <v>2400</v>
      </c>
      <c r="W156" s="273">
        <f t="shared" si="28"/>
        <v>700</v>
      </c>
      <c r="X156" s="273">
        <f t="shared" si="29"/>
        <v>1296</v>
      </c>
      <c r="Y156" s="273">
        <f t="shared" si="30"/>
        <v>18796</v>
      </c>
      <c r="AC156" s="491"/>
      <c r="AD156" s="491"/>
      <c r="AE156" s="359" t="s">
        <v>1746</v>
      </c>
      <c r="AF156" s="375">
        <v>950</v>
      </c>
    </row>
    <row r="157" spans="16:43" x14ac:dyDescent="0.2">
      <c r="P157" s="267" t="s">
        <v>1195</v>
      </c>
      <c r="Q157" s="49" t="s">
        <v>1309</v>
      </c>
      <c r="R157" s="297">
        <v>2</v>
      </c>
      <c r="S157" s="273">
        <v>1200</v>
      </c>
      <c r="T157" s="273">
        <f t="shared" si="25"/>
        <v>14400</v>
      </c>
      <c r="U157" s="273">
        <f t="shared" si="26"/>
        <v>28800</v>
      </c>
      <c r="V157" s="273">
        <f t="shared" si="27"/>
        <v>4800</v>
      </c>
      <c r="W157" s="273">
        <f t="shared" si="28"/>
        <v>1400</v>
      </c>
      <c r="X157" s="273">
        <f t="shared" si="29"/>
        <v>1296</v>
      </c>
      <c r="Y157" s="273">
        <f t="shared" si="30"/>
        <v>36296</v>
      </c>
    </row>
    <row r="158" spans="16:43" x14ac:dyDescent="0.2">
      <c r="P158" s="267" t="s">
        <v>1196</v>
      </c>
      <c r="Q158" s="49" t="s">
        <v>1303</v>
      </c>
      <c r="R158" s="297">
        <v>3</v>
      </c>
      <c r="S158" s="273">
        <v>1000</v>
      </c>
      <c r="T158" s="273">
        <f t="shared" si="25"/>
        <v>12000</v>
      </c>
      <c r="U158" s="273">
        <f t="shared" si="26"/>
        <v>36000</v>
      </c>
      <c r="V158" s="273">
        <f t="shared" si="27"/>
        <v>6000</v>
      </c>
      <c r="W158" s="273">
        <f t="shared" si="28"/>
        <v>1750</v>
      </c>
      <c r="X158" s="273">
        <f t="shared" si="29"/>
        <v>1080</v>
      </c>
      <c r="Y158" s="273">
        <f t="shared" si="30"/>
        <v>44830</v>
      </c>
      <c r="AC158" s="270" t="s">
        <v>136</v>
      </c>
      <c r="AD158" s="270" t="s">
        <v>1324</v>
      </c>
      <c r="AE158" s="270" t="s">
        <v>107</v>
      </c>
      <c r="AF158" s="270" t="s">
        <v>1322</v>
      </c>
      <c r="AG158" s="270" t="s">
        <v>1323</v>
      </c>
    </row>
    <row r="159" spans="16:43" x14ac:dyDescent="0.2">
      <c r="P159" s="267" t="s">
        <v>1197</v>
      </c>
      <c r="Q159" s="49" t="s">
        <v>1309</v>
      </c>
      <c r="R159" s="297">
        <v>19</v>
      </c>
      <c r="S159" s="273">
        <v>930</v>
      </c>
      <c r="T159" s="273">
        <f t="shared" si="25"/>
        <v>11160</v>
      </c>
      <c r="U159" s="273">
        <f t="shared" si="26"/>
        <v>212040</v>
      </c>
      <c r="V159" s="273">
        <f t="shared" si="27"/>
        <v>35340</v>
      </c>
      <c r="W159" s="273">
        <f t="shared" si="28"/>
        <v>10307.5</v>
      </c>
      <c r="X159" s="273">
        <f t="shared" si="29"/>
        <v>1004.4000000000001</v>
      </c>
      <c r="Y159" s="273">
        <f t="shared" si="30"/>
        <v>258691.9</v>
      </c>
      <c r="AA159" s="9" t="s">
        <v>1534</v>
      </c>
      <c r="AB159" s="9" t="s">
        <v>1532</v>
      </c>
      <c r="AC159" s="359" t="s">
        <v>1530</v>
      </c>
      <c r="AD159" s="359" t="s">
        <v>1325</v>
      </c>
      <c r="AE159" s="359" t="s">
        <v>1539</v>
      </c>
      <c r="AF159" s="316">
        <v>2.86</v>
      </c>
      <c r="AG159" s="316">
        <v>0.31709999999999999</v>
      </c>
      <c r="AH159" s="9" t="s">
        <v>1533</v>
      </c>
    </row>
    <row r="160" spans="16:43" x14ac:dyDescent="0.2">
      <c r="P160" s="267" t="s">
        <v>1198</v>
      </c>
      <c r="Q160" s="49" t="s">
        <v>1309</v>
      </c>
      <c r="R160" s="297">
        <v>2</v>
      </c>
      <c r="S160" s="273">
        <v>930</v>
      </c>
      <c r="T160" s="273">
        <f t="shared" si="25"/>
        <v>11160</v>
      </c>
      <c r="U160" s="273">
        <f t="shared" si="26"/>
        <v>22320</v>
      </c>
      <c r="V160" s="273">
        <f t="shared" si="27"/>
        <v>3720</v>
      </c>
      <c r="W160" s="273">
        <f t="shared" si="28"/>
        <v>1085</v>
      </c>
      <c r="X160" s="273">
        <f t="shared" si="29"/>
        <v>1004.4000000000001</v>
      </c>
      <c r="Y160" s="273">
        <f t="shared" si="30"/>
        <v>28129.4</v>
      </c>
      <c r="AA160" s="9" t="s">
        <v>1534</v>
      </c>
      <c r="AB160" s="9" t="s">
        <v>1535</v>
      </c>
      <c r="AC160" s="491" t="s">
        <v>1529</v>
      </c>
      <c r="AD160" s="359" t="s">
        <v>1537</v>
      </c>
      <c r="AE160" s="525" t="s">
        <v>1540</v>
      </c>
      <c r="AF160" s="364">
        <v>4.8860000000000001</v>
      </c>
      <c r="AG160" s="316">
        <v>4.8579999999999997</v>
      </c>
      <c r="AH160" s="9" t="s">
        <v>1538</v>
      </c>
    </row>
    <row r="161" spans="16:34" x14ac:dyDescent="0.2">
      <c r="P161" s="267" t="s">
        <v>1183</v>
      </c>
      <c r="Q161" s="49" t="s">
        <v>1308</v>
      </c>
      <c r="R161" s="297">
        <v>1</v>
      </c>
      <c r="S161" s="273">
        <v>930</v>
      </c>
      <c r="T161" s="273">
        <f t="shared" si="25"/>
        <v>11160</v>
      </c>
      <c r="U161" s="273">
        <f t="shared" si="26"/>
        <v>11160</v>
      </c>
      <c r="V161" s="273">
        <f t="shared" si="27"/>
        <v>1860</v>
      </c>
      <c r="W161" s="273">
        <f t="shared" si="28"/>
        <v>542.5</v>
      </c>
      <c r="X161" s="273">
        <f t="shared" si="29"/>
        <v>1004.4000000000001</v>
      </c>
      <c r="Y161" s="273">
        <f t="shared" si="30"/>
        <v>14566.9</v>
      </c>
      <c r="AC161" s="491"/>
      <c r="AD161" s="360" t="s">
        <v>1536</v>
      </c>
      <c r="AE161" s="525"/>
      <c r="AF161" s="369"/>
      <c r="AG161" s="316">
        <v>2.1930000000000001</v>
      </c>
    </row>
    <row r="162" spans="16:34" x14ac:dyDescent="0.2">
      <c r="P162" s="15"/>
      <c r="Q162" s="15"/>
      <c r="R162" s="15"/>
      <c r="S162" s="15"/>
      <c r="T162" s="15"/>
      <c r="U162" s="15"/>
      <c r="V162" s="15"/>
      <c r="W162" s="15"/>
      <c r="X162" s="15"/>
      <c r="Y162" s="196">
        <f>SUM(Y145:Y161)</f>
        <v>850254.20000000007</v>
      </c>
      <c r="AA162" s="9" t="s">
        <v>1534</v>
      </c>
      <c r="AC162" s="359" t="s">
        <v>1531</v>
      </c>
      <c r="AD162" s="359" t="s">
        <v>1327</v>
      </c>
      <c r="AE162" s="359" t="s">
        <v>1541</v>
      </c>
      <c r="AF162" s="316">
        <v>129.9</v>
      </c>
      <c r="AG162" s="359" t="s">
        <v>161</v>
      </c>
      <c r="AH162" s="9" t="s">
        <v>1542</v>
      </c>
    </row>
    <row r="164" spans="16:34" x14ac:dyDescent="0.2">
      <c r="AC164" s="362" t="s">
        <v>136</v>
      </c>
      <c r="AD164" s="362" t="s">
        <v>1324</v>
      </c>
      <c r="AE164" s="362" t="s">
        <v>107</v>
      </c>
      <c r="AF164" s="362" t="s">
        <v>1546</v>
      </c>
    </row>
    <row r="165" spans="16:34" x14ac:dyDescent="0.2">
      <c r="S165" s="12"/>
      <c r="AC165" s="359" t="s">
        <v>1750</v>
      </c>
      <c r="AD165" s="359" t="s">
        <v>1749</v>
      </c>
      <c r="AE165" s="359" t="s">
        <v>1751</v>
      </c>
      <c r="AF165" s="365">
        <v>40</v>
      </c>
    </row>
    <row r="166" spans="16:34" x14ac:dyDescent="0.2">
      <c r="S166" s="12"/>
    </row>
    <row r="167" spans="16:34" x14ac:dyDescent="0.2">
      <c r="S167" s="12"/>
      <c r="Z167" s="270" t="s">
        <v>1182</v>
      </c>
      <c r="AA167" s="270" t="s">
        <v>9</v>
      </c>
      <c r="AB167" s="270" t="s">
        <v>1320</v>
      </c>
      <c r="AC167" s="270" t="s">
        <v>10</v>
      </c>
    </row>
    <row r="168" spans="16:34" x14ac:dyDescent="0.2">
      <c r="S168" s="12"/>
      <c r="Z168" s="267" t="s">
        <v>1305</v>
      </c>
      <c r="AA168" s="267">
        <v>12</v>
      </c>
      <c r="AB168" s="273">
        <v>4500</v>
      </c>
      <c r="AC168" s="273">
        <f>AA168*AB168</f>
        <v>54000</v>
      </c>
    </row>
    <row r="169" spans="16:34" x14ac:dyDescent="0.2">
      <c r="S169" s="12"/>
      <c r="Z169" s="267" t="s">
        <v>1319</v>
      </c>
      <c r="AA169" s="267">
        <v>2</v>
      </c>
      <c r="AB169" s="273">
        <v>4500</v>
      </c>
      <c r="AC169" s="273">
        <f t="shared" ref="AC169:AC171" si="35">AA169*AB169</f>
        <v>9000</v>
      </c>
    </row>
    <row r="170" spans="16:34" x14ac:dyDescent="0.2">
      <c r="P170" s="12"/>
      <c r="Q170" s="12"/>
      <c r="R170" s="12"/>
      <c r="S170" s="12"/>
      <c r="Z170" s="267" t="s">
        <v>1313</v>
      </c>
      <c r="AA170" s="172">
        <v>0.5</v>
      </c>
      <c r="AB170" s="273">
        <f>(S145+S145/6)</f>
        <v>5250</v>
      </c>
      <c r="AC170" s="273">
        <f t="shared" si="35"/>
        <v>2625</v>
      </c>
    </row>
    <row r="171" spans="16:34" x14ac:dyDescent="0.2">
      <c r="Z171" s="267" t="s">
        <v>1314</v>
      </c>
      <c r="AA171" s="172">
        <v>0.09</v>
      </c>
      <c r="AB171" s="273">
        <v>54000</v>
      </c>
      <c r="AC171" s="273">
        <f t="shared" si="35"/>
        <v>4860</v>
      </c>
    </row>
    <row r="172" spans="16:34" x14ac:dyDescent="0.2">
      <c r="Z172" s="15"/>
      <c r="AA172" s="15"/>
      <c r="AB172" s="267" t="s">
        <v>10</v>
      </c>
      <c r="AC172" s="196">
        <f>SUM(AC168:AC171)</f>
        <v>70485</v>
      </c>
    </row>
  </sheetData>
  <mergeCells count="10">
    <mergeCell ref="AC160:AC161"/>
    <mergeCell ref="AE160:AE161"/>
    <mergeCell ref="AD154:AD156"/>
    <mergeCell ref="AC154:AC156"/>
    <mergeCell ref="M65:N65"/>
    <mergeCell ref="M71:N71"/>
    <mergeCell ref="M77:N77"/>
    <mergeCell ref="M81:N81"/>
    <mergeCell ref="AD149:AD151"/>
    <mergeCell ref="AC149:AC15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2"/>
  <sheetViews>
    <sheetView zoomScale="85" zoomScaleNormal="85" zoomScalePageLayoutView="85" workbookViewId="0">
      <selection activeCell="C31" sqref="C31"/>
    </sheetView>
  </sheetViews>
  <sheetFormatPr baseColWidth="10" defaultColWidth="10.85546875" defaultRowHeight="12.75" x14ac:dyDescent="0.2"/>
  <cols>
    <col min="1" max="1" width="38.42578125" style="9" bestFit="1" customWidth="1"/>
    <col min="2" max="2" width="19.28515625" style="9" bestFit="1" customWidth="1"/>
    <col min="3" max="3" width="22.28515625" style="9" bestFit="1" customWidth="1"/>
    <col min="4" max="4" width="13.85546875" style="9" bestFit="1" customWidth="1"/>
    <col min="5" max="7" width="10.85546875" style="9"/>
    <col min="8" max="8" width="48.28515625" style="9" bestFit="1" customWidth="1"/>
    <col min="9" max="9" width="22.28515625" style="9" bestFit="1" customWidth="1"/>
    <col min="10" max="10" width="15.85546875" style="9" bestFit="1" customWidth="1"/>
    <col min="11" max="11" width="9.7109375" style="9" bestFit="1" customWidth="1"/>
    <col min="12" max="12" width="10.85546875" style="9" hidden="1" customWidth="1"/>
    <col min="13" max="13" width="12.140625" style="9" customWidth="1"/>
    <col min="14" max="14" width="31.85546875" style="9" bestFit="1" customWidth="1"/>
    <col min="15" max="26" width="10.85546875" style="9"/>
    <col min="27" max="27" width="10.28515625" style="9" customWidth="1"/>
    <col min="28" max="28" width="8.85546875" style="9" customWidth="1"/>
    <col min="29" max="29" width="21.28515625" style="9" bestFit="1" customWidth="1"/>
    <col min="30" max="30" width="12.7109375" style="9" bestFit="1" customWidth="1"/>
    <col min="31" max="16384" width="10.85546875" style="9"/>
  </cols>
  <sheetData>
    <row r="1" spans="1:31" x14ac:dyDescent="0.2">
      <c r="A1" s="368" t="s">
        <v>1720</v>
      </c>
      <c r="C1" s="648" t="s">
        <v>1915</v>
      </c>
      <c r="D1" s="648"/>
      <c r="E1" s="648"/>
      <c r="N1" s="368" t="s">
        <v>1731</v>
      </c>
      <c r="P1" s="20"/>
      <c r="Q1" s="341"/>
      <c r="R1" s="381"/>
      <c r="S1" s="341"/>
    </row>
    <row r="2" spans="1:31" x14ac:dyDescent="0.2">
      <c r="C2" s="12">
        <f>9*12*5</f>
        <v>540</v>
      </c>
      <c r="P2" s="20"/>
      <c r="Q2" s="341"/>
      <c r="R2" s="341"/>
      <c r="S2" s="341"/>
    </row>
    <row r="3" spans="1:31" x14ac:dyDescent="0.2">
      <c r="A3" s="368" t="s">
        <v>1724</v>
      </c>
      <c r="H3" s="368" t="s">
        <v>1725</v>
      </c>
      <c r="P3" s="20"/>
      <c r="Q3" s="341"/>
      <c r="R3" s="341"/>
      <c r="S3" s="341"/>
    </row>
    <row r="4" spans="1:31" x14ac:dyDescent="0.2">
      <c r="P4" s="20"/>
      <c r="Q4" s="341"/>
      <c r="R4" s="341"/>
      <c r="S4" s="341"/>
    </row>
    <row r="5" spans="1:31" x14ac:dyDescent="0.2">
      <c r="A5" s="176" t="s">
        <v>1341</v>
      </c>
      <c r="H5" s="176" t="s">
        <v>1455</v>
      </c>
      <c r="N5" s="343">
        <v>2017</v>
      </c>
      <c r="AC5" s="176" t="s">
        <v>1548</v>
      </c>
    </row>
    <row r="6" spans="1:31" x14ac:dyDescent="0.2">
      <c r="A6" s="270" t="s">
        <v>107</v>
      </c>
      <c r="B6" s="270" t="s">
        <v>1342</v>
      </c>
      <c r="C6" s="270" t="s">
        <v>1343</v>
      </c>
      <c r="D6" s="270" t="s">
        <v>1332</v>
      </c>
      <c r="E6" s="270" t="s">
        <v>1333</v>
      </c>
      <c r="F6" s="270" t="s">
        <v>1334</v>
      </c>
      <c r="H6" s="315" t="s">
        <v>107</v>
      </c>
      <c r="I6" s="315" t="s">
        <v>1332</v>
      </c>
      <c r="J6" s="315" t="s">
        <v>1333</v>
      </c>
      <c r="K6" s="315" t="s">
        <v>1334</v>
      </c>
      <c r="N6" s="315" t="s">
        <v>107</v>
      </c>
      <c r="O6" s="315" t="s">
        <v>1492</v>
      </c>
      <c r="P6" s="315" t="s">
        <v>1493</v>
      </c>
      <c r="Q6" s="315" t="s">
        <v>1494</v>
      </c>
      <c r="R6" s="315" t="s">
        <v>1495</v>
      </c>
      <c r="S6" s="315" t="s">
        <v>1496</v>
      </c>
      <c r="T6" s="315" t="s">
        <v>1497</v>
      </c>
      <c r="U6" s="315" t="s">
        <v>1498</v>
      </c>
      <c r="V6" s="315" t="s">
        <v>1499</v>
      </c>
      <c r="W6" s="315" t="s">
        <v>1500</v>
      </c>
      <c r="X6" s="315" t="s">
        <v>1501</v>
      </c>
      <c r="Y6" s="315" t="s">
        <v>1502</v>
      </c>
      <c r="Z6" s="315" t="s">
        <v>1503</v>
      </c>
      <c r="AC6" s="315" t="s">
        <v>107</v>
      </c>
      <c r="AD6" s="315" t="s">
        <v>10</v>
      </c>
      <c r="AE6" s="315" t="s">
        <v>1552</v>
      </c>
    </row>
    <row r="7" spans="1:31" x14ac:dyDescent="0.2">
      <c r="A7" s="358" t="s">
        <v>1721</v>
      </c>
      <c r="B7" s="319">
        <v>297</v>
      </c>
      <c r="C7" s="319">
        <v>540</v>
      </c>
      <c r="D7" s="319">
        <f>B7*C7</f>
        <v>160380</v>
      </c>
      <c r="E7" s="319"/>
      <c r="F7" s="319">
        <f>D7+E7</f>
        <v>160380</v>
      </c>
      <c r="H7" s="323" t="s">
        <v>1456</v>
      </c>
      <c r="I7" s="570">
        <v>560</v>
      </c>
      <c r="J7" s="647">
        <f>I7*18%</f>
        <v>100.8</v>
      </c>
      <c r="K7" s="647">
        <f>I7+J7</f>
        <v>660.8</v>
      </c>
      <c r="L7" s="9" t="s">
        <v>1467</v>
      </c>
      <c r="N7" s="326" t="s">
        <v>1508</v>
      </c>
      <c r="O7" s="293">
        <f t="shared" ref="O7:Z7" si="0">O8*O9</f>
        <v>90441</v>
      </c>
      <c r="P7" s="293">
        <f t="shared" si="0"/>
        <v>90441</v>
      </c>
      <c r="Q7" s="293">
        <f t="shared" si="0"/>
        <v>90441</v>
      </c>
      <c r="R7" s="293">
        <f t="shared" si="0"/>
        <v>90441</v>
      </c>
      <c r="S7" s="293">
        <f t="shared" si="0"/>
        <v>90441</v>
      </c>
      <c r="T7" s="293">
        <f t="shared" si="0"/>
        <v>90441</v>
      </c>
      <c r="U7" s="293">
        <f t="shared" si="0"/>
        <v>90441</v>
      </c>
      <c r="V7" s="293">
        <f t="shared" si="0"/>
        <v>90441</v>
      </c>
      <c r="W7" s="293">
        <f t="shared" si="0"/>
        <v>90441</v>
      </c>
      <c r="X7" s="293">
        <f t="shared" si="0"/>
        <v>90441</v>
      </c>
      <c r="Y7" s="293">
        <f t="shared" si="0"/>
        <v>90441</v>
      </c>
      <c r="Z7" s="293">
        <f t="shared" si="0"/>
        <v>90441</v>
      </c>
      <c r="AA7" s="372">
        <f>Z7*18%</f>
        <v>16279.38</v>
      </c>
      <c r="AC7" s="18" t="s">
        <v>1549</v>
      </c>
      <c r="AD7" s="319">
        <f>D68</f>
        <v>553731.88520000002</v>
      </c>
      <c r="AE7" s="10">
        <f>AD7/$AD$10</f>
        <v>0.68097199199166869</v>
      </c>
    </row>
    <row r="8" spans="1:31" x14ac:dyDescent="0.2">
      <c r="A8" s="18" t="s">
        <v>1722</v>
      </c>
      <c r="B8" s="356">
        <v>169</v>
      </c>
      <c r="C8" s="319">
        <v>540</v>
      </c>
      <c r="D8" s="319">
        <f t="shared" ref="D8:D9" si="1">B8*C8</f>
        <v>91260</v>
      </c>
      <c r="E8" s="356"/>
      <c r="F8" s="319">
        <f t="shared" ref="F8:F9" si="2">D8+E8</f>
        <v>91260</v>
      </c>
      <c r="H8" s="323" t="s">
        <v>1457</v>
      </c>
      <c r="I8" s="571"/>
      <c r="J8" s="647"/>
      <c r="K8" s="491"/>
      <c r="N8" s="18" t="s">
        <v>1509</v>
      </c>
      <c r="O8" s="319">
        <f>773*26</f>
        <v>20098</v>
      </c>
      <c r="P8" s="319">
        <f t="shared" ref="P8:Z8" si="3">773*26</f>
        <v>20098</v>
      </c>
      <c r="Q8" s="319">
        <f t="shared" si="3"/>
        <v>20098</v>
      </c>
      <c r="R8" s="319">
        <f t="shared" si="3"/>
        <v>20098</v>
      </c>
      <c r="S8" s="319">
        <f t="shared" si="3"/>
        <v>20098</v>
      </c>
      <c r="T8" s="319">
        <f t="shared" si="3"/>
        <v>20098</v>
      </c>
      <c r="U8" s="319">
        <f t="shared" si="3"/>
        <v>20098</v>
      </c>
      <c r="V8" s="319">
        <f t="shared" si="3"/>
        <v>20098</v>
      </c>
      <c r="W8" s="319">
        <f t="shared" si="3"/>
        <v>20098</v>
      </c>
      <c r="X8" s="319">
        <f t="shared" si="3"/>
        <v>20098</v>
      </c>
      <c r="Y8" s="319">
        <f t="shared" si="3"/>
        <v>20098</v>
      </c>
      <c r="Z8" s="319">
        <f t="shared" si="3"/>
        <v>20098</v>
      </c>
      <c r="AC8" s="18" t="s">
        <v>1550</v>
      </c>
      <c r="AD8" s="319">
        <f>K44</f>
        <v>26837.365400000002</v>
      </c>
      <c r="AE8" s="10">
        <f>AD8/$AD$10</f>
        <v>3.3004229419885116E-2</v>
      </c>
    </row>
    <row r="9" spans="1:31" x14ac:dyDescent="0.2">
      <c r="A9" s="18" t="s">
        <v>1723</v>
      </c>
      <c r="B9" s="356">
        <v>204</v>
      </c>
      <c r="C9" s="319">
        <v>540</v>
      </c>
      <c r="D9" s="319">
        <f t="shared" si="1"/>
        <v>110160</v>
      </c>
      <c r="E9" s="356"/>
      <c r="F9" s="319">
        <f t="shared" si="2"/>
        <v>110160</v>
      </c>
      <c r="H9" s="323" t="s">
        <v>1458</v>
      </c>
      <c r="I9" s="571"/>
      <c r="J9" s="647"/>
      <c r="K9" s="491"/>
      <c r="N9" s="18" t="s">
        <v>170</v>
      </c>
      <c r="O9" s="310">
        <v>4.5</v>
      </c>
      <c r="P9" s="310">
        <v>4.5</v>
      </c>
      <c r="Q9" s="310">
        <v>4.5</v>
      </c>
      <c r="R9" s="310">
        <v>4.5</v>
      </c>
      <c r="S9" s="310">
        <v>4.5</v>
      </c>
      <c r="T9" s="310">
        <v>4.5</v>
      </c>
      <c r="U9" s="310">
        <v>4.5</v>
      </c>
      <c r="V9" s="310">
        <v>4.5</v>
      </c>
      <c r="W9" s="310">
        <v>4.5</v>
      </c>
      <c r="X9" s="310">
        <v>4.5</v>
      </c>
      <c r="Y9" s="310">
        <v>4.5</v>
      </c>
      <c r="Z9" s="310">
        <v>4.5</v>
      </c>
      <c r="AC9" s="18" t="s">
        <v>1551</v>
      </c>
      <c r="AD9" s="319">
        <f>-Z17</f>
        <v>232580.02971103904</v>
      </c>
      <c r="AE9" s="10">
        <f>AD9/$AD$10</f>
        <v>0.28602377858844624</v>
      </c>
    </row>
    <row r="10" spans="1:31" x14ac:dyDescent="0.2">
      <c r="A10" s="527" t="s">
        <v>10</v>
      </c>
      <c r="B10" s="527"/>
      <c r="C10" s="527"/>
      <c r="D10" s="527"/>
      <c r="E10" s="527"/>
      <c r="F10" s="293">
        <f>SUM(F7:F9)</f>
        <v>361800</v>
      </c>
      <c r="H10" s="323" t="s">
        <v>1459</v>
      </c>
      <c r="I10" s="571"/>
      <c r="J10" s="647"/>
      <c r="K10" s="491"/>
      <c r="N10" s="326" t="s">
        <v>1510</v>
      </c>
      <c r="O10" s="293">
        <f t="shared" ref="O10:Z10" si="4">O11+O12+O13+O14+O15</f>
        <v>109822.66914258659</v>
      </c>
      <c r="P10" s="293">
        <f t="shared" si="4"/>
        <v>109822.66914258659</v>
      </c>
      <c r="Q10" s="293">
        <f t="shared" si="4"/>
        <v>109822.66914258659</v>
      </c>
      <c r="R10" s="293">
        <f t="shared" si="4"/>
        <v>109822.66914258659</v>
      </c>
      <c r="S10" s="293">
        <f t="shared" si="4"/>
        <v>109822.66914258659</v>
      </c>
      <c r="T10" s="293">
        <f t="shared" si="4"/>
        <v>109822.66914258659</v>
      </c>
      <c r="U10" s="293">
        <f t="shared" si="4"/>
        <v>109822.66914258659</v>
      </c>
      <c r="V10" s="293">
        <f t="shared" si="4"/>
        <v>109822.66914258659</v>
      </c>
      <c r="W10" s="293">
        <f t="shared" si="4"/>
        <v>109822.66914258659</v>
      </c>
      <c r="X10" s="293">
        <f t="shared" si="4"/>
        <v>109822.66914258659</v>
      </c>
      <c r="Y10" s="293">
        <f t="shared" si="4"/>
        <v>109822.66914258659</v>
      </c>
      <c r="Z10" s="293">
        <f t="shared" si="4"/>
        <v>109822.66914258659</v>
      </c>
      <c r="AC10" s="293" t="s">
        <v>10</v>
      </c>
      <c r="AD10" s="293">
        <f>SUM(AD7:AD9)</f>
        <v>813149.28031103907</v>
      </c>
      <c r="AE10" s="345">
        <f>SUM(AE7:AE9)</f>
        <v>1</v>
      </c>
    </row>
    <row r="11" spans="1:31" x14ac:dyDescent="0.2">
      <c r="H11" s="323" t="s">
        <v>1460</v>
      </c>
      <c r="I11" s="571"/>
      <c r="J11" s="647"/>
      <c r="K11" s="491"/>
      <c r="N11" s="18" t="s">
        <v>1728</v>
      </c>
      <c r="O11" s="319">
        <f>('El Producto'!$AK$17*193*26)+('El Producto'!$AK$32*193*26)+('El Producto'!$AK$47*193*26)+('El Producto'!$AK$62*193*26)</f>
        <v>24957.968035653266</v>
      </c>
      <c r="P11" s="319">
        <f>('El Producto'!$AK$17*193*26)+('El Producto'!$AK$32*193*26)+('El Producto'!$AK$47*193*26)+('El Producto'!$AK$62*193*26)</f>
        <v>24957.968035653266</v>
      </c>
      <c r="Q11" s="319">
        <f>('El Producto'!$AK$17*193*26)+('El Producto'!$AK$32*193*26)+('El Producto'!$AK$47*193*26)+('El Producto'!$AK$62*193*26)</f>
        <v>24957.968035653266</v>
      </c>
      <c r="R11" s="319">
        <f>('El Producto'!$AK$17*193*26)+('El Producto'!$AK$32*193*26)+('El Producto'!$AK$47*193*26)+('El Producto'!$AK$62*193*26)</f>
        <v>24957.968035653266</v>
      </c>
      <c r="S11" s="319">
        <f>('El Producto'!$AK$17*193*26)+('El Producto'!$AK$32*193*26)+('El Producto'!$AK$47*193*26)+('El Producto'!$AK$62*193*26)</f>
        <v>24957.968035653266</v>
      </c>
      <c r="T11" s="319">
        <f>('El Producto'!$AK$17*193*26)+('El Producto'!$AK$32*193*26)+('El Producto'!$AK$47*193*26)+('El Producto'!$AK$62*193*26)</f>
        <v>24957.968035653266</v>
      </c>
      <c r="U11" s="319">
        <f>('El Producto'!$AK$17*193*26)+('El Producto'!$AK$32*193*26)+('El Producto'!$AK$47*193*26)+('El Producto'!$AK$62*193*26)</f>
        <v>24957.968035653266</v>
      </c>
      <c r="V11" s="319">
        <f>('El Producto'!$AK$17*193*26)+('El Producto'!$AK$32*193*26)+('El Producto'!$AK$47*193*26)+('El Producto'!$AK$62*193*26)</f>
        <v>24957.968035653266</v>
      </c>
      <c r="W11" s="319">
        <f>('El Producto'!$AK$17*193*26)+('El Producto'!$AK$32*193*26)+('El Producto'!$AK$47*193*26)+('El Producto'!$AK$62*193*26)</f>
        <v>24957.968035653266</v>
      </c>
      <c r="X11" s="319">
        <f>('El Producto'!$AK$17*193*26)+('El Producto'!$AK$32*193*26)+('El Producto'!$AK$47*193*26)+('El Producto'!$AK$62*193*26)</f>
        <v>24957.968035653266</v>
      </c>
      <c r="Y11" s="319">
        <f>('El Producto'!$AK$17*193*26)+('El Producto'!$AK$32*193*26)+('El Producto'!$AK$47*193*26)+('El Producto'!$AK$62*193*26)</f>
        <v>24957.968035653266</v>
      </c>
      <c r="Z11" s="319">
        <f>('El Producto'!$AK$17*193*26)+('El Producto'!$AK$32*193*26)+('El Producto'!$AK$47*193*26)+('El Producto'!$AK$62*193*26)</f>
        <v>24957.968035653266</v>
      </c>
      <c r="AA11" s="646">
        <v>12240.166670000001</v>
      </c>
    </row>
    <row r="12" spans="1:31" x14ac:dyDescent="0.2">
      <c r="A12" s="176" t="s">
        <v>1335</v>
      </c>
      <c r="H12" s="323" t="s">
        <v>1461</v>
      </c>
      <c r="I12" s="571"/>
      <c r="J12" s="647"/>
      <c r="K12" s="491"/>
      <c r="N12" s="18" t="s">
        <v>1729</v>
      </c>
      <c r="O12" s="319">
        <f>('Estudio Organizacional'!$Y$77+'Estudio Organizacional'!$Y$79+'Estudio Organizacional'!$Y$80)/12</f>
        <v>17884.774999999998</v>
      </c>
      <c r="P12" s="319">
        <f>('Estudio Organizacional'!$Y$77+'Estudio Organizacional'!$Y$79+'Estudio Organizacional'!$Y$80)/12</f>
        <v>17884.774999999998</v>
      </c>
      <c r="Q12" s="319">
        <f>('Estudio Organizacional'!$Y$77+'Estudio Organizacional'!$Y$79+'Estudio Organizacional'!$Y$80)/12</f>
        <v>17884.774999999998</v>
      </c>
      <c r="R12" s="319">
        <f>('Estudio Organizacional'!$Y$77+'Estudio Organizacional'!$Y$79+'Estudio Organizacional'!$Y$80)/12</f>
        <v>17884.774999999998</v>
      </c>
      <c r="S12" s="319">
        <f>('Estudio Organizacional'!$Y$77+'Estudio Organizacional'!$Y$79+'Estudio Organizacional'!$Y$80)/12</f>
        <v>17884.774999999998</v>
      </c>
      <c r="T12" s="319">
        <f>('Estudio Organizacional'!$Y$77+'Estudio Organizacional'!$Y$79+'Estudio Organizacional'!$Y$80)/12</f>
        <v>17884.774999999998</v>
      </c>
      <c r="U12" s="319">
        <f>('Estudio Organizacional'!$Y$77+'Estudio Organizacional'!$Y$79+'Estudio Organizacional'!$Y$80)/12</f>
        <v>17884.774999999998</v>
      </c>
      <c r="V12" s="319">
        <f>('Estudio Organizacional'!$Y$77+'Estudio Organizacional'!$Y$79+'Estudio Organizacional'!$Y$80)/12</f>
        <v>17884.774999999998</v>
      </c>
      <c r="W12" s="319">
        <f>('Estudio Organizacional'!$Y$77+'Estudio Organizacional'!$Y$79+'Estudio Organizacional'!$Y$80)/12</f>
        <v>17884.774999999998</v>
      </c>
      <c r="X12" s="319">
        <f>('Estudio Organizacional'!$Y$77+'Estudio Organizacional'!$Y$79+'Estudio Organizacional'!$Y$80)/12</f>
        <v>17884.774999999998</v>
      </c>
      <c r="Y12" s="319">
        <f>('Estudio Organizacional'!$Y$77+'Estudio Organizacional'!$Y$79+'Estudio Organizacional'!$Y$80)/12</f>
        <v>17884.774999999998</v>
      </c>
      <c r="Z12" s="319">
        <f>('Estudio Organizacional'!$Y$77+'Estudio Organizacional'!$Y$79+'Estudio Organizacional'!$Y$80)/12</f>
        <v>17884.774999999998</v>
      </c>
      <c r="AA12" s="646"/>
    </row>
    <row r="13" spans="1:31" x14ac:dyDescent="0.2">
      <c r="A13" s="357" t="s">
        <v>107</v>
      </c>
      <c r="B13" s="357" t="s">
        <v>9</v>
      </c>
      <c r="C13" s="357" t="s">
        <v>1331</v>
      </c>
      <c r="D13" s="357" t="s">
        <v>1332</v>
      </c>
      <c r="E13" s="357" t="s">
        <v>1333</v>
      </c>
      <c r="F13" s="357" t="s">
        <v>1334</v>
      </c>
      <c r="H13" s="323" t="s">
        <v>1462</v>
      </c>
      <c r="I13" s="572"/>
      <c r="J13" s="647"/>
      <c r="K13" s="491"/>
      <c r="N13" s="18" t="s">
        <v>1504</v>
      </c>
      <c r="O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P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Q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R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S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T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U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V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W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X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Y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Z13" s="319">
        <f>(('Estudio Organizacional'!$Y$68+'Estudio Organizacional'!$Y$71+'Estudio Organizacional'!$Y$72+'Estudio Organizacional'!$Y$73)/12)+((('Estudio Organizacional'!$AG$160+'Estudio Organizacional'!$AG$161)*252)+'Estudio Organizacional'!$AF$160)+(Presupuesto!$Y$184/12)+'Estudio Organizacional'!$AF$149+('Estudio Organizacional'!$AF$154*4)+(Presupuesto!$D$190/12)+(Presupuesto!$D$191/12)</f>
        <v>19721.874977777778</v>
      </c>
      <c r="AA13" s="646"/>
    </row>
    <row r="14" spans="1:31" x14ac:dyDescent="0.2">
      <c r="A14" s="18" t="s">
        <v>543</v>
      </c>
      <c r="B14" s="356">
        <v>2</v>
      </c>
      <c r="C14" s="319">
        <v>3800</v>
      </c>
      <c r="D14" s="319">
        <f>B14*C14</f>
        <v>7600</v>
      </c>
      <c r="E14" s="319">
        <f>D14*18%</f>
        <v>1368</v>
      </c>
      <c r="F14" s="319">
        <f>D14+E14</f>
        <v>8968</v>
      </c>
      <c r="H14" s="323" t="s">
        <v>1463</v>
      </c>
      <c r="I14" s="279">
        <v>460.8</v>
      </c>
      <c r="J14" s="279">
        <f>I14*18%</f>
        <v>82.944000000000003</v>
      </c>
      <c r="K14" s="279">
        <f>I14+J14</f>
        <v>543.74400000000003</v>
      </c>
      <c r="L14" s="9" t="s">
        <v>1468</v>
      </c>
      <c r="N14" s="18" t="s">
        <v>1505</v>
      </c>
      <c r="O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P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Q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R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S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T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U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V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W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X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Y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Z14" s="319">
        <f>(('Estudio Organizacional'!$Y$65+'Estudio Organizacional'!$Y$66+'Estudio Organizacional'!$Y$74+'Estudio Organizacional'!$Y$75+'Estudio Organizacional'!$Y$81)/12)+(Presupuesto!$D$224/12)+(Presupuesto!$D$225/12)+(Presupuesto!$D$230/12)+(Presupuesto!$D$231/12)+(Presupuesto!$D$232/12)+((('Estudio Organizacional'!$AG$160+'Estudio Organizacional'!$AG$161)*297)+'Estudio Organizacional'!$AF$160)+(Presupuesto!$Y$196/12)+'Estudio Organizacional'!$AF$149+'Estudio Organizacional'!$AF$162+('Estudio Organizacional'!$AF$146*2*3)</f>
        <v>26357.884462488892</v>
      </c>
      <c r="AA14" s="372">
        <v>4737.3333329999996</v>
      </c>
    </row>
    <row r="15" spans="1:31" x14ac:dyDescent="0.2">
      <c r="A15" s="18" t="s">
        <v>628</v>
      </c>
      <c r="B15" s="356">
        <v>1</v>
      </c>
      <c r="C15" s="319">
        <v>12870</v>
      </c>
      <c r="D15" s="319">
        <f t="shared" ref="D15:D19" si="5">B15*C15</f>
        <v>12870</v>
      </c>
      <c r="E15" s="319">
        <f t="shared" ref="E15:E20" si="6">D15*18%</f>
        <v>2316.6</v>
      </c>
      <c r="F15" s="319">
        <f t="shared" ref="F15:F20" si="7">D15+E15</f>
        <v>15186.6</v>
      </c>
      <c r="H15" s="323" t="s">
        <v>1464</v>
      </c>
      <c r="I15" s="279">
        <v>3.4</v>
      </c>
      <c r="J15" s="279">
        <f t="shared" ref="J15:J17" si="8">I15*18%</f>
        <v>0.61199999999999999</v>
      </c>
      <c r="K15" s="279">
        <f t="shared" ref="K15:K17" si="9">I15+J15</f>
        <v>4.0119999999999996</v>
      </c>
      <c r="L15" s="9" t="s">
        <v>1469</v>
      </c>
      <c r="M15" s="176"/>
      <c r="N15" s="18" t="s">
        <v>1506</v>
      </c>
      <c r="O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P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Q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R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S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T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U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V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W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X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Y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Z15" s="319">
        <f>('Estudio Organizacional'!$Y$67+'Estudio Organizacional'!$Y$69+'Estudio Organizacional'!$Y$70+'Estudio Organizacional'!$Y$76+'Estudio Organizacional'!$Y$78)/12+(Presupuesto!$B$267/12)+(Presupuesto!$B$268/12)+(Presupuesto!$B$269/12)+(Presupuesto!$B$270/12)</f>
        <v>20900.166666666664</v>
      </c>
      <c r="AA15" s="372">
        <v>3762</v>
      </c>
    </row>
    <row r="16" spans="1:31" x14ac:dyDescent="0.2">
      <c r="A16" s="18" t="s">
        <v>1065</v>
      </c>
      <c r="B16" s="356">
        <v>1</v>
      </c>
      <c r="C16" s="319">
        <v>2974</v>
      </c>
      <c r="D16" s="319">
        <f t="shared" si="5"/>
        <v>2974</v>
      </c>
      <c r="E16" s="319">
        <f t="shared" si="6"/>
        <v>535.31999999999994</v>
      </c>
      <c r="F16" s="319">
        <f t="shared" si="7"/>
        <v>3509.3199999999997</v>
      </c>
      <c r="H16" s="323" t="s">
        <v>1465</v>
      </c>
      <c r="I16" s="279">
        <v>135</v>
      </c>
      <c r="J16" s="279">
        <f t="shared" si="8"/>
        <v>24.3</v>
      </c>
      <c r="K16" s="279">
        <f t="shared" si="9"/>
        <v>159.30000000000001</v>
      </c>
      <c r="L16" s="9" t="s">
        <v>1475</v>
      </c>
      <c r="N16" s="326" t="s">
        <v>10</v>
      </c>
      <c r="O16" s="293">
        <f t="shared" ref="O16:Z16" si="10">O7-O10</f>
        <v>-19381.669142586587</v>
      </c>
      <c r="P16" s="293">
        <f t="shared" si="10"/>
        <v>-19381.669142586587</v>
      </c>
      <c r="Q16" s="293">
        <f t="shared" si="10"/>
        <v>-19381.669142586587</v>
      </c>
      <c r="R16" s="293">
        <f t="shared" si="10"/>
        <v>-19381.669142586587</v>
      </c>
      <c r="S16" s="293">
        <f t="shared" si="10"/>
        <v>-19381.669142586587</v>
      </c>
      <c r="T16" s="293">
        <f t="shared" si="10"/>
        <v>-19381.669142586587</v>
      </c>
      <c r="U16" s="293">
        <f t="shared" si="10"/>
        <v>-19381.669142586587</v>
      </c>
      <c r="V16" s="293">
        <f t="shared" si="10"/>
        <v>-19381.669142586587</v>
      </c>
      <c r="W16" s="293">
        <f t="shared" si="10"/>
        <v>-19381.669142586587</v>
      </c>
      <c r="X16" s="293">
        <f t="shared" si="10"/>
        <v>-19381.669142586587</v>
      </c>
      <c r="Y16" s="293">
        <f t="shared" si="10"/>
        <v>-19381.669142586587</v>
      </c>
      <c r="Z16" s="293">
        <f t="shared" si="10"/>
        <v>-19381.669142586587</v>
      </c>
    </row>
    <row r="17" spans="1:26" x14ac:dyDescent="0.2">
      <c r="A17" s="18" t="s">
        <v>585</v>
      </c>
      <c r="B17" s="356">
        <v>1</v>
      </c>
      <c r="C17" s="319">
        <v>7350</v>
      </c>
      <c r="D17" s="319">
        <f t="shared" si="5"/>
        <v>7350</v>
      </c>
      <c r="E17" s="319">
        <f t="shared" si="6"/>
        <v>1323</v>
      </c>
      <c r="F17" s="319">
        <f t="shared" si="7"/>
        <v>8673</v>
      </c>
      <c r="H17" s="18" t="s">
        <v>1470</v>
      </c>
      <c r="I17" s="279">
        <v>598</v>
      </c>
      <c r="J17" s="279">
        <f t="shared" si="8"/>
        <v>107.64</v>
      </c>
      <c r="K17" s="279">
        <f t="shared" si="9"/>
        <v>705.64</v>
      </c>
      <c r="L17" s="9" t="s">
        <v>1471</v>
      </c>
      <c r="N17" s="18" t="s">
        <v>1507</v>
      </c>
      <c r="O17" s="319">
        <f>O16</f>
        <v>-19381.669142586587</v>
      </c>
      <c r="P17" s="319">
        <f>O17+P16</f>
        <v>-38763.338285173173</v>
      </c>
      <c r="Q17" s="319">
        <f t="shared" ref="Q17:Z17" si="11">P17+Q16</f>
        <v>-58145.00742775976</v>
      </c>
      <c r="R17" s="319">
        <f t="shared" si="11"/>
        <v>-77526.676570346346</v>
      </c>
      <c r="S17" s="319">
        <f t="shared" si="11"/>
        <v>-96908.345712932933</v>
      </c>
      <c r="T17" s="319">
        <f t="shared" si="11"/>
        <v>-116290.01485551952</v>
      </c>
      <c r="U17" s="319">
        <f t="shared" si="11"/>
        <v>-135671.68399810611</v>
      </c>
      <c r="V17" s="319">
        <f t="shared" si="11"/>
        <v>-155053.35314069269</v>
      </c>
      <c r="W17" s="319">
        <f t="shared" si="11"/>
        <v>-174435.02228327928</v>
      </c>
      <c r="X17" s="319">
        <f t="shared" si="11"/>
        <v>-193816.69142586587</v>
      </c>
      <c r="Y17" s="319">
        <f t="shared" si="11"/>
        <v>-213198.36056845245</v>
      </c>
      <c r="Z17" s="187">
        <f t="shared" si="11"/>
        <v>-232580.02971103904</v>
      </c>
    </row>
    <row r="18" spans="1:26" x14ac:dyDescent="0.2">
      <c r="A18" s="18" t="s">
        <v>586</v>
      </c>
      <c r="B18" s="356">
        <v>1</v>
      </c>
      <c r="C18" s="319">
        <v>7500</v>
      </c>
      <c r="D18" s="319">
        <f t="shared" si="5"/>
        <v>7500</v>
      </c>
      <c r="E18" s="319">
        <f t="shared" si="6"/>
        <v>1350</v>
      </c>
      <c r="F18" s="319">
        <f t="shared" si="7"/>
        <v>8850</v>
      </c>
      <c r="H18" s="276" t="s">
        <v>1466</v>
      </c>
      <c r="I18" s="279">
        <v>535</v>
      </c>
      <c r="J18" s="279">
        <f>I18*18%</f>
        <v>96.3</v>
      </c>
      <c r="K18" s="279">
        <f>I18+J18</f>
        <v>631.29999999999995</v>
      </c>
      <c r="L18" s="9" t="s">
        <v>1474</v>
      </c>
    </row>
    <row r="19" spans="1:26" x14ac:dyDescent="0.2">
      <c r="A19" s="18" t="s">
        <v>755</v>
      </c>
      <c r="B19" s="356">
        <v>2</v>
      </c>
      <c r="C19" s="319">
        <v>2780</v>
      </c>
      <c r="D19" s="319">
        <f t="shared" si="5"/>
        <v>5560</v>
      </c>
      <c r="E19" s="319">
        <f t="shared" si="6"/>
        <v>1000.8</v>
      </c>
      <c r="F19" s="319">
        <f t="shared" si="7"/>
        <v>6560.8</v>
      </c>
      <c r="H19" s="18" t="s">
        <v>1472</v>
      </c>
      <c r="I19" s="279">
        <v>652.52</v>
      </c>
      <c r="J19" s="279">
        <f>I19*18%</f>
        <v>117.45359999999999</v>
      </c>
      <c r="K19" s="279">
        <f>I19+J19</f>
        <v>769.97360000000003</v>
      </c>
      <c r="L19" s="9" t="s">
        <v>1473</v>
      </c>
      <c r="N19" s="343">
        <v>2018</v>
      </c>
    </row>
    <row r="20" spans="1:26" x14ac:dyDescent="0.2">
      <c r="A20" s="496" t="s">
        <v>10</v>
      </c>
      <c r="B20" s="502"/>
      <c r="C20" s="497"/>
      <c r="D20" s="293">
        <f>SUM(D14:D19)</f>
        <v>43854</v>
      </c>
      <c r="E20" s="293">
        <f t="shared" si="6"/>
        <v>7893.7199999999993</v>
      </c>
      <c r="F20" s="293">
        <f t="shared" si="7"/>
        <v>51747.72</v>
      </c>
      <c r="H20" s="315" t="s">
        <v>10</v>
      </c>
      <c r="I20" s="293">
        <f>SUM(I7:I19)</f>
        <v>2944.72</v>
      </c>
      <c r="J20" s="293">
        <f>SUM(J7:J19)</f>
        <v>530.04960000000005</v>
      </c>
      <c r="K20" s="293">
        <f>SUM(K7:K19)</f>
        <v>3474.7695999999996</v>
      </c>
      <c r="N20" s="315" t="s">
        <v>107</v>
      </c>
      <c r="O20" s="315" t="s">
        <v>1492</v>
      </c>
      <c r="P20" s="315" t="s">
        <v>1493</v>
      </c>
      <c r="Q20" s="315" t="s">
        <v>1494</v>
      </c>
      <c r="R20" s="315" t="s">
        <v>1495</v>
      </c>
      <c r="S20" s="315" t="s">
        <v>1496</v>
      </c>
      <c r="T20" s="315" t="s">
        <v>1497</v>
      </c>
      <c r="U20" s="315" t="s">
        <v>1498</v>
      </c>
      <c r="V20" s="315" t="s">
        <v>1499</v>
      </c>
      <c r="W20" s="315" t="s">
        <v>1500</v>
      </c>
      <c r="X20" s="315" t="s">
        <v>1501</v>
      </c>
      <c r="Y20" s="315" t="s">
        <v>1502</v>
      </c>
      <c r="Z20" s="315" t="s">
        <v>1503</v>
      </c>
    </row>
    <row r="21" spans="1:26" x14ac:dyDescent="0.2">
      <c r="N21" s="326" t="s">
        <v>1508</v>
      </c>
      <c r="O21" s="293">
        <f>O22*O23</f>
        <v>166374</v>
      </c>
      <c r="P21" s="293">
        <f t="shared" ref="P21:Z21" si="12">P22*P23</f>
        <v>166374</v>
      </c>
      <c r="Q21" s="293">
        <f t="shared" si="12"/>
        <v>166374</v>
      </c>
      <c r="R21" s="293">
        <f t="shared" si="12"/>
        <v>166374</v>
      </c>
      <c r="S21" s="293">
        <f t="shared" si="12"/>
        <v>166374</v>
      </c>
      <c r="T21" s="293">
        <f t="shared" si="12"/>
        <v>166374</v>
      </c>
      <c r="U21" s="293">
        <f t="shared" si="12"/>
        <v>166374</v>
      </c>
      <c r="V21" s="293">
        <f t="shared" si="12"/>
        <v>166374</v>
      </c>
      <c r="W21" s="293">
        <f t="shared" si="12"/>
        <v>166374</v>
      </c>
      <c r="X21" s="293">
        <f t="shared" si="12"/>
        <v>166374</v>
      </c>
      <c r="Y21" s="293">
        <f t="shared" si="12"/>
        <v>166374</v>
      </c>
      <c r="Z21" s="293">
        <f t="shared" si="12"/>
        <v>166374</v>
      </c>
    </row>
    <row r="22" spans="1:26" x14ac:dyDescent="0.2">
      <c r="A22" s="176" t="s">
        <v>1336</v>
      </c>
      <c r="H22" s="176" t="s">
        <v>1476</v>
      </c>
      <c r="N22" s="18" t="s">
        <v>1509</v>
      </c>
      <c r="O22" s="319">
        <f>1422*26</f>
        <v>36972</v>
      </c>
      <c r="P22" s="319">
        <f t="shared" ref="P22:Z22" si="13">1422*26</f>
        <v>36972</v>
      </c>
      <c r="Q22" s="319">
        <f t="shared" si="13"/>
        <v>36972</v>
      </c>
      <c r="R22" s="319">
        <f t="shared" si="13"/>
        <v>36972</v>
      </c>
      <c r="S22" s="319">
        <f t="shared" si="13"/>
        <v>36972</v>
      </c>
      <c r="T22" s="319">
        <f t="shared" si="13"/>
        <v>36972</v>
      </c>
      <c r="U22" s="319">
        <f t="shared" si="13"/>
        <v>36972</v>
      </c>
      <c r="V22" s="319">
        <f t="shared" si="13"/>
        <v>36972</v>
      </c>
      <c r="W22" s="319">
        <f t="shared" si="13"/>
        <v>36972</v>
      </c>
      <c r="X22" s="319">
        <f t="shared" si="13"/>
        <v>36972</v>
      </c>
      <c r="Y22" s="319">
        <f t="shared" si="13"/>
        <v>36972</v>
      </c>
      <c r="Z22" s="319">
        <f t="shared" si="13"/>
        <v>36972</v>
      </c>
    </row>
    <row r="23" spans="1:26" x14ac:dyDescent="0.2">
      <c r="A23" s="357" t="s">
        <v>107</v>
      </c>
      <c r="B23" s="357" t="s">
        <v>9</v>
      </c>
      <c r="C23" s="357" t="s">
        <v>1331</v>
      </c>
      <c r="D23" s="357" t="s">
        <v>1332</v>
      </c>
      <c r="E23" s="357" t="s">
        <v>1333</v>
      </c>
      <c r="F23" s="357" t="s">
        <v>1334</v>
      </c>
      <c r="H23" s="315" t="s">
        <v>107</v>
      </c>
      <c r="I23" s="315" t="s">
        <v>1478</v>
      </c>
      <c r="J23" s="315" t="s">
        <v>1485</v>
      </c>
      <c r="K23" s="315" t="s">
        <v>1334</v>
      </c>
      <c r="N23" s="18" t="s">
        <v>170</v>
      </c>
      <c r="O23" s="310">
        <v>4.5</v>
      </c>
      <c r="P23" s="310">
        <v>4.5</v>
      </c>
      <c r="Q23" s="310">
        <v>4.5</v>
      </c>
      <c r="R23" s="310">
        <v>4.5</v>
      </c>
      <c r="S23" s="310">
        <v>4.5</v>
      </c>
      <c r="T23" s="310">
        <v>4.5</v>
      </c>
      <c r="U23" s="310">
        <v>4.5</v>
      </c>
      <c r="V23" s="310">
        <v>4.5</v>
      </c>
      <c r="W23" s="310">
        <v>4.5</v>
      </c>
      <c r="X23" s="310">
        <v>4.5</v>
      </c>
      <c r="Y23" s="310">
        <v>4.5</v>
      </c>
      <c r="Z23" s="310">
        <v>4.5</v>
      </c>
    </row>
    <row r="24" spans="1:26" x14ac:dyDescent="0.2">
      <c r="A24" s="291" t="s">
        <v>587</v>
      </c>
      <c r="B24" s="356">
        <v>4</v>
      </c>
      <c r="C24" s="319">
        <v>1025</v>
      </c>
      <c r="D24" s="319">
        <f>B24*C24</f>
        <v>4100</v>
      </c>
      <c r="E24" s="319">
        <f>D24*18%</f>
        <v>738</v>
      </c>
      <c r="F24" s="319">
        <f>D24+E24</f>
        <v>4838</v>
      </c>
      <c r="H24" s="18" t="s">
        <v>1477</v>
      </c>
      <c r="I24" s="310" t="s">
        <v>1482</v>
      </c>
      <c r="J24" s="310">
        <v>5</v>
      </c>
      <c r="K24" s="310" t="s">
        <v>161</v>
      </c>
      <c r="L24" s="12"/>
      <c r="N24" s="326" t="s">
        <v>1510</v>
      </c>
      <c r="O24" s="293">
        <f>O25+O26+O27+O28+O29</f>
        <v>133316.18361483951</v>
      </c>
      <c r="P24" s="293">
        <f t="shared" ref="P24:Z24" si="14">P25+P26+P27+P28+P29</f>
        <v>133316.18361483951</v>
      </c>
      <c r="Q24" s="293">
        <f t="shared" si="14"/>
        <v>133316.18361483951</v>
      </c>
      <c r="R24" s="293">
        <f t="shared" si="14"/>
        <v>133316.18361483951</v>
      </c>
      <c r="S24" s="293">
        <f t="shared" si="14"/>
        <v>133316.18361483951</v>
      </c>
      <c r="T24" s="293">
        <f t="shared" si="14"/>
        <v>133316.18361483951</v>
      </c>
      <c r="U24" s="293">
        <f t="shared" si="14"/>
        <v>133316.18361483951</v>
      </c>
      <c r="V24" s="293">
        <f t="shared" si="14"/>
        <v>133316.18361483951</v>
      </c>
      <c r="W24" s="293">
        <f t="shared" si="14"/>
        <v>133316.18361483951</v>
      </c>
      <c r="X24" s="293">
        <f t="shared" si="14"/>
        <v>133316.18361483951</v>
      </c>
      <c r="Y24" s="293">
        <f t="shared" si="14"/>
        <v>133316.18361483951</v>
      </c>
      <c r="Z24" s="293">
        <f t="shared" si="14"/>
        <v>133316.18361483951</v>
      </c>
    </row>
    <row r="25" spans="1:26" x14ac:dyDescent="0.2">
      <c r="A25" s="291" t="s">
        <v>588</v>
      </c>
      <c r="B25" s="356">
        <v>4</v>
      </c>
      <c r="C25" s="319">
        <v>50</v>
      </c>
      <c r="D25" s="319">
        <f t="shared" ref="D25:D34" si="15">B25*C25</f>
        <v>200</v>
      </c>
      <c r="E25" s="319">
        <f t="shared" ref="E25:E36" si="16">D25*18%</f>
        <v>36</v>
      </c>
      <c r="F25" s="319">
        <f t="shared" ref="F25:F36" si="17">D25+E25</f>
        <v>236</v>
      </c>
      <c r="H25" s="291" t="s">
        <v>1479</v>
      </c>
      <c r="I25" s="311" t="s">
        <v>1186</v>
      </c>
      <c r="J25" s="310">
        <v>10</v>
      </c>
      <c r="K25" s="310" t="s">
        <v>161</v>
      </c>
      <c r="L25" s="12"/>
      <c r="N25" s="18" t="s">
        <v>1728</v>
      </c>
      <c r="O25" s="319">
        <f>('El Producto'!$AK$17*356*26)+('El Producto'!$AK$32*356*26)+('El Producto'!$AK$47*356*26)+('El Producto'!$AK$62*356*26)</f>
        <v>46036.459174572861</v>
      </c>
      <c r="P25" s="319">
        <f>('El Producto'!$AK$17*356*26)+('El Producto'!$AK$32*356*26)+('El Producto'!$AK$47*356*26)+('El Producto'!$AK$62*356*26)</f>
        <v>46036.459174572861</v>
      </c>
      <c r="Q25" s="319">
        <f>('El Producto'!$AK$17*356*26)+('El Producto'!$AK$32*356*26)+('El Producto'!$AK$47*356*26)+('El Producto'!$AK$62*356*26)</f>
        <v>46036.459174572861</v>
      </c>
      <c r="R25" s="319">
        <f>('El Producto'!$AK$17*356*26)+('El Producto'!$AK$32*356*26)+('El Producto'!$AK$47*356*26)+('El Producto'!$AK$62*356*26)</f>
        <v>46036.459174572861</v>
      </c>
      <c r="S25" s="319">
        <f>('El Producto'!$AK$17*356*26)+('El Producto'!$AK$32*356*26)+('El Producto'!$AK$47*356*26)+('El Producto'!$AK$62*356*26)</f>
        <v>46036.459174572861</v>
      </c>
      <c r="T25" s="319">
        <f>('El Producto'!$AK$17*356*26)+('El Producto'!$AK$32*356*26)+('El Producto'!$AK$47*356*26)+('El Producto'!$AK$62*356*26)</f>
        <v>46036.459174572861</v>
      </c>
      <c r="U25" s="319">
        <f>('El Producto'!$AK$17*356*26)+('El Producto'!$AK$32*356*26)+('El Producto'!$AK$47*356*26)+('El Producto'!$AK$62*356*26)</f>
        <v>46036.459174572861</v>
      </c>
      <c r="V25" s="319">
        <f>('El Producto'!$AK$17*356*26)+('El Producto'!$AK$32*356*26)+('El Producto'!$AK$47*356*26)+('El Producto'!$AK$62*356*26)</f>
        <v>46036.459174572861</v>
      </c>
      <c r="W25" s="319">
        <f>('El Producto'!$AK$17*356*26)+('El Producto'!$AK$32*356*26)+('El Producto'!$AK$47*356*26)+('El Producto'!$AK$62*356*26)</f>
        <v>46036.459174572861</v>
      </c>
      <c r="X25" s="319">
        <f>('El Producto'!$AK$17*356*26)+('El Producto'!$AK$32*356*26)+('El Producto'!$AK$47*356*26)+('El Producto'!$AK$62*356*26)</f>
        <v>46036.459174572861</v>
      </c>
      <c r="Y25" s="319">
        <f>('El Producto'!$AK$17*356*26)+('El Producto'!$AK$32*356*26)+('El Producto'!$AK$47*356*26)+('El Producto'!$AK$62*356*26)</f>
        <v>46036.459174572861</v>
      </c>
      <c r="Z25" s="319">
        <f>('El Producto'!$AK$17*356*26)+('El Producto'!$AK$32*356*26)+('El Producto'!$AK$47*356*26)+('El Producto'!$AK$62*356*26)</f>
        <v>46036.459174572861</v>
      </c>
    </row>
    <row r="26" spans="1:26" x14ac:dyDescent="0.2">
      <c r="A26" s="291" t="s">
        <v>372</v>
      </c>
      <c r="B26" s="356">
        <v>4</v>
      </c>
      <c r="C26" s="319">
        <v>540</v>
      </c>
      <c r="D26" s="319">
        <f t="shared" si="15"/>
        <v>2160</v>
      </c>
      <c r="E26" s="319">
        <f t="shared" si="16"/>
        <v>388.8</v>
      </c>
      <c r="F26" s="319">
        <f t="shared" si="17"/>
        <v>2548.8000000000002</v>
      </c>
      <c r="H26" s="18" t="s">
        <v>1481</v>
      </c>
      <c r="I26" s="310" t="s">
        <v>1187</v>
      </c>
      <c r="J26" s="310">
        <v>4</v>
      </c>
      <c r="K26" s="310" t="s">
        <v>161</v>
      </c>
      <c r="L26" s="12"/>
      <c r="N26" s="18" t="s">
        <v>1729</v>
      </c>
      <c r="O26" s="319">
        <f>('Estudio Organizacional'!$Y$97+'Estudio Organizacional'!$Y$99+'Estudio Organizacional'!$Y$100)/12</f>
        <v>20145.191666666666</v>
      </c>
      <c r="P26" s="319">
        <f>('Estudio Organizacional'!$Y$97+'Estudio Organizacional'!$Y$99+'Estudio Organizacional'!$Y$100)/12</f>
        <v>20145.191666666666</v>
      </c>
      <c r="Q26" s="319">
        <f>('Estudio Organizacional'!$Y$97+'Estudio Organizacional'!$Y$99+'Estudio Organizacional'!$Y$100)/12</f>
        <v>20145.191666666666</v>
      </c>
      <c r="R26" s="319">
        <f>('Estudio Organizacional'!$Y$97+'Estudio Organizacional'!$Y$99+'Estudio Organizacional'!$Y$100)/12</f>
        <v>20145.191666666666</v>
      </c>
      <c r="S26" s="319">
        <f>('Estudio Organizacional'!$Y$97+'Estudio Organizacional'!$Y$99+'Estudio Organizacional'!$Y$100)/12</f>
        <v>20145.191666666666</v>
      </c>
      <c r="T26" s="319">
        <f>('Estudio Organizacional'!$Y$97+'Estudio Organizacional'!$Y$99+'Estudio Organizacional'!$Y$100)/12</f>
        <v>20145.191666666666</v>
      </c>
      <c r="U26" s="319">
        <f>('Estudio Organizacional'!$Y$97+'Estudio Organizacional'!$Y$99+'Estudio Organizacional'!$Y$100)/12</f>
        <v>20145.191666666666</v>
      </c>
      <c r="V26" s="319">
        <f>('Estudio Organizacional'!$Y$97+'Estudio Organizacional'!$Y$99+'Estudio Organizacional'!$Y$100)/12</f>
        <v>20145.191666666666</v>
      </c>
      <c r="W26" s="319">
        <f>('Estudio Organizacional'!$Y$97+'Estudio Organizacional'!$Y$99+'Estudio Organizacional'!$Y$100)/12</f>
        <v>20145.191666666666</v>
      </c>
      <c r="X26" s="319">
        <f>('Estudio Organizacional'!$Y$97+'Estudio Organizacional'!$Y$99+'Estudio Organizacional'!$Y$100)/12</f>
        <v>20145.191666666666</v>
      </c>
      <c r="Y26" s="319">
        <f>('Estudio Organizacional'!$Y$97+'Estudio Organizacional'!$Y$99+'Estudio Organizacional'!$Y$100)/12</f>
        <v>20145.191666666666</v>
      </c>
      <c r="Z26" s="319">
        <f>('Estudio Organizacional'!$Y$97+'Estudio Organizacional'!$Y$99+'Estudio Organizacional'!$Y$100)/12</f>
        <v>20145.191666666666</v>
      </c>
    </row>
    <row r="27" spans="1:26" x14ac:dyDescent="0.2">
      <c r="A27" s="291" t="s">
        <v>374</v>
      </c>
      <c r="B27" s="356">
        <v>4</v>
      </c>
      <c r="C27" s="319">
        <v>1500</v>
      </c>
      <c r="D27" s="319">
        <f t="shared" si="15"/>
        <v>6000</v>
      </c>
      <c r="E27" s="319">
        <f t="shared" si="16"/>
        <v>1080</v>
      </c>
      <c r="F27" s="319">
        <f t="shared" si="17"/>
        <v>7080</v>
      </c>
      <c r="H27" s="18" t="s">
        <v>1480</v>
      </c>
      <c r="I27" s="310" t="s">
        <v>1190</v>
      </c>
      <c r="J27" s="310">
        <v>4</v>
      </c>
      <c r="K27" s="310" t="s">
        <v>161</v>
      </c>
      <c r="L27" s="12"/>
      <c r="N27" s="18" t="s">
        <v>1504</v>
      </c>
      <c r="O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  <c r="P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  <c r="Q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  <c r="R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  <c r="S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  <c r="T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  <c r="U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  <c r="V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  <c r="W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  <c r="X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  <c r="Y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  <c r="Z27" s="319">
        <f>(('Estudio Organizacional'!$Y$88+'Estudio Organizacional'!$Y$91+'Estudio Organizacional'!$Y$92+'Estudio Organizacional'!$Y$93)/12)+((('Estudio Organizacional'!$AG$160+'Estudio Organizacional'!$AG$161)*252)+'Estudio Organizacional'!$AF$160)+(Presupuesto!$Y$184/12)+'Estudio Organizacional'!$AF$149+('Estudio Organizacional'!$AF$155*4)+(Presupuesto!$E$190/12)+(Presupuesto!$E$191/12)</f>
        <v>20121.874977777778</v>
      </c>
    </row>
    <row r="28" spans="1:26" x14ac:dyDescent="0.2">
      <c r="A28" s="291" t="s">
        <v>373</v>
      </c>
      <c r="B28" s="356">
        <v>4</v>
      </c>
      <c r="C28" s="319">
        <v>300</v>
      </c>
      <c r="D28" s="319">
        <f t="shared" si="15"/>
        <v>1200</v>
      </c>
      <c r="E28" s="319">
        <f t="shared" si="16"/>
        <v>216</v>
      </c>
      <c r="F28" s="319">
        <f t="shared" si="17"/>
        <v>1416</v>
      </c>
      <c r="N28" s="18" t="s">
        <v>1505</v>
      </c>
      <c r="O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P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Q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R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S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T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U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V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W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X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Y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Z28" s="319">
        <f>(('Estudio Organizacional'!$Y$85+'Estudio Organizacional'!$Y$86+'Estudio Organizacional'!$Y$94+'Estudio Organizacional'!$Y$95+'Estudio Organizacional'!$Y$101)/12)+(Presupuesto!$E$224/12)+(Presupuesto!$E$225/12)+(Presupuesto!$E$230/12)+(Presupuesto!$E$231/12)+(Presupuesto!$E$232/12)+((('Estudio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</row>
    <row r="29" spans="1:26" x14ac:dyDescent="0.2">
      <c r="A29" s="291" t="s">
        <v>375</v>
      </c>
      <c r="B29" s="356">
        <v>4</v>
      </c>
      <c r="C29" s="319">
        <v>120</v>
      </c>
      <c r="D29" s="319">
        <f t="shared" si="15"/>
        <v>480</v>
      </c>
      <c r="E29" s="319">
        <f t="shared" si="16"/>
        <v>86.399999999999991</v>
      </c>
      <c r="F29" s="319">
        <f t="shared" si="17"/>
        <v>566.4</v>
      </c>
      <c r="H29" s="315" t="s">
        <v>107</v>
      </c>
      <c r="I29" s="315" t="s">
        <v>1332</v>
      </c>
      <c r="J29" s="315" t="s">
        <v>1333</v>
      </c>
      <c r="K29" s="315" t="s">
        <v>1334</v>
      </c>
      <c r="M29" s="176"/>
      <c r="N29" s="18" t="s">
        <v>1506</v>
      </c>
      <c r="O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  <c r="P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  <c r="Q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  <c r="R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  <c r="S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  <c r="T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  <c r="U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  <c r="V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  <c r="W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  <c r="X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  <c r="Y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  <c r="Z29" s="319">
        <f>('Estudio Organizacional'!$Y$87+'Estudio Organizacional'!$Y$89+'Estudio Organizacional'!$Y$90+'Estudio Organizacional'!$Y$96+'Estudio Organizacional'!$Y$98)/12+(Presupuesto!$B$267/12)+(Presupuesto!$B$268/12)+(Presupuesto!$B$269/12)+(Presupuesto!$B$270/12)</f>
        <v>20900.166666666664</v>
      </c>
    </row>
    <row r="30" spans="1:26" x14ac:dyDescent="0.2">
      <c r="A30" s="291" t="s">
        <v>376</v>
      </c>
      <c r="B30" s="356">
        <v>4</v>
      </c>
      <c r="C30" s="319">
        <v>60</v>
      </c>
      <c r="D30" s="319">
        <f t="shared" si="15"/>
        <v>240</v>
      </c>
      <c r="E30" s="319">
        <f t="shared" si="16"/>
        <v>43.199999999999996</v>
      </c>
      <c r="F30" s="319">
        <f t="shared" si="17"/>
        <v>283.2</v>
      </c>
      <c r="H30" s="18" t="s">
        <v>1483</v>
      </c>
      <c r="I30" s="319">
        <f>999.99*19</f>
        <v>18999.810000000001</v>
      </c>
      <c r="J30" s="319">
        <f>I30*18%</f>
        <v>3419.9657999999999</v>
      </c>
      <c r="K30" s="319">
        <f>I30+J30</f>
        <v>22419.775800000003</v>
      </c>
      <c r="L30" s="9" t="s">
        <v>1484</v>
      </c>
      <c r="N30" s="326" t="s">
        <v>10</v>
      </c>
      <c r="O30" s="293">
        <f>O21-O24</f>
        <v>33057.816385160491</v>
      </c>
      <c r="P30" s="293">
        <f t="shared" ref="P30:Z30" si="18">P21-P24</f>
        <v>33057.816385160491</v>
      </c>
      <c r="Q30" s="293">
        <f t="shared" si="18"/>
        <v>33057.816385160491</v>
      </c>
      <c r="R30" s="293">
        <f t="shared" si="18"/>
        <v>33057.816385160491</v>
      </c>
      <c r="S30" s="293">
        <f t="shared" si="18"/>
        <v>33057.816385160491</v>
      </c>
      <c r="T30" s="293">
        <f t="shared" si="18"/>
        <v>33057.816385160491</v>
      </c>
      <c r="U30" s="293">
        <f t="shared" si="18"/>
        <v>33057.816385160491</v>
      </c>
      <c r="V30" s="293">
        <f t="shared" si="18"/>
        <v>33057.816385160491</v>
      </c>
      <c r="W30" s="293">
        <f t="shared" si="18"/>
        <v>33057.816385160491</v>
      </c>
      <c r="X30" s="293">
        <f t="shared" si="18"/>
        <v>33057.816385160491</v>
      </c>
      <c r="Y30" s="293">
        <f t="shared" si="18"/>
        <v>33057.816385160491</v>
      </c>
      <c r="Z30" s="293">
        <f t="shared" si="18"/>
        <v>33057.816385160491</v>
      </c>
    </row>
    <row r="31" spans="1:26" x14ac:dyDescent="0.2">
      <c r="A31" s="291" t="s">
        <v>593</v>
      </c>
      <c r="B31" s="356">
        <v>1</v>
      </c>
      <c r="C31" s="319">
        <v>17700</v>
      </c>
      <c r="D31" s="319">
        <f t="shared" si="15"/>
        <v>17700</v>
      </c>
      <c r="E31" s="319">
        <f t="shared" si="16"/>
        <v>3186</v>
      </c>
      <c r="F31" s="319">
        <f t="shared" si="17"/>
        <v>20886</v>
      </c>
      <c r="N31" s="18" t="s">
        <v>1507</v>
      </c>
      <c r="O31" s="319">
        <f>Z17+O30</f>
        <v>-199522.21332587855</v>
      </c>
      <c r="P31" s="319">
        <f>O31+P30</f>
        <v>-166464.39694071806</v>
      </c>
      <c r="Q31" s="319">
        <f t="shared" ref="Q31:Z31" si="19">P31+Q30</f>
        <v>-133406.58055555756</v>
      </c>
      <c r="R31" s="319">
        <f t="shared" si="19"/>
        <v>-100348.76417039707</v>
      </c>
      <c r="S31" s="319">
        <f t="shared" si="19"/>
        <v>-67290.947785236582</v>
      </c>
      <c r="T31" s="319">
        <f t="shared" si="19"/>
        <v>-34233.13140007609</v>
      </c>
      <c r="U31" s="319">
        <f t="shared" si="19"/>
        <v>-1175.315014915599</v>
      </c>
      <c r="V31" s="319">
        <f t="shared" si="19"/>
        <v>31882.501370244892</v>
      </c>
      <c r="W31" s="319">
        <f t="shared" si="19"/>
        <v>64940.317755405384</v>
      </c>
      <c r="X31" s="319">
        <f t="shared" si="19"/>
        <v>97998.134140565875</v>
      </c>
      <c r="Y31" s="319">
        <f t="shared" si="19"/>
        <v>131055.95052572637</v>
      </c>
      <c r="Z31" s="319">
        <f t="shared" si="19"/>
        <v>164113.76691088686</v>
      </c>
    </row>
    <row r="32" spans="1:26" x14ac:dyDescent="0.2">
      <c r="A32" s="291" t="s">
        <v>589</v>
      </c>
      <c r="B32" s="356">
        <v>16</v>
      </c>
      <c r="C32" s="319">
        <v>103.2</v>
      </c>
      <c r="D32" s="319">
        <f t="shared" si="15"/>
        <v>1651.2</v>
      </c>
      <c r="E32" s="319">
        <f t="shared" si="16"/>
        <v>297.21600000000001</v>
      </c>
      <c r="F32" s="319">
        <f t="shared" si="17"/>
        <v>1948.4160000000002</v>
      </c>
      <c r="H32" s="176" t="s">
        <v>1486</v>
      </c>
    </row>
    <row r="33" spans="1:26" x14ac:dyDescent="0.2">
      <c r="A33" s="291" t="s">
        <v>590</v>
      </c>
      <c r="B33" s="356">
        <v>16</v>
      </c>
      <c r="C33" s="319">
        <v>10.9</v>
      </c>
      <c r="D33" s="319">
        <f t="shared" si="15"/>
        <v>174.4</v>
      </c>
      <c r="E33" s="319">
        <f t="shared" si="16"/>
        <v>31.391999999999999</v>
      </c>
      <c r="F33" s="319">
        <f t="shared" si="17"/>
        <v>205.792</v>
      </c>
      <c r="H33" s="315" t="s">
        <v>107</v>
      </c>
      <c r="I33" s="315" t="s">
        <v>1332</v>
      </c>
      <c r="J33" s="315" t="s">
        <v>1333</v>
      </c>
      <c r="K33" s="315" t="s">
        <v>1334</v>
      </c>
    </row>
    <row r="34" spans="1:26" x14ac:dyDescent="0.2">
      <c r="A34" s="291" t="s">
        <v>539</v>
      </c>
      <c r="B34" s="356">
        <v>872</v>
      </c>
      <c r="C34" s="319">
        <v>16</v>
      </c>
      <c r="D34" s="319">
        <f t="shared" si="15"/>
        <v>13952</v>
      </c>
      <c r="E34" s="319">
        <f t="shared" si="16"/>
        <v>2511.36</v>
      </c>
      <c r="F34" s="319">
        <f t="shared" si="17"/>
        <v>16463.36</v>
      </c>
      <c r="H34" s="18" t="s">
        <v>1488</v>
      </c>
      <c r="I34" s="319">
        <v>599</v>
      </c>
      <c r="J34" s="319">
        <f>I34*18%</f>
        <v>107.82</v>
      </c>
      <c r="K34" s="319">
        <f>I34+J34</f>
        <v>706.81999999999994</v>
      </c>
      <c r="L34" s="9" t="s">
        <v>1487</v>
      </c>
      <c r="N34" s="343">
        <v>2019</v>
      </c>
    </row>
    <row r="35" spans="1:26" x14ac:dyDescent="0.2">
      <c r="A35" s="291" t="s">
        <v>592</v>
      </c>
      <c r="B35" s="356">
        <v>40</v>
      </c>
      <c r="C35" s="319">
        <v>25.7</v>
      </c>
      <c r="D35" s="319">
        <f>B35*C35</f>
        <v>1028</v>
      </c>
      <c r="E35" s="319">
        <f t="shared" si="16"/>
        <v>185.04</v>
      </c>
      <c r="F35" s="319">
        <f t="shared" si="17"/>
        <v>1213.04</v>
      </c>
      <c r="H35" s="18" t="s">
        <v>1489</v>
      </c>
      <c r="I35" s="319">
        <v>200</v>
      </c>
      <c r="J35" s="319">
        <f>I35*18%</f>
        <v>36</v>
      </c>
      <c r="K35" s="319">
        <f>I35+J35</f>
        <v>236</v>
      </c>
      <c r="N35" s="315" t="s">
        <v>107</v>
      </c>
      <c r="O35" s="315" t="s">
        <v>1492</v>
      </c>
      <c r="P35" s="315" t="s">
        <v>1493</v>
      </c>
      <c r="Q35" s="315" t="s">
        <v>1494</v>
      </c>
      <c r="R35" s="315" t="s">
        <v>1495</v>
      </c>
      <c r="S35" s="315" t="s">
        <v>1496</v>
      </c>
      <c r="T35" s="315" t="s">
        <v>1497</v>
      </c>
      <c r="U35" s="315" t="s">
        <v>1498</v>
      </c>
      <c r="V35" s="315" t="s">
        <v>1499</v>
      </c>
      <c r="W35" s="315" t="s">
        <v>1500</v>
      </c>
      <c r="X35" s="315" t="s">
        <v>1501</v>
      </c>
      <c r="Y35" s="315" t="s">
        <v>1502</v>
      </c>
      <c r="Z35" s="315" t="s">
        <v>1503</v>
      </c>
    </row>
    <row r="36" spans="1:26" x14ac:dyDescent="0.2">
      <c r="A36" s="496" t="s">
        <v>10</v>
      </c>
      <c r="B36" s="502"/>
      <c r="C36" s="497"/>
      <c r="D36" s="293">
        <f>SUM(D24:D35)</f>
        <v>48885.599999999999</v>
      </c>
      <c r="E36" s="293">
        <f t="shared" si="16"/>
        <v>8799.4079999999994</v>
      </c>
      <c r="F36" s="293">
        <f t="shared" si="17"/>
        <v>57685.008000000002</v>
      </c>
      <c r="H36" s="18" t="s">
        <v>1490</v>
      </c>
      <c r="I36" s="310" t="s">
        <v>161</v>
      </c>
      <c r="J36" s="310" t="s">
        <v>161</v>
      </c>
      <c r="K36" s="310" t="s">
        <v>161</v>
      </c>
      <c r="N36" s="326" t="s">
        <v>1508</v>
      </c>
      <c r="O36" s="293">
        <f>O37*O38</f>
        <v>268047</v>
      </c>
      <c r="P36" s="293">
        <f t="shared" ref="P36:Z36" si="20">P37*P38</f>
        <v>268047</v>
      </c>
      <c r="Q36" s="293">
        <f t="shared" si="20"/>
        <v>268047</v>
      </c>
      <c r="R36" s="293">
        <f t="shared" si="20"/>
        <v>268047</v>
      </c>
      <c r="S36" s="293">
        <f t="shared" si="20"/>
        <v>268047</v>
      </c>
      <c r="T36" s="293">
        <f t="shared" si="20"/>
        <v>268047</v>
      </c>
      <c r="U36" s="293">
        <f t="shared" si="20"/>
        <v>268047</v>
      </c>
      <c r="V36" s="293">
        <f t="shared" si="20"/>
        <v>268047</v>
      </c>
      <c r="W36" s="293">
        <f t="shared" si="20"/>
        <v>268047</v>
      </c>
      <c r="X36" s="293">
        <f t="shared" si="20"/>
        <v>268047</v>
      </c>
      <c r="Y36" s="293">
        <f t="shared" si="20"/>
        <v>268047</v>
      </c>
      <c r="Z36" s="293">
        <f t="shared" si="20"/>
        <v>268047</v>
      </c>
    </row>
    <row r="37" spans="1:26" x14ac:dyDescent="0.2">
      <c r="H37" s="315" t="s">
        <v>10</v>
      </c>
      <c r="I37" s="293">
        <f>SUM(I34:I36)</f>
        <v>799</v>
      </c>
      <c r="J37" s="293">
        <f t="shared" ref="J37:K37" si="21">SUM(J34:J36)</f>
        <v>143.82</v>
      </c>
      <c r="K37" s="293">
        <f t="shared" si="21"/>
        <v>942.81999999999994</v>
      </c>
      <c r="N37" s="18" t="s">
        <v>1509</v>
      </c>
      <c r="O37" s="319">
        <f>2291*26</f>
        <v>59566</v>
      </c>
      <c r="P37" s="319">
        <f t="shared" ref="P37:Z37" si="22">2291*26</f>
        <v>59566</v>
      </c>
      <c r="Q37" s="319">
        <f t="shared" si="22"/>
        <v>59566</v>
      </c>
      <c r="R37" s="319">
        <f t="shared" si="22"/>
        <v>59566</v>
      </c>
      <c r="S37" s="319">
        <f t="shared" si="22"/>
        <v>59566</v>
      </c>
      <c r="T37" s="319">
        <f t="shared" si="22"/>
        <v>59566</v>
      </c>
      <c r="U37" s="319">
        <f t="shared" si="22"/>
        <v>59566</v>
      </c>
      <c r="V37" s="319">
        <f t="shared" si="22"/>
        <v>59566</v>
      </c>
      <c r="W37" s="319">
        <f t="shared" si="22"/>
        <v>59566</v>
      </c>
      <c r="X37" s="319">
        <f t="shared" si="22"/>
        <v>59566</v>
      </c>
      <c r="Y37" s="319">
        <f t="shared" si="22"/>
        <v>59566</v>
      </c>
      <c r="Z37" s="319">
        <f t="shared" si="22"/>
        <v>59566</v>
      </c>
    </row>
    <row r="38" spans="1:26" x14ac:dyDescent="0.2">
      <c r="A38" s="176" t="s">
        <v>1337</v>
      </c>
      <c r="N38" s="18" t="s">
        <v>170</v>
      </c>
      <c r="O38" s="310">
        <v>4.5</v>
      </c>
      <c r="P38" s="310">
        <v>4.5</v>
      </c>
      <c r="Q38" s="310">
        <v>4.5</v>
      </c>
      <c r="R38" s="310">
        <v>4.5</v>
      </c>
      <c r="S38" s="310">
        <v>4.5</v>
      </c>
      <c r="T38" s="310">
        <v>4.5</v>
      </c>
      <c r="U38" s="310">
        <v>4.5</v>
      </c>
      <c r="V38" s="310">
        <v>4.5</v>
      </c>
      <c r="W38" s="310">
        <v>4.5</v>
      </c>
      <c r="X38" s="310">
        <v>4.5</v>
      </c>
      <c r="Y38" s="310">
        <v>4.5</v>
      </c>
      <c r="Z38" s="310">
        <v>4.5</v>
      </c>
    </row>
    <row r="39" spans="1:26" x14ac:dyDescent="0.2">
      <c r="A39" s="357" t="s">
        <v>107</v>
      </c>
      <c r="B39" s="357" t="s">
        <v>9</v>
      </c>
      <c r="C39" s="357" t="s">
        <v>1331</v>
      </c>
      <c r="D39" s="357" t="s">
        <v>1332</v>
      </c>
      <c r="E39" s="357" t="s">
        <v>1333</v>
      </c>
      <c r="F39" s="357" t="s">
        <v>1334</v>
      </c>
      <c r="H39" s="176" t="s">
        <v>1491</v>
      </c>
      <c r="N39" s="326" t="s">
        <v>1510</v>
      </c>
      <c r="O39" s="293">
        <f>O40+O41+O42+O43+O44</f>
        <v>164838.14983454641</v>
      </c>
      <c r="P39" s="293">
        <f t="shared" ref="P39:Z39" si="23">P40+P41+P42+P43+P44</f>
        <v>164838.14983454641</v>
      </c>
      <c r="Q39" s="293">
        <f t="shared" si="23"/>
        <v>164838.14983454641</v>
      </c>
      <c r="R39" s="293">
        <f t="shared" si="23"/>
        <v>164838.14983454641</v>
      </c>
      <c r="S39" s="293">
        <f t="shared" si="23"/>
        <v>164838.14983454641</v>
      </c>
      <c r="T39" s="293">
        <f t="shared" si="23"/>
        <v>164838.14983454641</v>
      </c>
      <c r="U39" s="293">
        <f t="shared" si="23"/>
        <v>164838.14983454641</v>
      </c>
      <c r="V39" s="293">
        <f t="shared" si="23"/>
        <v>164838.14983454641</v>
      </c>
      <c r="W39" s="293">
        <f t="shared" si="23"/>
        <v>164838.14983454641</v>
      </c>
      <c r="X39" s="293">
        <f t="shared" si="23"/>
        <v>164838.14983454641</v>
      </c>
      <c r="Y39" s="293">
        <f t="shared" si="23"/>
        <v>164838.14983454641</v>
      </c>
      <c r="Z39" s="293">
        <f t="shared" si="23"/>
        <v>164838.14983454641</v>
      </c>
    </row>
    <row r="40" spans="1:26" x14ac:dyDescent="0.2">
      <c r="A40" s="358" t="s">
        <v>595</v>
      </c>
      <c r="B40" s="356">
        <v>6</v>
      </c>
      <c r="C40" s="319">
        <v>1999</v>
      </c>
      <c r="D40" s="319">
        <f>B40*C40</f>
        <v>11994</v>
      </c>
      <c r="E40" s="319">
        <f>D40*18%</f>
        <v>2158.92</v>
      </c>
      <c r="F40" s="319">
        <f>D40+E40</f>
        <v>14152.92</v>
      </c>
      <c r="H40" s="315" t="s">
        <v>107</v>
      </c>
      <c r="I40" s="315" t="s">
        <v>1332</v>
      </c>
      <c r="J40" s="315" t="s">
        <v>1333</v>
      </c>
      <c r="K40" s="315" t="s">
        <v>1334</v>
      </c>
      <c r="N40" s="18" t="s">
        <v>1728</v>
      </c>
      <c r="O40" s="319">
        <f>('El Producto'!$AK$17*573*26)+('El Producto'!$AK$32*573*26)+('El Producto'!$AK$47*573*26)+('El Producto'!$AK$62*573*26)</f>
        <v>74098.008727613065</v>
      </c>
      <c r="P40" s="319">
        <f>('El Producto'!$AK$17*573*26)+('El Producto'!$AK$32*573*26)+('El Producto'!$AK$47*573*26)+('El Producto'!$AK$62*573*26)</f>
        <v>74098.008727613065</v>
      </c>
      <c r="Q40" s="319">
        <f>('El Producto'!$AK$17*573*26)+('El Producto'!$AK$32*573*26)+('El Producto'!$AK$47*573*26)+('El Producto'!$AK$62*573*26)</f>
        <v>74098.008727613065</v>
      </c>
      <c r="R40" s="319">
        <f>('El Producto'!$AK$17*573*26)+('El Producto'!$AK$32*573*26)+('El Producto'!$AK$47*573*26)+('El Producto'!$AK$62*573*26)</f>
        <v>74098.008727613065</v>
      </c>
      <c r="S40" s="319">
        <f>('El Producto'!$AK$17*573*26)+('El Producto'!$AK$32*573*26)+('El Producto'!$AK$47*573*26)+('El Producto'!$AK$62*573*26)</f>
        <v>74098.008727613065</v>
      </c>
      <c r="T40" s="319">
        <f>('El Producto'!$AK$17*573*26)+('El Producto'!$AK$32*573*26)+('El Producto'!$AK$47*573*26)+('El Producto'!$AK$62*573*26)</f>
        <v>74098.008727613065</v>
      </c>
      <c r="U40" s="319">
        <f>('El Producto'!$AK$17*573*26)+('El Producto'!$AK$32*573*26)+('El Producto'!$AK$47*573*26)+('El Producto'!$AK$62*573*26)</f>
        <v>74098.008727613065</v>
      </c>
      <c r="V40" s="319">
        <f>('El Producto'!$AK$17*573*26)+('El Producto'!$AK$32*573*26)+('El Producto'!$AK$47*573*26)+('El Producto'!$AK$62*573*26)</f>
        <v>74098.008727613065</v>
      </c>
      <c r="W40" s="319">
        <f>('El Producto'!$AK$17*573*26)+('El Producto'!$AK$32*573*26)+('El Producto'!$AK$47*573*26)+('El Producto'!$AK$62*573*26)</f>
        <v>74098.008727613065</v>
      </c>
      <c r="X40" s="319">
        <f>('El Producto'!$AK$17*573*26)+('El Producto'!$AK$32*573*26)+('El Producto'!$AK$47*573*26)+('El Producto'!$AK$62*573*26)</f>
        <v>74098.008727613065</v>
      </c>
      <c r="Y40" s="319">
        <f>('El Producto'!$AK$17*573*26)+('El Producto'!$AK$32*573*26)+('El Producto'!$AK$47*573*26)+('El Producto'!$AK$62*573*26)</f>
        <v>74098.008727613065</v>
      </c>
      <c r="Z40" s="319">
        <f>('El Producto'!$AK$17*573*26)+('El Producto'!$AK$32*573*26)+('El Producto'!$AK$47*573*26)+('El Producto'!$AK$62*573*26)</f>
        <v>74098.008727613065</v>
      </c>
    </row>
    <row r="41" spans="1:26" x14ac:dyDescent="0.2">
      <c r="A41" s="358" t="s">
        <v>379</v>
      </c>
      <c r="B41" s="356">
        <v>13</v>
      </c>
      <c r="C41" s="319">
        <v>1299</v>
      </c>
      <c r="D41" s="319">
        <f t="shared" ref="D41:D44" si="24">B41*C41</f>
        <v>16887</v>
      </c>
      <c r="E41" s="319">
        <f t="shared" ref="E41:E45" si="25">D41*18%</f>
        <v>3039.66</v>
      </c>
      <c r="F41" s="319">
        <f t="shared" ref="F41:F45" si="26">D41+E41</f>
        <v>19926.66</v>
      </c>
      <c r="H41" s="325" t="s">
        <v>1455</v>
      </c>
      <c r="I41" s="181">
        <f>I20</f>
        <v>2944.72</v>
      </c>
      <c r="J41" s="181">
        <f>I41*18%</f>
        <v>530.04959999999994</v>
      </c>
      <c r="K41" s="181">
        <f>I41+J41</f>
        <v>3474.7695999999996</v>
      </c>
      <c r="N41" s="18" t="s">
        <v>1729</v>
      </c>
      <c r="O41" s="319">
        <f>('Estudio Organizacional'!$Y$117+'Estudio Organizacional'!$Y$119+'Estudio Organizacional'!$Y$120)/12</f>
        <v>22405.608333333334</v>
      </c>
      <c r="P41" s="319">
        <f>('Estudio Organizacional'!$Y$117+'Estudio Organizacional'!$Y$119+'Estudio Organizacional'!$Y$120)/12</f>
        <v>22405.608333333334</v>
      </c>
      <c r="Q41" s="319">
        <f>('Estudio Organizacional'!$Y$117+'Estudio Organizacional'!$Y$119+'Estudio Organizacional'!$Y$120)/12</f>
        <v>22405.608333333334</v>
      </c>
      <c r="R41" s="319">
        <f>('Estudio Organizacional'!$Y$117+'Estudio Organizacional'!$Y$119+'Estudio Organizacional'!$Y$120)/12</f>
        <v>22405.608333333334</v>
      </c>
      <c r="S41" s="319">
        <f>('Estudio Organizacional'!$Y$117+'Estudio Organizacional'!$Y$119+'Estudio Organizacional'!$Y$120)/12</f>
        <v>22405.608333333334</v>
      </c>
      <c r="T41" s="319">
        <f>('Estudio Organizacional'!$Y$117+'Estudio Organizacional'!$Y$119+'Estudio Organizacional'!$Y$120)/12</f>
        <v>22405.608333333334</v>
      </c>
      <c r="U41" s="319">
        <f>('Estudio Organizacional'!$Y$117+'Estudio Organizacional'!$Y$119+'Estudio Organizacional'!$Y$120)/12</f>
        <v>22405.608333333334</v>
      </c>
      <c r="V41" s="319">
        <f>('Estudio Organizacional'!$Y$117+'Estudio Organizacional'!$Y$119+'Estudio Organizacional'!$Y$120)/12</f>
        <v>22405.608333333334</v>
      </c>
      <c r="W41" s="319">
        <f>('Estudio Organizacional'!$Y$117+'Estudio Organizacional'!$Y$119+'Estudio Organizacional'!$Y$120)/12</f>
        <v>22405.608333333334</v>
      </c>
      <c r="X41" s="319">
        <f>('Estudio Organizacional'!$Y$117+'Estudio Organizacional'!$Y$119+'Estudio Organizacional'!$Y$120)/12</f>
        <v>22405.608333333334</v>
      </c>
      <c r="Y41" s="319">
        <f>('Estudio Organizacional'!$Y$117+'Estudio Organizacional'!$Y$119+'Estudio Organizacional'!$Y$120)/12</f>
        <v>22405.608333333334</v>
      </c>
      <c r="Z41" s="319">
        <f>('Estudio Organizacional'!$Y$117+'Estudio Organizacional'!$Y$119+'Estudio Organizacional'!$Y$120)/12</f>
        <v>22405.608333333334</v>
      </c>
    </row>
    <row r="42" spans="1:26" x14ac:dyDescent="0.2">
      <c r="A42" s="358" t="s">
        <v>380</v>
      </c>
      <c r="B42" s="356">
        <v>4</v>
      </c>
      <c r="C42" s="319">
        <v>165</v>
      </c>
      <c r="D42" s="319">
        <f t="shared" si="24"/>
        <v>660</v>
      </c>
      <c r="E42" s="319">
        <f t="shared" si="25"/>
        <v>118.8</v>
      </c>
      <c r="F42" s="319">
        <f t="shared" si="26"/>
        <v>778.8</v>
      </c>
      <c r="H42" s="325" t="s">
        <v>1476</v>
      </c>
      <c r="I42" s="181">
        <f>I30</f>
        <v>18999.810000000001</v>
      </c>
      <c r="J42" s="181">
        <f t="shared" ref="J42:J43" si="27">I42*18%</f>
        <v>3419.9657999999999</v>
      </c>
      <c r="K42" s="181">
        <f t="shared" ref="K42:K43" si="28">I42+J42</f>
        <v>22419.775800000003</v>
      </c>
      <c r="N42" s="18" t="s">
        <v>1504</v>
      </c>
      <c r="O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  <c r="P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  <c r="Q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  <c r="R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  <c r="S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  <c r="T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  <c r="U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  <c r="V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  <c r="W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  <c r="X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  <c r="Y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  <c r="Z42" s="319">
        <f>(('Estudio Organizacional'!$Y$108+'Estudio Organizacional'!$Y$111+'Estudio Organizacional'!$Y$112+'Estudio Organizacional'!$Y$113)/12)+((('Estudio Organizacional'!$AG$160+'Estudio Organizacional'!$AG$161)*252)+'Estudio Organizacional'!$AF$160)+(Presupuesto!$Y$184/12)+'Estudio Organizacional'!$AF$149+('Estudio Organizacional'!$AF$156*4)+(Presupuesto!$F$190/12)+(Presupuesto!$F$191/12)</f>
        <v>21321.874977777778</v>
      </c>
    </row>
    <row r="43" spans="1:26" x14ac:dyDescent="0.2">
      <c r="A43" s="358" t="s">
        <v>660</v>
      </c>
      <c r="B43" s="356">
        <v>1</v>
      </c>
      <c r="C43" s="319">
        <v>2000</v>
      </c>
      <c r="D43" s="319">
        <f t="shared" si="24"/>
        <v>2000</v>
      </c>
      <c r="E43" s="319">
        <f t="shared" si="25"/>
        <v>360</v>
      </c>
      <c r="F43" s="319">
        <f t="shared" si="26"/>
        <v>2360</v>
      </c>
      <c r="H43" s="325" t="s">
        <v>1486</v>
      </c>
      <c r="I43" s="181">
        <f>I37</f>
        <v>799</v>
      </c>
      <c r="J43" s="181">
        <f t="shared" si="27"/>
        <v>143.82</v>
      </c>
      <c r="K43" s="181">
        <f t="shared" si="28"/>
        <v>942.81999999999994</v>
      </c>
      <c r="N43" s="18" t="s">
        <v>1505</v>
      </c>
      <c r="O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P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Q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R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S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T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U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V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W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X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Y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Z43" s="319">
        <f>(('Estudio Organizacional'!$Y$105+'Estudio Organizacional'!$Y$106+'Estudio Organizacional'!$Y$114+'Estudio Organizacional'!$Y$115+'Estudio Organizacional'!$Y$121)/12)+(Presupuesto!$F$224/12)+(Presupuesto!$F$225/12)+(Presupuesto!$F$230/12)+(Presupuesto!$F$231/12)+(Presupuesto!$F$232/12)+((('Estudio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</row>
    <row r="44" spans="1:26" x14ac:dyDescent="0.2">
      <c r="A44" s="358" t="s">
        <v>661</v>
      </c>
      <c r="B44" s="356">
        <v>4</v>
      </c>
      <c r="C44" s="319">
        <v>98.56</v>
      </c>
      <c r="D44" s="319">
        <f t="shared" si="24"/>
        <v>394.24</v>
      </c>
      <c r="E44" s="319">
        <f t="shared" si="25"/>
        <v>70.963200000000001</v>
      </c>
      <c r="F44" s="319">
        <f t="shared" si="26"/>
        <v>465.20320000000004</v>
      </c>
      <c r="H44" s="315" t="s">
        <v>10</v>
      </c>
      <c r="I44" s="293">
        <f>SUM(I41:I43)</f>
        <v>22743.530000000002</v>
      </c>
      <c r="J44" s="293">
        <f>SUM(J41:J43)</f>
        <v>4093.8353999999999</v>
      </c>
      <c r="K44" s="293">
        <f>SUM(K41:K43)</f>
        <v>26837.365400000002</v>
      </c>
      <c r="M44" s="176"/>
      <c r="N44" s="18" t="s">
        <v>1506</v>
      </c>
      <c r="O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  <c r="P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  <c r="Q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  <c r="R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  <c r="S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  <c r="T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  <c r="U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  <c r="V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  <c r="W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  <c r="X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  <c r="Y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  <c r="Z44" s="319">
        <f>('Estudio Organizacional'!$Y$107+'Estudio Organizacional'!$Y$109+'Estudio Organizacional'!$Y$110+'Estudio Organizacional'!$Y$116+'Estudio Organizacional'!$Y$118)/12+(Presupuesto!$B$267/12)+(Presupuesto!$B$268/12)+(Presupuesto!$B$269/12)+(Presupuesto!$B$270/12)</f>
        <v>20900.166666666664</v>
      </c>
    </row>
    <row r="45" spans="1:26" x14ac:dyDescent="0.2">
      <c r="A45" s="496" t="s">
        <v>10</v>
      </c>
      <c r="B45" s="502"/>
      <c r="C45" s="497"/>
      <c r="D45" s="293">
        <f>SUM(D40:D44)</f>
        <v>31935.24</v>
      </c>
      <c r="E45" s="293">
        <f t="shared" si="25"/>
        <v>5748.3432000000003</v>
      </c>
      <c r="F45" s="293">
        <f t="shared" si="26"/>
        <v>37683.583200000001</v>
      </c>
      <c r="N45" s="326" t="s">
        <v>10</v>
      </c>
      <c r="O45" s="293">
        <f>O36-O39</f>
        <v>103208.85016545359</v>
      </c>
      <c r="P45" s="293">
        <f t="shared" ref="P45:Z45" si="29">P36-P39</f>
        <v>103208.85016545359</v>
      </c>
      <c r="Q45" s="293">
        <f t="shared" si="29"/>
        <v>103208.85016545359</v>
      </c>
      <c r="R45" s="293">
        <f t="shared" si="29"/>
        <v>103208.85016545359</v>
      </c>
      <c r="S45" s="293">
        <f t="shared" si="29"/>
        <v>103208.85016545359</v>
      </c>
      <c r="T45" s="293">
        <f t="shared" si="29"/>
        <v>103208.85016545359</v>
      </c>
      <c r="U45" s="293">
        <f t="shared" si="29"/>
        <v>103208.85016545359</v>
      </c>
      <c r="V45" s="293">
        <f t="shared" si="29"/>
        <v>103208.85016545359</v>
      </c>
      <c r="W45" s="293">
        <f t="shared" si="29"/>
        <v>103208.85016545359</v>
      </c>
      <c r="X45" s="293">
        <f t="shared" si="29"/>
        <v>103208.85016545359</v>
      </c>
      <c r="Y45" s="293">
        <f t="shared" si="29"/>
        <v>103208.85016545359</v>
      </c>
      <c r="Z45" s="293">
        <f t="shared" si="29"/>
        <v>103208.85016545359</v>
      </c>
    </row>
    <row r="46" spans="1:26" x14ac:dyDescent="0.2">
      <c r="N46" s="18" t="s">
        <v>1507</v>
      </c>
      <c r="O46" s="319">
        <f>Z31+O45</f>
        <v>267322.61707634048</v>
      </c>
      <c r="P46" s="319">
        <f>O46+P45</f>
        <v>370531.4672417941</v>
      </c>
      <c r="Q46" s="319">
        <f t="shared" ref="Q46:Z46" si="30">P46+Q45</f>
        <v>473740.31740724773</v>
      </c>
      <c r="R46" s="319">
        <f t="shared" si="30"/>
        <v>576949.16757270135</v>
      </c>
      <c r="S46" s="319">
        <f t="shared" si="30"/>
        <v>680158.01773815497</v>
      </c>
      <c r="T46" s="319">
        <f t="shared" si="30"/>
        <v>783366.8679036086</v>
      </c>
      <c r="U46" s="319">
        <f t="shared" si="30"/>
        <v>886575.71806906222</v>
      </c>
      <c r="V46" s="319">
        <f t="shared" si="30"/>
        <v>989784.56823451584</v>
      </c>
      <c r="W46" s="319">
        <f t="shared" si="30"/>
        <v>1092993.4183999693</v>
      </c>
      <c r="X46" s="319">
        <f t="shared" si="30"/>
        <v>1196202.2685654229</v>
      </c>
      <c r="Y46" s="319">
        <f t="shared" si="30"/>
        <v>1299411.1187308764</v>
      </c>
      <c r="Z46" s="319">
        <f t="shared" si="30"/>
        <v>1402619.9688963299</v>
      </c>
    </row>
    <row r="47" spans="1:26" x14ac:dyDescent="0.2">
      <c r="A47" s="176" t="s">
        <v>1338</v>
      </c>
    </row>
    <row r="48" spans="1:26" x14ac:dyDescent="0.2">
      <c r="A48" s="357" t="s">
        <v>107</v>
      </c>
      <c r="B48" s="357" t="s">
        <v>9</v>
      </c>
      <c r="C48" s="357" t="s">
        <v>1331</v>
      </c>
      <c r="D48" s="357" t="s">
        <v>1332</v>
      </c>
      <c r="E48" s="357" t="s">
        <v>1333</v>
      </c>
      <c r="F48" s="357" t="s">
        <v>1334</v>
      </c>
    </row>
    <row r="49" spans="1:26" x14ac:dyDescent="0.2">
      <c r="A49" s="18" t="s">
        <v>542</v>
      </c>
      <c r="B49" s="356">
        <v>22</v>
      </c>
      <c r="C49" s="319">
        <v>770</v>
      </c>
      <c r="D49" s="319">
        <f>B49*C49</f>
        <v>16940</v>
      </c>
      <c r="E49" s="319">
        <f>D49*18%</f>
        <v>3049.2</v>
      </c>
      <c r="F49" s="319">
        <f>D49+E49</f>
        <v>19989.2</v>
      </c>
      <c r="N49" s="343">
        <v>2020</v>
      </c>
    </row>
    <row r="50" spans="1:26" x14ac:dyDescent="0.2">
      <c r="A50" s="18" t="s">
        <v>601</v>
      </c>
      <c r="B50" s="356">
        <v>6</v>
      </c>
      <c r="C50" s="319">
        <v>699</v>
      </c>
      <c r="D50" s="319">
        <f t="shared" ref="D50:D58" si="31">B50*C50</f>
        <v>4194</v>
      </c>
      <c r="E50" s="319">
        <f t="shared" ref="E50:E59" si="32">D50*18%</f>
        <v>754.92</v>
      </c>
      <c r="F50" s="319">
        <f t="shared" ref="F50:F59" si="33">D50+E50</f>
        <v>4948.92</v>
      </c>
      <c r="N50" s="315" t="s">
        <v>107</v>
      </c>
      <c r="O50" s="315" t="s">
        <v>1492</v>
      </c>
      <c r="P50" s="315" t="s">
        <v>1493</v>
      </c>
      <c r="Q50" s="315" t="s">
        <v>1494</v>
      </c>
      <c r="R50" s="315" t="s">
        <v>1495</v>
      </c>
      <c r="S50" s="315" t="s">
        <v>1496</v>
      </c>
      <c r="T50" s="315" t="s">
        <v>1497</v>
      </c>
      <c r="U50" s="315" t="s">
        <v>1498</v>
      </c>
      <c r="V50" s="315" t="s">
        <v>1499</v>
      </c>
      <c r="W50" s="315" t="s">
        <v>1500</v>
      </c>
      <c r="X50" s="315" t="s">
        <v>1501</v>
      </c>
      <c r="Y50" s="315" t="s">
        <v>1502</v>
      </c>
      <c r="Z50" s="315" t="s">
        <v>1503</v>
      </c>
    </row>
    <row r="51" spans="1:26" x14ac:dyDescent="0.2">
      <c r="A51" s="18" t="s">
        <v>602</v>
      </c>
      <c r="B51" s="356">
        <v>6</v>
      </c>
      <c r="C51" s="319">
        <v>1070</v>
      </c>
      <c r="D51" s="319">
        <f t="shared" si="31"/>
        <v>6420</v>
      </c>
      <c r="E51" s="319">
        <f t="shared" si="32"/>
        <v>1155.5999999999999</v>
      </c>
      <c r="F51" s="319">
        <f t="shared" si="33"/>
        <v>7575.6</v>
      </c>
      <c r="N51" s="326" t="s">
        <v>1508</v>
      </c>
      <c r="O51" s="293">
        <f>O52*O53</f>
        <v>398034</v>
      </c>
      <c r="P51" s="293">
        <f t="shared" ref="P51:Z51" si="34">P52*P53</f>
        <v>398034</v>
      </c>
      <c r="Q51" s="293">
        <f t="shared" si="34"/>
        <v>398034</v>
      </c>
      <c r="R51" s="293">
        <f t="shared" si="34"/>
        <v>398034</v>
      </c>
      <c r="S51" s="293">
        <f t="shared" si="34"/>
        <v>398034</v>
      </c>
      <c r="T51" s="293">
        <f t="shared" si="34"/>
        <v>398034</v>
      </c>
      <c r="U51" s="293">
        <f t="shared" si="34"/>
        <v>398034</v>
      </c>
      <c r="V51" s="293">
        <f t="shared" si="34"/>
        <v>398034</v>
      </c>
      <c r="W51" s="293">
        <f t="shared" si="34"/>
        <v>398034</v>
      </c>
      <c r="X51" s="293">
        <f t="shared" si="34"/>
        <v>398034</v>
      </c>
      <c r="Y51" s="293">
        <f t="shared" si="34"/>
        <v>398034</v>
      </c>
      <c r="Z51" s="293">
        <f t="shared" si="34"/>
        <v>398034</v>
      </c>
    </row>
    <row r="52" spans="1:26" x14ac:dyDescent="0.2">
      <c r="A52" s="18" t="s">
        <v>1339</v>
      </c>
      <c r="B52" s="356">
        <v>16</v>
      </c>
      <c r="C52" s="319">
        <v>199.9</v>
      </c>
      <c r="D52" s="319">
        <f t="shared" si="31"/>
        <v>3198.4</v>
      </c>
      <c r="E52" s="319">
        <f t="shared" si="32"/>
        <v>575.71199999999999</v>
      </c>
      <c r="F52" s="319">
        <f t="shared" si="33"/>
        <v>3774.1120000000001</v>
      </c>
      <c r="N52" s="18" t="s">
        <v>1509</v>
      </c>
      <c r="O52" s="319">
        <f>3402*26</f>
        <v>88452</v>
      </c>
      <c r="P52" s="319">
        <f t="shared" ref="P52:Z52" si="35">3402*26</f>
        <v>88452</v>
      </c>
      <c r="Q52" s="319">
        <f t="shared" si="35"/>
        <v>88452</v>
      </c>
      <c r="R52" s="319">
        <f t="shared" si="35"/>
        <v>88452</v>
      </c>
      <c r="S52" s="319">
        <f t="shared" si="35"/>
        <v>88452</v>
      </c>
      <c r="T52" s="319">
        <f t="shared" si="35"/>
        <v>88452</v>
      </c>
      <c r="U52" s="319">
        <f t="shared" si="35"/>
        <v>88452</v>
      </c>
      <c r="V52" s="319">
        <f t="shared" si="35"/>
        <v>88452</v>
      </c>
      <c r="W52" s="319">
        <f t="shared" si="35"/>
        <v>88452</v>
      </c>
      <c r="X52" s="319">
        <f t="shared" si="35"/>
        <v>88452</v>
      </c>
      <c r="Y52" s="319">
        <f t="shared" si="35"/>
        <v>88452</v>
      </c>
      <c r="Z52" s="319">
        <f t="shared" si="35"/>
        <v>88452</v>
      </c>
    </row>
    <row r="53" spans="1:26" x14ac:dyDescent="0.2">
      <c r="A53" s="18" t="s">
        <v>1340</v>
      </c>
      <c r="B53" s="356">
        <v>4</v>
      </c>
      <c r="C53" s="319">
        <v>59.9</v>
      </c>
      <c r="D53" s="319">
        <f t="shared" si="31"/>
        <v>239.6</v>
      </c>
      <c r="E53" s="319">
        <f t="shared" si="32"/>
        <v>43.128</v>
      </c>
      <c r="F53" s="319">
        <f t="shared" si="33"/>
        <v>282.72800000000001</v>
      </c>
      <c r="N53" s="18" t="s">
        <v>170</v>
      </c>
      <c r="O53" s="310">
        <v>4.5</v>
      </c>
      <c r="P53" s="310">
        <v>4.5</v>
      </c>
      <c r="Q53" s="310">
        <v>4.5</v>
      </c>
      <c r="R53" s="310">
        <v>4.5</v>
      </c>
      <c r="S53" s="310">
        <v>4.5</v>
      </c>
      <c r="T53" s="310">
        <v>4.5</v>
      </c>
      <c r="U53" s="310">
        <v>4.5</v>
      </c>
      <c r="V53" s="310">
        <v>4.5</v>
      </c>
      <c r="W53" s="310">
        <v>4.5</v>
      </c>
      <c r="X53" s="310">
        <v>4.5</v>
      </c>
      <c r="Y53" s="310">
        <v>4.5</v>
      </c>
      <c r="Z53" s="310">
        <v>4.5</v>
      </c>
    </row>
    <row r="54" spans="1:26" x14ac:dyDescent="0.2">
      <c r="A54" s="18" t="s">
        <v>383</v>
      </c>
      <c r="B54" s="356">
        <v>16</v>
      </c>
      <c r="C54" s="319">
        <v>299.89999999999998</v>
      </c>
      <c r="D54" s="319">
        <f t="shared" si="31"/>
        <v>4798.3999999999996</v>
      </c>
      <c r="E54" s="319">
        <f t="shared" si="32"/>
        <v>863.71199999999988</v>
      </c>
      <c r="F54" s="319">
        <f t="shared" si="33"/>
        <v>5662.1119999999992</v>
      </c>
      <c r="N54" s="326" t="s">
        <v>1510</v>
      </c>
      <c r="O54" s="293">
        <f>O55+O56+O57+O58+O59</f>
        <v>203048.38574427838</v>
      </c>
      <c r="P54" s="293">
        <f t="shared" ref="P54:Z54" si="36">P55+P56+P57+P58+P59</f>
        <v>203048.38574427838</v>
      </c>
      <c r="Q54" s="293">
        <f t="shared" si="36"/>
        <v>203048.38574427838</v>
      </c>
      <c r="R54" s="293">
        <f t="shared" si="36"/>
        <v>203048.38574427838</v>
      </c>
      <c r="S54" s="293">
        <f t="shared" si="36"/>
        <v>203048.38574427838</v>
      </c>
      <c r="T54" s="293">
        <f t="shared" si="36"/>
        <v>203048.38574427838</v>
      </c>
      <c r="U54" s="293">
        <f t="shared" si="36"/>
        <v>203048.38574427838</v>
      </c>
      <c r="V54" s="293">
        <f t="shared" si="36"/>
        <v>203048.38574427838</v>
      </c>
      <c r="W54" s="293">
        <f t="shared" si="36"/>
        <v>203048.38574427838</v>
      </c>
      <c r="X54" s="293">
        <f t="shared" si="36"/>
        <v>203048.38574427838</v>
      </c>
      <c r="Y54" s="293">
        <f t="shared" si="36"/>
        <v>203048.38574427838</v>
      </c>
      <c r="Z54" s="293">
        <f t="shared" si="36"/>
        <v>203048.38574427838</v>
      </c>
    </row>
    <row r="55" spans="1:26" x14ac:dyDescent="0.2">
      <c r="A55" s="18" t="s">
        <v>605</v>
      </c>
      <c r="B55" s="356">
        <v>1</v>
      </c>
      <c r="C55" s="319">
        <v>1095</v>
      </c>
      <c r="D55" s="319">
        <f t="shared" si="31"/>
        <v>1095</v>
      </c>
      <c r="E55" s="319">
        <f t="shared" si="32"/>
        <v>197.1</v>
      </c>
      <c r="F55" s="319">
        <f t="shared" si="33"/>
        <v>1292.0999999999999</v>
      </c>
      <c r="N55" s="18" t="s">
        <v>1728</v>
      </c>
      <c r="O55" s="319">
        <f>('El Producto'!$AK$17*851*26)+('El Producto'!$AK$32*851*26)+('El Producto'!$AK$47*851*26)+('El Producto'!$AK$62*851*26)</f>
        <v>110047.82797067839</v>
      </c>
      <c r="P55" s="319">
        <f>('El Producto'!$AK$17*851*26)+('El Producto'!$AK$32*851*26)+('El Producto'!$AK$47*851*26)+('El Producto'!$AK$62*851*26)</f>
        <v>110047.82797067839</v>
      </c>
      <c r="Q55" s="319">
        <f>('El Producto'!$AK$17*851*26)+('El Producto'!$AK$32*851*26)+('El Producto'!$AK$47*851*26)+('El Producto'!$AK$62*851*26)</f>
        <v>110047.82797067839</v>
      </c>
      <c r="R55" s="319">
        <f>('El Producto'!$AK$17*851*26)+('El Producto'!$AK$32*851*26)+('El Producto'!$AK$47*851*26)+('El Producto'!$AK$62*851*26)</f>
        <v>110047.82797067839</v>
      </c>
      <c r="S55" s="319">
        <f>('El Producto'!$AK$17*851*26)+('El Producto'!$AK$32*851*26)+('El Producto'!$AK$47*851*26)+('El Producto'!$AK$62*851*26)</f>
        <v>110047.82797067839</v>
      </c>
      <c r="T55" s="319">
        <f>('El Producto'!$AK$17*851*26)+('El Producto'!$AK$32*851*26)+('El Producto'!$AK$47*851*26)+('El Producto'!$AK$62*851*26)</f>
        <v>110047.82797067839</v>
      </c>
      <c r="U55" s="319">
        <f>('El Producto'!$AK$17*851*26)+('El Producto'!$AK$32*851*26)+('El Producto'!$AK$47*851*26)+('El Producto'!$AK$62*851*26)</f>
        <v>110047.82797067839</v>
      </c>
      <c r="V55" s="319">
        <f>('El Producto'!$AK$17*851*26)+('El Producto'!$AK$32*851*26)+('El Producto'!$AK$47*851*26)+('El Producto'!$AK$62*851*26)</f>
        <v>110047.82797067839</v>
      </c>
      <c r="W55" s="319">
        <f>('El Producto'!$AK$17*851*26)+('El Producto'!$AK$32*851*26)+('El Producto'!$AK$47*851*26)+('El Producto'!$AK$62*851*26)</f>
        <v>110047.82797067839</v>
      </c>
      <c r="X55" s="319">
        <f>('El Producto'!$AK$17*851*26)+('El Producto'!$AK$32*851*26)+('El Producto'!$AK$47*851*26)+('El Producto'!$AK$62*851*26)</f>
        <v>110047.82797067839</v>
      </c>
      <c r="Y55" s="319">
        <f>('El Producto'!$AK$17*851*26)+('El Producto'!$AK$32*851*26)+('El Producto'!$AK$47*851*26)+('El Producto'!$AK$62*851*26)</f>
        <v>110047.82797067839</v>
      </c>
      <c r="Z55" s="319">
        <f>('El Producto'!$AK$17*851*26)+('El Producto'!$AK$32*851*26)+('El Producto'!$AK$47*851*26)+('El Producto'!$AK$62*851*26)</f>
        <v>110047.82797067839</v>
      </c>
    </row>
    <row r="56" spans="1:26" x14ac:dyDescent="0.2">
      <c r="A56" s="18" t="s">
        <v>604</v>
      </c>
      <c r="B56" s="356">
        <v>4</v>
      </c>
      <c r="C56" s="319">
        <v>86</v>
      </c>
      <c r="D56" s="319">
        <f t="shared" si="31"/>
        <v>344</v>
      </c>
      <c r="E56" s="319">
        <f t="shared" si="32"/>
        <v>61.919999999999995</v>
      </c>
      <c r="F56" s="319">
        <f t="shared" si="33"/>
        <v>405.92</v>
      </c>
      <c r="N56" s="18" t="s">
        <v>1729</v>
      </c>
      <c r="O56" s="319">
        <f>('Estudio Organizacional'!$Y$137+'Estudio Organizacional'!$Y$139+'Estudio Organizacional'!$Y$140)/12</f>
        <v>24666.025000000005</v>
      </c>
      <c r="P56" s="319">
        <f>('Estudio Organizacional'!$Y$137+'Estudio Organizacional'!$Y$139+'Estudio Organizacional'!$Y$140)/12</f>
        <v>24666.025000000005</v>
      </c>
      <c r="Q56" s="319">
        <f>('Estudio Organizacional'!$Y$137+'Estudio Organizacional'!$Y$139+'Estudio Organizacional'!$Y$140)/12</f>
        <v>24666.025000000005</v>
      </c>
      <c r="R56" s="319">
        <f>('Estudio Organizacional'!$Y$137+'Estudio Organizacional'!$Y$139+'Estudio Organizacional'!$Y$140)/12</f>
        <v>24666.025000000005</v>
      </c>
      <c r="S56" s="319">
        <f>('Estudio Organizacional'!$Y$137+'Estudio Organizacional'!$Y$139+'Estudio Organizacional'!$Y$140)/12</f>
        <v>24666.025000000005</v>
      </c>
      <c r="T56" s="319">
        <f>('Estudio Organizacional'!$Y$137+'Estudio Organizacional'!$Y$139+'Estudio Organizacional'!$Y$140)/12</f>
        <v>24666.025000000005</v>
      </c>
      <c r="U56" s="319">
        <f>('Estudio Organizacional'!$Y$137+'Estudio Organizacional'!$Y$139+'Estudio Organizacional'!$Y$140)/12</f>
        <v>24666.025000000005</v>
      </c>
      <c r="V56" s="319">
        <f>('Estudio Organizacional'!$Y$137+'Estudio Organizacional'!$Y$139+'Estudio Organizacional'!$Y$140)/12</f>
        <v>24666.025000000005</v>
      </c>
      <c r="W56" s="319">
        <f>('Estudio Organizacional'!$Y$137+'Estudio Organizacional'!$Y$139+'Estudio Organizacional'!$Y$140)/12</f>
        <v>24666.025000000005</v>
      </c>
      <c r="X56" s="319">
        <f>('Estudio Organizacional'!$Y$137+'Estudio Organizacional'!$Y$139+'Estudio Organizacional'!$Y$140)/12</f>
        <v>24666.025000000005</v>
      </c>
      <c r="Y56" s="319">
        <f>('Estudio Organizacional'!$Y$137+'Estudio Organizacional'!$Y$139+'Estudio Organizacional'!$Y$140)/12</f>
        <v>24666.025000000005</v>
      </c>
      <c r="Z56" s="319">
        <f>('Estudio Organizacional'!$Y$137+'Estudio Organizacional'!$Y$139+'Estudio Organizacional'!$Y$140)/12</f>
        <v>24666.025000000005</v>
      </c>
    </row>
    <row r="57" spans="1:26" x14ac:dyDescent="0.2">
      <c r="A57" s="18" t="s">
        <v>608</v>
      </c>
      <c r="B57" s="356">
        <v>1</v>
      </c>
      <c r="C57" s="319">
        <v>450</v>
      </c>
      <c r="D57" s="319">
        <f t="shared" si="31"/>
        <v>450</v>
      </c>
      <c r="E57" s="319">
        <f t="shared" si="32"/>
        <v>81</v>
      </c>
      <c r="F57" s="319">
        <f t="shared" si="33"/>
        <v>531</v>
      </c>
      <c r="N57" s="18" t="s">
        <v>1504</v>
      </c>
      <c r="O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  <c r="P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  <c r="Q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  <c r="R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  <c r="S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  <c r="T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  <c r="U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  <c r="V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  <c r="W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  <c r="X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  <c r="Y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  <c r="Z57" s="319">
        <f>(('Estudio Organizacional'!$Y$128+'Estudio Organizacional'!$Y$131+'Estudio Organizacional'!$Y$132+'Estudio Organizacional'!$Y$133)/12)+((('Estudio Organizacional'!$AG$160+'Estudio Organizacional'!$AG$161)*252)+'Estudio Organizacional'!$AF$160)+(Presupuesto!$Y$184/12)+'Estudio Organizacional'!$AF$149+('Estudio Organizacional'!$AF$156*4)+(Presupuesto!$G$190/12)+(Presupuesto!$G$191/12)</f>
        <v>21321.874977777778</v>
      </c>
    </row>
    <row r="58" spans="1:26" x14ac:dyDescent="0.2">
      <c r="A58" s="18" t="s">
        <v>609</v>
      </c>
      <c r="B58" s="356">
        <v>1</v>
      </c>
      <c r="C58" s="319">
        <v>299.89999999999998</v>
      </c>
      <c r="D58" s="319">
        <f t="shared" si="31"/>
        <v>299.89999999999998</v>
      </c>
      <c r="E58" s="319">
        <f t="shared" si="32"/>
        <v>53.981999999999992</v>
      </c>
      <c r="F58" s="319">
        <f t="shared" si="33"/>
        <v>353.88199999999995</v>
      </c>
      <c r="N58" s="18" t="s">
        <v>1505</v>
      </c>
      <c r="O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P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Q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R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S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T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U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V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W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X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Y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  <c r="Z58" s="319">
        <f>(('Estudio Organizacional'!$Y$125+'Estudio Organizacional'!$Y$126+'Estudio Organizacional'!$Y$134+'Estudio Organizacional'!$Y$135+'Estudio Organizacional'!$Y$141)/12)+(Presupuesto!$G$224/12)+(Presupuesto!$G$225/12)+(Presupuesto!$G$230/12)+(Presupuesto!$G$231/12)+(Presupuesto!$G$232/12)+((('Estudio Organizacional'!$AG$160+'Estudio Organizacional'!$AG$161)*297)+'Estudio Organizacional'!$AF$160)+(Presupuesto!$Y$196/12)+'Estudio Organizacional'!$AF$149+'Estudio Organizacional'!$AF$162+('Estudio Organizacional'!$AF$146*2*3)</f>
        <v>26112.491129155558</v>
      </c>
    </row>
    <row r="59" spans="1:26" x14ac:dyDescent="0.2">
      <c r="A59" s="496" t="s">
        <v>10</v>
      </c>
      <c r="B59" s="502"/>
      <c r="C59" s="497"/>
      <c r="D59" s="293">
        <f>SUM(D49:D58)</f>
        <v>37979.300000000003</v>
      </c>
      <c r="E59" s="293">
        <f t="shared" si="32"/>
        <v>6836.2740000000003</v>
      </c>
      <c r="F59" s="293">
        <f t="shared" si="33"/>
        <v>44815.574000000001</v>
      </c>
      <c r="M59" s="176"/>
      <c r="N59" s="18" t="s">
        <v>1506</v>
      </c>
      <c r="O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  <c r="P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  <c r="Q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  <c r="R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  <c r="S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  <c r="T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  <c r="U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  <c r="V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  <c r="W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  <c r="X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  <c r="Y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  <c r="Z59" s="319">
        <f>('Estudio Organizacional'!$Y$127+'Estudio Organizacional'!$Y$129+'Estudio Organizacional'!$Y$130+'Estudio Organizacional'!$Y$136+'Estudio Organizacional'!$Y$138)/12+(Presupuesto!$B$267/12)+(Presupuesto!$B$268/12)+(Presupuesto!$B$269/12)+(Presupuesto!$B$270/12)</f>
        <v>20900.166666666664</v>
      </c>
    </row>
    <row r="60" spans="1:26" x14ac:dyDescent="0.2">
      <c r="N60" s="326" t="s">
        <v>10</v>
      </c>
      <c r="O60" s="293">
        <f>O51-O54</f>
        <v>194985.61425572162</v>
      </c>
      <c r="P60" s="293">
        <f t="shared" ref="P60:Z60" si="37">P51-P54</f>
        <v>194985.61425572162</v>
      </c>
      <c r="Q60" s="293">
        <f t="shared" si="37"/>
        <v>194985.61425572162</v>
      </c>
      <c r="R60" s="293">
        <f t="shared" si="37"/>
        <v>194985.61425572162</v>
      </c>
      <c r="S60" s="293">
        <f t="shared" si="37"/>
        <v>194985.61425572162</v>
      </c>
      <c r="T60" s="293">
        <f t="shared" si="37"/>
        <v>194985.61425572162</v>
      </c>
      <c r="U60" s="293">
        <f t="shared" si="37"/>
        <v>194985.61425572162</v>
      </c>
      <c r="V60" s="293">
        <f t="shared" si="37"/>
        <v>194985.61425572162</v>
      </c>
      <c r="W60" s="293">
        <f t="shared" si="37"/>
        <v>194985.61425572162</v>
      </c>
      <c r="X60" s="293">
        <f t="shared" si="37"/>
        <v>194985.61425572162</v>
      </c>
      <c r="Y60" s="293">
        <f t="shared" si="37"/>
        <v>194985.61425572162</v>
      </c>
      <c r="Z60" s="293">
        <f t="shared" si="37"/>
        <v>194985.61425572162</v>
      </c>
    </row>
    <row r="61" spans="1:26" x14ac:dyDescent="0.2">
      <c r="A61" s="176" t="s">
        <v>1453</v>
      </c>
      <c r="N61" s="18" t="s">
        <v>1507</v>
      </c>
      <c r="O61" s="319">
        <f>Z46+O60</f>
        <v>1597605.5831520515</v>
      </c>
      <c r="P61" s="319">
        <f>O61+P60</f>
        <v>1792591.1974077732</v>
      </c>
      <c r="Q61" s="319">
        <f t="shared" ref="Q61:Z61" si="38">P61+Q60</f>
        <v>1987576.8116634949</v>
      </c>
      <c r="R61" s="319">
        <f t="shared" si="38"/>
        <v>2182562.4259192166</v>
      </c>
      <c r="S61" s="319">
        <f t="shared" si="38"/>
        <v>2377548.0401749383</v>
      </c>
      <c r="T61" s="319">
        <f t="shared" si="38"/>
        <v>2572533.65443066</v>
      </c>
      <c r="U61" s="319">
        <f t="shared" si="38"/>
        <v>2767519.2686863816</v>
      </c>
      <c r="V61" s="319">
        <f t="shared" si="38"/>
        <v>2962504.8829421033</v>
      </c>
      <c r="W61" s="319">
        <f t="shared" si="38"/>
        <v>3157490.497197825</v>
      </c>
      <c r="X61" s="319">
        <f t="shared" si="38"/>
        <v>3352476.1114535467</v>
      </c>
      <c r="Y61" s="319">
        <f t="shared" si="38"/>
        <v>3547461.7257092684</v>
      </c>
      <c r="Z61" s="319">
        <f t="shared" si="38"/>
        <v>3742447.33996499</v>
      </c>
    </row>
    <row r="62" spans="1:26" x14ac:dyDescent="0.2">
      <c r="A62" s="357" t="s">
        <v>107</v>
      </c>
      <c r="B62" s="357" t="s">
        <v>1332</v>
      </c>
      <c r="C62" s="357" t="s">
        <v>1333</v>
      </c>
      <c r="D62" s="357" t="s">
        <v>1334</v>
      </c>
    </row>
    <row r="63" spans="1:26" x14ac:dyDescent="0.2">
      <c r="A63" s="18" t="s">
        <v>1341</v>
      </c>
      <c r="B63" s="319">
        <f>F10</f>
        <v>361800</v>
      </c>
      <c r="C63" s="356" t="s">
        <v>161</v>
      </c>
      <c r="D63" s="319">
        <f>B63</f>
        <v>361800</v>
      </c>
    </row>
    <row r="64" spans="1:26" x14ac:dyDescent="0.2">
      <c r="A64" s="18" t="s">
        <v>1335</v>
      </c>
      <c r="B64" s="319">
        <f>D20</f>
        <v>43854</v>
      </c>
      <c r="C64" s="319">
        <f>E20</f>
        <v>7893.7199999999993</v>
      </c>
      <c r="D64" s="319">
        <f>B64+C64</f>
        <v>51747.72</v>
      </c>
      <c r="N64" s="343">
        <v>2021</v>
      </c>
    </row>
    <row r="65" spans="1:26" x14ac:dyDescent="0.2">
      <c r="A65" s="18" t="s">
        <v>1336</v>
      </c>
      <c r="B65" s="319">
        <f>D36</f>
        <v>48885.599999999999</v>
      </c>
      <c r="C65" s="319">
        <f>E36</f>
        <v>8799.4079999999994</v>
      </c>
      <c r="D65" s="319">
        <f t="shared" ref="D65:D67" si="39">B65+C65</f>
        <v>57685.008000000002</v>
      </c>
      <c r="N65" s="315" t="s">
        <v>107</v>
      </c>
      <c r="O65" s="315" t="s">
        <v>1492</v>
      </c>
      <c r="P65" s="315" t="s">
        <v>1493</v>
      </c>
      <c r="Q65" s="315" t="s">
        <v>1494</v>
      </c>
      <c r="R65" s="315" t="s">
        <v>1495</v>
      </c>
      <c r="S65" s="315" t="s">
        <v>1496</v>
      </c>
      <c r="T65" s="315" t="s">
        <v>1497</v>
      </c>
      <c r="U65" s="315" t="s">
        <v>1498</v>
      </c>
      <c r="V65" s="315" t="s">
        <v>1499</v>
      </c>
      <c r="W65" s="315" t="s">
        <v>1500</v>
      </c>
      <c r="X65" s="315" t="s">
        <v>1501</v>
      </c>
      <c r="Y65" s="315" t="s">
        <v>1502</v>
      </c>
      <c r="Z65" s="315" t="s">
        <v>1503</v>
      </c>
    </row>
    <row r="66" spans="1:26" x14ac:dyDescent="0.2">
      <c r="A66" s="18" t="s">
        <v>1337</v>
      </c>
      <c r="B66" s="319">
        <f>D45</f>
        <v>31935.24</v>
      </c>
      <c r="C66" s="319">
        <f>E45</f>
        <v>5748.3432000000003</v>
      </c>
      <c r="D66" s="319">
        <f t="shared" si="39"/>
        <v>37683.583200000001</v>
      </c>
      <c r="N66" s="326" t="s">
        <v>1508</v>
      </c>
      <c r="O66" s="293">
        <f>O67*O68</f>
        <v>558909</v>
      </c>
      <c r="P66" s="293">
        <f t="shared" ref="P66:Z66" si="40">P67*P68</f>
        <v>558909</v>
      </c>
      <c r="Q66" s="293">
        <f t="shared" si="40"/>
        <v>558909</v>
      </c>
      <c r="R66" s="293">
        <f t="shared" si="40"/>
        <v>558909</v>
      </c>
      <c r="S66" s="293">
        <f t="shared" si="40"/>
        <v>558909</v>
      </c>
      <c r="T66" s="293">
        <f t="shared" si="40"/>
        <v>558909</v>
      </c>
      <c r="U66" s="293">
        <f t="shared" si="40"/>
        <v>558909</v>
      </c>
      <c r="V66" s="293">
        <f t="shared" si="40"/>
        <v>558909</v>
      </c>
      <c r="W66" s="293">
        <f t="shared" si="40"/>
        <v>558909</v>
      </c>
      <c r="X66" s="293">
        <f t="shared" si="40"/>
        <v>558909</v>
      </c>
      <c r="Y66" s="293">
        <f t="shared" si="40"/>
        <v>558909</v>
      </c>
      <c r="Z66" s="293">
        <f t="shared" si="40"/>
        <v>558909</v>
      </c>
    </row>
    <row r="67" spans="1:26" x14ac:dyDescent="0.2">
      <c r="A67" s="18" t="s">
        <v>1338</v>
      </c>
      <c r="B67" s="319">
        <f>D59</f>
        <v>37979.300000000003</v>
      </c>
      <c r="C67" s="319">
        <f>E59</f>
        <v>6836.2740000000003</v>
      </c>
      <c r="D67" s="319">
        <f t="shared" si="39"/>
        <v>44815.574000000001</v>
      </c>
      <c r="N67" s="18" t="s">
        <v>1509</v>
      </c>
      <c r="O67" s="319">
        <f>4777*26</f>
        <v>124202</v>
      </c>
      <c r="P67" s="319">
        <f t="shared" ref="P67:Z67" si="41">4777*26</f>
        <v>124202</v>
      </c>
      <c r="Q67" s="319">
        <f t="shared" si="41"/>
        <v>124202</v>
      </c>
      <c r="R67" s="319">
        <f t="shared" si="41"/>
        <v>124202</v>
      </c>
      <c r="S67" s="319">
        <f t="shared" si="41"/>
        <v>124202</v>
      </c>
      <c r="T67" s="319">
        <f t="shared" si="41"/>
        <v>124202</v>
      </c>
      <c r="U67" s="319">
        <f t="shared" si="41"/>
        <v>124202</v>
      </c>
      <c r="V67" s="319">
        <f t="shared" si="41"/>
        <v>124202</v>
      </c>
      <c r="W67" s="319">
        <f t="shared" si="41"/>
        <v>124202</v>
      </c>
      <c r="X67" s="319">
        <f t="shared" si="41"/>
        <v>124202</v>
      </c>
      <c r="Y67" s="319">
        <f t="shared" si="41"/>
        <v>124202</v>
      </c>
      <c r="Z67" s="319">
        <f t="shared" si="41"/>
        <v>124202</v>
      </c>
    </row>
    <row r="68" spans="1:26" x14ac:dyDescent="0.2">
      <c r="A68" s="357" t="s">
        <v>1454</v>
      </c>
      <c r="B68" s="293">
        <f>SUM(B63:B67)</f>
        <v>524454.14</v>
      </c>
      <c r="C68" s="293">
        <f t="shared" ref="C68:D68" si="42">SUM(C63:C67)</f>
        <v>29277.745199999998</v>
      </c>
      <c r="D68" s="293">
        <f t="shared" si="42"/>
        <v>553731.88520000002</v>
      </c>
      <c r="N68" s="18" t="s">
        <v>170</v>
      </c>
      <c r="O68" s="310">
        <v>4.5</v>
      </c>
      <c r="P68" s="310">
        <v>4.5</v>
      </c>
      <c r="Q68" s="310">
        <v>4.5</v>
      </c>
      <c r="R68" s="310">
        <v>4.5</v>
      </c>
      <c r="S68" s="310">
        <v>4.5</v>
      </c>
      <c r="T68" s="310">
        <v>4.5</v>
      </c>
      <c r="U68" s="310">
        <v>4.5</v>
      </c>
      <c r="V68" s="310">
        <v>4.5</v>
      </c>
      <c r="W68" s="310">
        <v>4.5</v>
      </c>
      <c r="X68" s="310">
        <v>4.5</v>
      </c>
      <c r="Y68" s="310">
        <v>4.5</v>
      </c>
      <c r="Z68" s="310">
        <v>4.5</v>
      </c>
    </row>
    <row r="69" spans="1:26" x14ac:dyDescent="0.2">
      <c r="N69" s="326" t="s">
        <v>1510</v>
      </c>
      <c r="O69" s="293">
        <f>O70+O71+O72+O73+O74</f>
        <v>248998.83743026666</v>
      </c>
      <c r="P69" s="293">
        <f t="shared" ref="P69:Z69" si="43">P70+P71+P72+P73+P74</f>
        <v>248998.83743026666</v>
      </c>
      <c r="Q69" s="293">
        <f t="shared" si="43"/>
        <v>248998.83743026666</v>
      </c>
      <c r="R69" s="293">
        <f t="shared" si="43"/>
        <v>248998.83743026666</v>
      </c>
      <c r="S69" s="293">
        <f t="shared" si="43"/>
        <v>248998.83743026666</v>
      </c>
      <c r="T69" s="293">
        <f t="shared" si="43"/>
        <v>248998.83743026666</v>
      </c>
      <c r="U69" s="293">
        <f t="shared" si="43"/>
        <v>248998.83743026666</v>
      </c>
      <c r="V69" s="293">
        <f t="shared" si="43"/>
        <v>248998.83743026666</v>
      </c>
      <c r="W69" s="293">
        <f t="shared" si="43"/>
        <v>248998.83743026666</v>
      </c>
      <c r="X69" s="293">
        <f t="shared" si="43"/>
        <v>248998.83743026666</v>
      </c>
      <c r="Y69" s="293">
        <f t="shared" si="43"/>
        <v>248998.83743026666</v>
      </c>
      <c r="Z69" s="293">
        <f t="shared" si="43"/>
        <v>248998.83743026666</v>
      </c>
    </row>
    <row r="70" spans="1:26" x14ac:dyDescent="0.2">
      <c r="A70" s="401" t="s">
        <v>107</v>
      </c>
      <c r="B70" s="401" t="s">
        <v>1332</v>
      </c>
      <c r="C70" s="401" t="s">
        <v>1879</v>
      </c>
      <c r="D70" s="401" t="s">
        <v>1334</v>
      </c>
      <c r="E70" s="401" t="s">
        <v>1333</v>
      </c>
      <c r="F70" s="401" t="s">
        <v>1334</v>
      </c>
      <c r="N70" s="18" t="s">
        <v>1728</v>
      </c>
      <c r="O70" s="319">
        <f>('El Producto'!$AK$17*1194*26)+('El Producto'!$AK$32*1194*26)+('El Producto'!$AK$47*1194*26)+('El Producto'!$AK$62*1194*26)</f>
        <v>154403.18049</v>
      </c>
      <c r="P70" s="319">
        <f>('El Producto'!$AK$17*1194*26)+('El Producto'!$AK$32*1194*26)+('El Producto'!$AK$47*1194*26)+('El Producto'!$AK$62*1194*26)</f>
        <v>154403.18049</v>
      </c>
      <c r="Q70" s="319">
        <f>('El Producto'!$AK$17*1194*26)+('El Producto'!$AK$32*1194*26)+('El Producto'!$AK$47*1194*26)+('El Producto'!$AK$62*1194*26)</f>
        <v>154403.18049</v>
      </c>
      <c r="R70" s="319">
        <f>('El Producto'!$AK$17*1194*26)+('El Producto'!$AK$32*1194*26)+('El Producto'!$AK$47*1194*26)+('El Producto'!$AK$62*1194*26)</f>
        <v>154403.18049</v>
      </c>
      <c r="S70" s="319">
        <f>('El Producto'!$AK$17*1194*26)+('El Producto'!$AK$32*1194*26)+('El Producto'!$AK$47*1194*26)+('El Producto'!$AK$62*1194*26)</f>
        <v>154403.18049</v>
      </c>
      <c r="T70" s="319">
        <f>('El Producto'!$AK$17*1194*26)+('El Producto'!$AK$32*1194*26)+('El Producto'!$AK$47*1194*26)+('El Producto'!$AK$62*1194*26)</f>
        <v>154403.18049</v>
      </c>
      <c r="U70" s="319">
        <f>('El Producto'!$AK$17*1194*26)+('El Producto'!$AK$32*1194*26)+('El Producto'!$AK$47*1194*26)+('El Producto'!$AK$62*1194*26)</f>
        <v>154403.18049</v>
      </c>
      <c r="V70" s="319">
        <f>('El Producto'!$AK$17*1194*26)+('El Producto'!$AK$32*1194*26)+('El Producto'!$AK$47*1194*26)+('El Producto'!$AK$62*1194*26)</f>
        <v>154403.18049</v>
      </c>
      <c r="W70" s="319">
        <f>('El Producto'!$AK$17*1194*26)+('El Producto'!$AK$32*1194*26)+('El Producto'!$AK$47*1194*26)+('El Producto'!$AK$62*1194*26)</f>
        <v>154403.18049</v>
      </c>
      <c r="X70" s="319">
        <f>('El Producto'!$AK$17*1194*26)+('El Producto'!$AK$32*1194*26)+('El Producto'!$AK$47*1194*26)+('El Producto'!$AK$62*1194*26)</f>
        <v>154403.18049</v>
      </c>
      <c r="Y70" s="319">
        <f>('El Producto'!$AK$17*1194*26)+('El Producto'!$AK$32*1194*26)+('El Producto'!$AK$47*1194*26)+('El Producto'!$AK$62*1194*26)</f>
        <v>154403.18049</v>
      </c>
      <c r="Z70" s="319">
        <f>('El Producto'!$AK$17*1194*26)+('El Producto'!$AK$32*1194*26)+('El Producto'!$AK$47*1194*26)+('El Producto'!$AK$62*1194*26)</f>
        <v>154403.18049</v>
      </c>
    </row>
    <row r="71" spans="1:26" x14ac:dyDescent="0.2">
      <c r="A71" s="18" t="s">
        <v>1341</v>
      </c>
      <c r="B71" s="319">
        <v>939744</v>
      </c>
      <c r="C71" s="319">
        <v>0</v>
      </c>
      <c r="D71" s="319">
        <f>B71-C71</f>
        <v>939744</v>
      </c>
      <c r="E71" s="319">
        <f>D71*18%</f>
        <v>169153.91999999998</v>
      </c>
      <c r="F71" s="319">
        <f>D71+E71</f>
        <v>1108897.92</v>
      </c>
      <c r="N71" s="18" t="s">
        <v>1729</v>
      </c>
      <c r="O71" s="319">
        <f>('Estudio Organizacional'!$Y$157+'Estudio Organizacional'!$Y$159+'Estudio Organizacional'!$Y$160)/12</f>
        <v>26926.441666666669</v>
      </c>
      <c r="P71" s="319">
        <f>('Estudio Organizacional'!$Y$157+'Estudio Organizacional'!$Y$159+'Estudio Organizacional'!$Y$160)/12</f>
        <v>26926.441666666669</v>
      </c>
      <c r="Q71" s="319">
        <f>('Estudio Organizacional'!$Y$157+'Estudio Organizacional'!$Y$159+'Estudio Organizacional'!$Y$160)/12</f>
        <v>26926.441666666669</v>
      </c>
      <c r="R71" s="319">
        <f>('Estudio Organizacional'!$Y$157+'Estudio Organizacional'!$Y$159+'Estudio Organizacional'!$Y$160)/12</f>
        <v>26926.441666666669</v>
      </c>
      <c r="S71" s="319">
        <f>('Estudio Organizacional'!$Y$157+'Estudio Organizacional'!$Y$159+'Estudio Organizacional'!$Y$160)/12</f>
        <v>26926.441666666669</v>
      </c>
      <c r="T71" s="319">
        <f>('Estudio Organizacional'!$Y$157+'Estudio Organizacional'!$Y$159+'Estudio Organizacional'!$Y$160)/12</f>
        <v>26926.441666666669</v>
      </c>
      <c r="U71" s="319">
        <f>('Estudio Organizacional'!$Y$157+'Estudio Organizacional'!$Y$159+'Estudio Organizacional'!$Y$160)/12</f>
        <v>26926.441666666669</v>
      </c>
      <c r="V71" s="319">
        <f>('Estudio Organizacional'!$Y$157+'Estudio Organizacional'!$Y$159+'Estudio Organizacional'!$Y$160)/12</f>
        <v>26926.441666666669</v>
      </c>
      <c r="W71" s="319">
        <f>('Estudio Organizacional'!$Y$157+'Estudio Organizacional'!$Y$159+'Estudio Organizacional'!$Y$160)/12</f>
        <v>26926.441666666669</v>
      </c>
      <c r="X71" s="319">
        <f>('Estudio Organizacional'!$Y$157+'Estudio Organizacional'!$Y$159+'Estudio Organizacional'!$Y$160)/12</f>
        <v>26926.441666666669</v>
      </c>
      <c r="Y71" s="319">
        <f>('Estudio Organizacional'!$Y$157+'Estudio Organizacional'!$Y$159+'Estudio Organizacional'!$Y$160)/12</f>
        <v>26926.441666666669</v>
      </c>
      <c r="Z71" s="319">
        <f>('Estudio Organizacional'!$Y$157+'Estudio Organizacional'!$Y$159+'Estudio Organizacional'!$Y$160)/12</f>
        <v>26926.441666666669</v>
      </c>
    </row>
    <row r="72" spans="1:26" x14ac:dyDescent="0.2">
      <c r="A72" s="18" t="s">
        <v>1335</v>
      </c>
      <c r="B72" s="319">
        <v>149096</v>
      </c>
      <c r="C72" s="319">
        <v>74547</v>
      </c>
      <c r="D72" s="319">
        <f t="shared" ref="D72:D75" si="44">B72-C72</f>
        <v>74549</v>
      </c>
      <c r="E72" s="319">
        <f t="shared" ref="E72:E75" si="45">D72*18%</f>
        <v>13418.82</v>
      </c>
      <c r="F72" s="319">
        <f t="shared" ref="F72:F75" si="46">D72+E72</f>
        <v>87967.82</v>
      </c>
      <c r="N72" s="18" t="s">
        <v>1504</v>
      </c>
      <c r="O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  <c r="P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  <c r="Q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  <c r="R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  <c r="S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  <c r="T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  <c r="U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  <c r="V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  <c r="W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  <c r="X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  <c r="Y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  <c r="Z72" s="319">
        <f>(('Estudio Organizacional'!$Y$148+'Estudio Organizacional'!$Y$151+'Estudio Organizacional'!$Y$152+'Estudio Organizacional'!$Y$153)/12)+((('Estudio Organizacional'!$AG$160+'Estudio Organizacional'!$AG$161)*252)+'Estudio Organizacional'!$AF$160)+(Presupuesto!$Y$184/12)+'Estudio Organizacional'!$AF$149+('Estudio Organizacional'!$AF$156*4)+(Presupuesto!$H$190/12)+(Presupuesto!$H$191/12)</f>
        <v>21321.874977777778</v>
      </c>
    </row>
    <row r="73" spans="1:26" x14ac:dyDescent="0.2">
      <c r="A73" s="18" t="s">
        <v>1336</v>
      </c>
      <c r="B73" s="319">
        <v>48885.599999999999</v>
      </c>
      <c r="C73" s="319">
        <v>24443</v>
      </c>
      <c r="D73" s="319">
        <f t="shared" si="44"/>
        <v>24442.6</v>
      </c>
      <c r="E73" s="319">
        <f t="shared" si="45"/>
        <v>4399.6679999999997</v>
      </c>
      <c r="F73" s="319">
        <f t="shared" si="46"/>
        <v>28842.267999999996</v>
      </c>
      <c r="N73" s="18" t="s">
        <v>1505</v>
      </c>
      <c r="O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  <c r="P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  <c r="Q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  <c r="R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  <c r="S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  <c r="T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  <c r="U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  <c r="V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  <c r="W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  <c r="X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  <c r="Y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  <c r="Z73" s="319">
        <f>(('Estudio Organizacional'!$Y$145+'Estudio Organizacional'!$Y$146+'Estudio Organizacional'!$Y$154+'Estudio Organizacional'!$Y$155+'Estudio Organizacional'!$Y$161)/12)+(Presupuesto!$H$224/12)+(Presupuesto!$H$225/12)+(Presupuesto!$H$230/12)+(Presupuesto!$H$231/12)+(Presupuesto!$H$232/12)+((('Estudio Organizacional'!$AG$160+'Estudio Organizacional'!$AG$161)*297)+'Estudio Organizacional'!$AF$160)+(Presupuesto!$Y$196/12)+'Estudio Organizacional'!$AF$149+'Estudio Organizacional'!$AF$162+('Estudio Organizacional'!$AF$146*2*3)</f>
        <v>25447.173629155561</v>
      </c>
    </row>
    <row r="74" spans="1:26" x14ac:dyDescent="0.2">
      <c r="A74" s="18" t="s">
        <v>1337</v>
      </c>
      <c r="B74" s="319">
        <v>31935.24</v>
      </c>
      <c r="C74" s="319">
        <v>31935</v>
      </c>
      <c r="D74" s="319">
        <f t="shared" si="44"/>
        <v>0.24000000000160071</v>
      </c>
      <c r="E74" s="319">
        <f t="shared" si="45"/>
        <v>4.3200000000288126E-2</v>
      </c>
      <c r="F74" s="319">
        <f t="shared" si="46"/>
        <v>0.28320000000188883</v>
      </c>
      <c r="M74" s="176"/>
      <c r="N74" s="18" t="s">
        <v>1506</v>
      </c>
      <c r="O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  <c r="P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  <c r="Q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  <c r="R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  <c r="S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  <c r="T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  <c r="U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  <c r="V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  <c r="W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  <c r="X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  <c r="Y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  <c r="Z74" s="319">
        <f>('Estudio Organizacional'!$Y$147+'Estudio Organizacional'!$Y$149+'Estudio Organizacional'!$Y$150+'Estudio Organizacional'!$Y$156+'Estudio Organizacional'!$Y$158)/12+(Presupuesto!$B$267/12)+(Presupuesto!$B$268/12)+(Presupuesto!$B$269/12)+(Presupuesto!$B$270/12)</f>
        <v>20900.166666666664</v>
      </c>
    </row>
    <row r="75" spans="1:26" x14ac:dyDescent="0.2">
      <c r="A75" s="18" t="s">
        <v>1338</v>
      </c>
      <c r="B75" s="319">
        <v>37979.300000000003</v>
      </c>
      <c r="C75" s="319">
        <v>18990</v>
      </c>
      <c r="D75" s="319">
        <f t="shared" si="44"/>
        <v>18989.300000000003</v>
      </c>
      <c r="E75" s="319">
        <f t="shared" si="45"/>
        <v>3418.0740000000005</v>
      </c>
      <c r="F75" s="319">
        <f t="shared" si="46"/>
        <v>22407.374000000003</v>
      </c>
      <c r="N75" s="326" t="s">
        <v>10</v>
      </c>
      <c r="O75" s="293">
        <f>O66-O69</f>
        <v>309910.16256973334</v>
      </c>
      <c r="P75" s="293">
        <f t="shared" ref="P75:Z75" si="47">P66-P69</f>
        <v>309910.16256973334</v>
      </c>
      <c r="Q75" s="293">
        <f t="shared" si="47"/>
        <v>309910.16256973334</v>
      </c>
      <c r="R75" s="293">
        <f t="shared" si="47"/>
        <v>309910.16256973334</v>
      </c>
      <c r="S75" s="293">
        <f t="shared" si="47"/>
        <v>309910.16256973334</v>
      </c>
      <c r="T75" s="293">
        <f t="shared" si="47"/>
        <v>309910.16256973334</v>
      </c>
      <c r="U75" s="293">
        <f t="shared" si="47"/>
        <v>309910.16256973334</v>
      </c>
      <c r="V75" s="293">
        <f t="shared" si="47"/>
        <v>309910.16256973334</v>
      </c>
      <c r="W75" s="293">
        <f t="shared" si="47"/>
        <v>309910.16256973334</v>
      </c>
      <c r="X75" s="293">
        <f t="shared" si="47"/>
        <v>309910.16256973334</v>
      </c>
      <c r="Y75" s="293">
        <f t="shared" si="47"/>
        <v>309910.16256973334</v>
      </c>
      <c r="Z75" s="293">
        <f t="shared" si="47"/>
        <v>309910.16256973334</v>
      </c>
    </row>
    <row r="76" spans="1:26" x14ac:dyDescent="0.2">
      <c r="A76" s="401" t="s">
        <v>1454</v>
      </c>
      <c r="B76" s="293">
        <f>SUM(B71:B75)</f>
        <v>1207640.1400000001</v>
      </c>
      <c r="C76" s="293">
        <f>SUM(C71:C75)</f>
        <v>149915</v>
      </c>
      <c r="D76" s="293">
        <f>SUM(D71:D75)</f>
        <v>1057725.1399999999</v>
      </c>
      <c r="E76" s="293">
        <f>SUM(E71:E75)</f>
        <v>190390.5252</v>
      </c>
      <c r="F76" s="293">
        <f>SUM(F71:F75)</f>
        <v>1248115.6651999999</v>
      </c>
      <c r="N76" s="18" t="s">
        <v>1507</v>
      </c>
      <c r="O76" s="319">
        <f>Z61+O75</f>
        <v>4052357.5025347234</v>
      </c>
      <c r="P76" s="319">
        <f>O76+P75</f>
        <v>4362267.6651044562</v>
      </c>
      <c r="Q76" s="319">
        <f t="shared" ref="Q76:Z76" si="48">P76+Q75</f>
        <v>4672177.8276741896</v>
      </c>
      <c r="R76" s="319">
        <f t="shared" si="48"/>
        <v>4982087.9902439229</v>
      </c>
      <c r="S76" s="319">
        <f t="shared" si="48"/>
        <v>5291998.1528136563</v>
      </c>
      <c r="T76" s="319">
        <f t="shared" si="48"/>
        <v>5601908.3153833896</v>
      </c>
      <c r="U76" s="319">
        <f t="shared" si="48"/>
        <v>5911818.4779531229</v>
      </c>
      <c r="V76" s="319">
        <f t="shared" si="48"/>
        <v>6221728.6405228563</v>
      </c>
      <c r="W76" s="319">
        <f t="shared" si="48"/>
        <v>6531638.8030925896</v>
      </c>
      <c r="X76" s="319">
        <f t="shared" si="48"/>
        <v>6841548.9656623229</v>
      </c>
      <c r="Y76" s="319">
        <f t="shared" si="48"/>
        <v>7151459.1282320563</v>
      </c>
      <c r="Z76" s="319">
        <f t="shared" si="48"/>
        <v>7461369.2908017896</v>
      </c>
    </row>
    <row r="78" spans="1:26" x14ac:dyDescent="0.2">
      <c r="A78" s="401" t="s">
        <v>107</v>
      </c>
      <c r="B78" s="401" t="s">
        <v>1332</v>
      </c>
      <c r="C78" s="401" t="s">
        <v>1879</v>
      </c>
      <c r="D78" s="401" t="s">
        <v>1334</v>
      </c>
    </row>
    <row r="79" spans="1:26" x14ac:dyDescent="0.2">
      <c r="A79" s="325" t="s">
        <v>1455</v>
      </c>
      <c r="B79" s="181">
        <v>2944.72</v>
      </c>
      <c r="C79" s="181">
        <v>2945</v>
      </c>
      <c r="D79" s="319">
        <f>B79-C79</f>
        <v>-0.28000000000020009</v>
      </c>
    </row>
    <row r="80" spans="1:26" x14ac:dyDescent="0.2">
      <c r="A80" s="325" t="s">
        <v>1476</v>
      </c>
      <c r="B80" s="181">
        <v>18999.810000000001</v>
      </c>
      <c r="C80" s="181">
        <v>19000</v>
      </c>
      <c r="D80" s="319">
        <f t="shared" ref="D80:D81" si="49">B80-C80</f>
        <v>-0.18999999999869033</v>
      </c>
    </row>
    <row r="81" spans="1:4" x14ac:dyDescent="0.2">
      <c r="A81" s="325" t="s">
        <v>1486</v>
      </c>
      <c r="B81" s="181">
        <v>799</v>
      </c>
      <c r="C81" s="181">
        <v>799</v>
      </c>
      <c r="D81" s="319">
        <f t="shared" si="49"/>
        <v>0</v>
      </c>
    </row>
    <row r="82" spans="1:4" x14ac:dyDescent="0.2">
      <c r="A82" s="401" t="s">
        <v>10</v>
      </c>
      <c r="B82" s="293">
        <f>SUM(B79:B81)</f>
        <v>22743.530000000002</v>
      </c>
      <c r="C82" s="293">
        <f>SUM(C79:C81)</f>
        <v>22744</v>
      </c>
      <c r="D82" s="293">
        <f>SUM(D79:D81)</f>
        <v>-0.46999999999889042</v>
      </c>
    </row>
  </sheetData>
  <mergeCells count="10">
    <mergeCell ref="A59:C59"/>
    <mergeCell ref="J7:J13"/>
    <mergeCell ref="K7:K13"/>
    <mergeCell ref="I7:I13"/>
    <mergeCell ref="C1:E1"/>
    <mergeCell ref="AA11:AA13"/>
    <mergeCell ref="A10:E10"/>
    <mergeCell ref="A20:C20"/>
    <mergeCell ref="A36:C36"/>
    <mergeCell ref="A45:C45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51"/>
  <sheetViews>
    <sheetView topLeftCell="Q1" zoomScale="85" zoomScaleNormal="85" zoomScalePageLayoutView="85" workbookViewId="0">
      <selection activeCell="V37" sqref="V37"/>
    </sheetView>
  </sheetViews>
  <sheetFormatPr baseColWidth="10" defaultColWidth="10.85546875" defaultRowHeight="12.75" x14ac:dyDescent="0.2"/>
  <cols>
    <col min="1" max="1" width="10.85546875" style="9"/>
    <col min="2" max="2" width="22.85546875" style="9" bestFit="1" customWidth="1"/>
    <col min="3" max="3" width="10.42578125" style="9" bestFit="1" customWidth="1"/>
    <col min="4" max="4" width="21.28515625" style="9" bestFit="1" customWidth="1"/>
    <col min="5" max="5" width="11.42578125" style="9" bestFit="1" customWidth="1"/>
    <col min="6" max="6" width="22.28515625" style="9" bestFit="1" customWidth="1"/>
    <col min="7" max="9" width="10.85546875" style="9"/>
    <col min="10" max="10" width="19" style="9" bestFit="1" customWidth="1"/>
    <col min="11" max="11" width="25.28515625" style="9" bestFit="1" customWidth="1"/>
    <col min="12" max="15" width="25.28515625" style="9" customWidth="1"/>
    <col min="16" max="16" width="10.85546875" style="9"/>
    <col min="17" max="21" width="17.28515625" style="9" customWidth="1"/>
    <col min="22" max="22" width="21.42578125" style="9" customWidth="1"/>
    <col min="23" max="23" width="10.85546875" style="9"/>
    <col min="24" max="24" width="30.42578125" style="9" bestFit="1" customWidth="1"/>
    <col min="25" max="26" width="10.85546875" style="9"/>
    <col min="27" max="32" width="18.42578125" style="9" customWidth="1"/>
    <col min="33" max="33" width="20.7109375" style="9" bestFit="1" customWidth="1"/>
    <col min="34" max="35" width="18.42578125" style="9" customWidth="1"/>
    <col min="36" max="36" width="10.85546875" style="9"/>
    <col min="37" max="42" width="18.42578125" style="9" customWidth="1"/>
    <col min="43" max="43" width="21.28515625" style="9" bestFit="1" customWidth="1"/>
    <col min="44" max="45" width="18.42578125" style="9" customWidth="1"/>
    <col min="46" max="16384" width="10.85546875" style="9"/>
  </cols>
  <sheetData>
    <row r="1" spans="2:45" x14ac:dyDescent="0.2">
      <c r="B1" s="310" t="s">
        <v>1559</v>
      </c>
      <c r="C1" s="319">
        <f>'Inversión del Proyecto'!AD7</f>
        <v>553731.88520000002</v>
      </c>
      <c r="J1" s="176" t="s">
        <v>1563</v>
      </c>
      <c r="K1" s="176"/>
      <c r="X1" s="176" t="s">
        <v>1623</v>
      </c>
    </row>
    <row r="2" spans="2:45" x14ac:dyDescent="0.2">
      <c r="B2" s="310" t="s">
        <v>1560</v>
      </c>
      <c r="C2" s="319">
        <f>'Inversión del Proyecto'!AD8</f>
        <v>26837.365400000002</v>
      </c>
      <c r="J2" s="362" t="s">
        <v>1562</v>
      </c>
      <c r="K2" s="315" t="s">
        <v>1570</v>
      </c>
      <c r="L2" s="362" t="s">
        <v>1577</v>
      </c>
      <c r="M2" s="362" t="s">
        <v>1580</v>
      </c>
      <c r="N2" s="362" t="s">
        <v>1760</v>
      </c>
      <c r="Q2" s="510" t="s">
        <v>1588</v>
      </c>
      <c r="R2" s="510" t="s">
        <v>1590</v>
      </c>
      <c r="S2" s="510" t="s">
        <v>1591</v>
      </c>
      <c r="T2" s="510" t="s">
        <v>1592</v>
      </c>
      <c r="U2" s="510" t="s">
        <v>1593</v>
      </c>
      <c r="V2" s="510" t="s">
        <v>1594</v>
      </c>
      <c r="X2" s="315" t="s">
        <v>1595</v>
      </c>
      <c r="Y2" s="315" t="s">
        <v>1596</v>
      </c>
      <c r="AA2" s="653"/>
      <c r="AB2" s="653"/>
      <c r="AC2" s="416"/>
      <c r="AD2" s="416"/>
      <c r="AE2" s="416"/>
      <c r="AF2" s="416"/>
      <c r="AG2" s="416"/>
      <c r="AH2" s="416"/>
      <c r="AI2" s="416"/>
      <c r="AK2" s="649" t="s">
        <v>1627</v>
      </c>
      <c r="AL2" s="649"/>
      <c r="AM2" s="15"/>
      <c r="AN2" s="15"/>
      <c r="AO2" s="15"/>
      <c r="AP2" s="15"/>
      <c r="AQ2" s="15"/>
      <c r="AR2" s="15"/>
      <c r="AS2" s="15"/>
    </row>
    <row r="3" spans="2:45" x14ac:dyDescent="0.2">
      <c r="B3" s="310" t="s">
        <v>1551</v>
      </c>
      <c r="C3" s="319">
        <f>'Inversión del Proyecto'!AD9</f>
        <v>232580.02971103904</v>
      </c>
      <c r="D3" s="319">
        <f>C3*18%</f>
        <v>41864.405347987027</v>
      </c>
      <c r="E3" s="319">
        <f>C3+D3</f>
        <v>274444.43505902606</v>
      </c>
      <c r="J3" s="360" t="s">
        <v>1565</v>
      </c>
      <c r="K3" s="347">
        <v>300</v>
      </c>
      <c r="L3" s="347">
        <v>1500</v>
      </c>
      <c r="M3" s="347">
        <v>500</v>
      </c>
      <c r="N3" s="347">
        <v>80000</v>
      </c>
      <c r="Q3" s="510"/>
      <c r="R3" s="510"/>
      <c r="S3" s="510"/>
      <c r="T3" s="510"/>
      <c r="U3" s="510"/>
      <c r="V3" s="510"/>
      <c r="X3" s="310" t="s">
        <v>1599</v>
      </c>
      <c r="Y3" s="319">
        <f>G8</f>
        <v>267202.78706441564</v>
      </c>
      <c r="AA3" s="417"/>
      <c r="AB3" s="417"/>
      <c r="AC3" s="416"/>
      <c r="AD3" s="416"/>
      <c r="AE3" s="416"/>
      <c r="AF3" s="416"/>
      <c r="AG3" s="416"/>
      <c r="AH3" s="416"/>
      <c r="AI3" s="416"/>
      <c r="AK3" s="359" t="s">
        <v>1626</v>
      </c>
      <c r="AL3" s="359" t="s">
        <v>1570</v>
      </c>
      <c r="AM3" s="15"/>
      <c r="AN3" s="15"/>
      <c r="AO3" s="15"/>
      <c r="AP3" s="15"/>
      <c r="AQ3" s="15"/>
      <c r="AR3" s="15"/>
      <c r="AS3" s="15"/>
    </row>
    <row r="4" spans="2:45" x14ac:dyDescent="0.2">
      <c r="B4" s="315" t="s">
        <v>10</v>
      </c>
      <c r="C4" s="319">
        <f>SUM(C1:C3)</f>
        <v>813149.28031103907</v>
      </c>
      <c r="J4" s="360" t="s">
        <v>1564</v>
      </c>
      <c r="K4" s="347">
        <v>300000</v>
      </c>
      <c r="L4" s="347">
        <v>120000</v>
      </c>
      <c r="M4" s="347">
        <v>50000</v>
      </c>
      <c r="N4" s="347" t="s">
        <v>1761</v>
      </c>
      <c r="Q4" s="310" t="s">
        <v>1589</v>
      </c>
      <c r="R4" s="310">
        <v>36</v>
      </c>
      <c r="S4" s="310">
        <v>0.91</v>
      </c>
      <c r="T4" s="310">
        <v>0.74</v>
      </c>
      <c r="U4" s="331">
        <v>4.8399999999999999E-2</v>
      </c>
      <c r="V4" s="310">
        <v>0.78</v>
      </c>
      <c r="X4" s="310" t="s">
        <v>1600</v>
      </c>
      <c r="Y4" s="319">
        <f>G7</f>
        <v>545946.49324662343</v>
      </c>
      <c r="Z4" s="322">
        <v>500000</v>
      </c>
      <c r="AA4" s="417"/>
      <c r="AB4" s="418"/>
      <c r="AC4" s="416"/>
      <c r="AD4" s="416"/>
      <c r="AE4" s="416"/>
      <c r="AF4" s="416"/>
      <c r="AG4" s="416"/>
      <c r="AH4" s="416"/>
      <c r="AI4" s="416"/>
      <c r="AK4" s="359" t="s">
        <v>1624</v>
      </c>
      <c r="AL4" s="365">
        <f>E8</f>
        <v>174170.77518</v>
      </c>
      <c r="AM4" s="15"/>
      <c r="AN4" s="15"/>
      <c r="AO4" s="15"/>
      <c r="AP4" s="15"/>
      <c r="AQ4" s="15"/>
      <c r="AR4" s="15"/>
      <c r="AS4" s="15"/>
    </row>
    <row r="5" spans="2:45" x14ac:dyDescent="0.2">
      <c r="J5" s="360" t="s">
        <v>1566</v>
      </c>
      <c r="K5" s="359" t="s">
        <v>1567</v>
      </c>
      <c r="L5" s="359" t="s">
        <v>1567</v>
      </c>
      <c r="M5" s="359" t="s">
        <v>1583</v>
      </c>
      <c r="N5" s="359" t="s">
        <v>1762</v>
      </c>
      <c r="X5" s="310" t="s">
        <v>1620</v>
      </c>
      <c r="Y5" s="473">
        <f>K6</f>
        <v>0.15390000000000001</v>
      </c>
      <c r="Z5" s="322">
        <v>545946</v>
      </c>
      <c r="AA5" s="417"/>
      <c r="AB5" s="417"/>
      <c r="AC5" s="416"/>
      <c r="AD5" s="416"/>
      <c r="AE5" s="416"/>
      <c r="AF5" s="416"/>
      <c r="AG5" s="416"/>
      <c r="AH5" s="416"/>
      <c r="AI5" s="416"/>
      <c r="AK5" s="359" t="s">
        <v>1625</v>
      </c>
      <c r="AL5" s="359" t="s">
        <v>1567</v>
      </c>
      <c r="AM5" s="15"/>
      <c r="AN5" s="15"/>
      <c r="AO5" s="15"/>
      <c r="AP5" s="15"/>
      <c r="AQ5" s="15"/>
      <c r="AR5" s="15"/>
      <c r="AS5" s="15"/>
    </row>
    <row r="6" spans="2:45" x14ac:dyDescent="0.2">
      <c r="B6" s="315" t="s">
        <v>1553</v>
      </c>
      <c r="C6" s="315" t="s">
        <v>1555</v>
      </c>
      <c r="D6" s="315" t="s">
        <v>1556</v>
      </c>
      <c r="E6" s="315" t="s">
        <v>1557</v>
      </c>
      <c r="F6" s="315" t="s">
        <v>1558</v>
      </c>
      <c r="G6" s="315" t="s">
        <v>10</v>
      </c>
      <c r="H6" s="315" t="s">
        <v>1561</v>
      </c>
      <c r="J6" s="360" t="s">
        <v>1568</v>
      </c>
      <c r="K6" s="10">
        <v>0.15390000000000001</v>
      </c>
      <c r="L6" s="10">
        <v>0.21</v>
      </c>
      <c r="M6" s="10">
        <v>0.23719999999999999</v>
      </c>
      <c r="N6" s="10">
        <v>0.3</v>
      </c>
      <c r="Q6" s="362" t="s">
        <v>1595</v>
      </c>
      <c r="R6" s="362" t="s">
        <v>1596</v>
      </c>
      <c r="X6" s="310" t="s">
        <v>1601</v>
      </c>
      <c r="Y6" s="184">
        <v>0.29499999999999998</v>
      </c>
      <c r="Z6" s="322">
        <f>Z4+Z5</f>
        <v>1045946</v>
      </c>
      <c r="AA6" s="417"/>
      <c r="AB6" s="419"/>
      <c r="AC6" s="416"/>
      <c r="AD6" s="416"/>
      <c r="AE6" s="416"/>
      <c r="AF6" s="416"/>
      <c r="AG6" s="416"/>
      <c r="AH6" s="416"/>
      <c r="AI6" s="416"/>
      <c r="AK6" s="359" t="s">
        <v>1634</v>
      </c>
      <c r="AL6" s="10">
        <v>0.15390000000000001</v>
      </c>
      <c r="AM6" s="15"/>
      <c r="AN6" s="15"/>
      <c r="AO6" s="15"/>
      <c r="AP6" s="15"/>
      <c r="AQ6" s="15"/>
      <c r="AR6" s="15"/>
      <c r="AS6" s="15"/>
    </row>
    <row r="7" spans="2:45" ht="12.75" customHeight="1" x14ac:dyDescent="0.2">
      <c r="B7" s="18" t="s">
        <v>1554</v>
      </c>
      <c r="C7" s="172">
        <v>0.7</v>
      </c>
      <c r="D7" s="172">
        <v>0.6</v>
      </c>
      <c r="E7" s="319">
        <f>($C1+$C2)*C7</f>
        <v>406398.47541999997</v>
      </c>
      <c r="F7" s="319">
        <f>$C3*D7</f>
        <v>139548.01782662343</v>
      </c>
      <c r="G7" s="319">
        <f>E7+F7</f>
        <v>545946.49324662343</v>
      </c>
      <c r="H7" s="172">
        <f>G7/$G$9</f>
        <v>0.67139762214115539</v>
      </c>
      <c r="J7" s="491" t="s">
        <v>1575</v>
      </c>
      <c r="K7" s="559" t="s">
        <v>1571</v>
      </c>
      <c r="L7" s="559" t="s">
        <v>1576</v>
      </c>
      <c r="M7" s="559" t="s">
        <v>1581</v>
      </c>
      <c r="N7" s="559" t="s">
        <v>1763</v>
      </c>
      <c r="Q7" s="359" t="s">
        <v>1599</v>
      </c>
      <c r="R7" s="319">
        <f>G8</f>
        <v>267202.78706441564</v>
      </c>
      <c r="X7" s="310" t="s">
        <v>1621</v>
      </c>
      <c r="Y7" s="10">
        <f>U25</f>
        <v>0.13066063216112347</v>
      </c>
      <c r="AA7" s="262"/>
      <c r="AB7" s="420"/>
      <c r="AC7" s="416"/>
      <c r="AD7" s="416"/>
      <c r="AE7" s="416"/>
      <c r="AF7" s="416"/>
      <c r="AG7" s="416"/>
      <c r="AH7" s="416"/>
      <c r="AI7" s="416"/>
      <c r="AK7" s="360" t="s">
        <v>1636</v>
      </c>
      <c r="AL7" s="376">
        <v>5.0000000000000002E-5</v>
      </c>
      <c r="AM7" s="15"/>
      <c r="AN7" s="15"/>
      <c r="AO7" s="15"/>
      <c r="AP7" s="15"/>
      <c r="AQ7" s="15"/>
      <c r="AR7" s="15"/>
      <c r="AS7" s="15"/>
    </row>
    <row r="8" spans="2:45" x14ac:dyDescent="0.2">
      <c r="B8" s="18" t="s">
        <v>893</v>
      </c>
      <c r="C8" s="172">
        <v>0.3</v>
      </c>
      <c r="D8" s="172">
        <v>0.4</v>
      </c>
      <c r="E8" s="319">
        <f>($C1+$C2)*C8</f>
        <v>174170.77518</v>
      </c>
      <c r="F8" s="319">
        <f>$C3*D8</f>
        <v>93032.011884415624</v>
      </c>
      <c r="G8" s="319">
        <f>E8+F8</f>
        <v>267202.78706441564</v>
      </c>
      <c r="H8" s="172">
        <f>G8/$G$9</f>
        <v>0.32860237785884466</v>
      </c>
      <c r="J8" s="491"/>
      <c r="K8" s="560"/>
      <c r="L8" s="560"/>
      <c r="M8" s="560"/>
      <c r="N8" s="560"/>
      <c r="Q8" s="359" t="s">
        <v>1600</v>
      </c>
      <c r="R8" s="319">
        <v>1045946</v>
      </c>
      <c r="X8" s="204" t="s">
        <v>1622</v>
      </c>
      <c r="Y8" s="344">
        <f>((Y3/(Y3+Y4))*Y5*(1-Y6))+((Y4/(Y3+Y4))*Y7)</f>
        <v>0.12337843143693419</v>
      </c>
      <c r="AA8" s="262"/>
      <c r="AB8" s="420"/>
      <c r="AC8" s="416"/>
      <c r="AD8" s="416"/>
      <c r="AE8" s="416"/>
      <c r="AF8" s="416"/>
      <c r="AG8" s="416"/>
      <c r="AH8" s="416"/>
      <c r="AI8" s="416"/>
      <c r="AK8" s="360" t="s">
        <v>1638</v>
      </c>
      <c r="AL8" s="378">
        <v>3.1002999999999999E-2</v>
      </c>
      <c r="AM8" s="15"/>
      <c r="AN8" s="15"/>
      <c r="AO8" s="15"/>
      <c r="AP8" s="15"/>
      <c r="AQ8" s="15"/>
      <c r="AR8" s="15"/>
      <c r="AS8" s="15"/>
    </row>
    <row r="9" spans="2:45" x14ac:dyDescent="0.2">
      <c r="B9" s="650" t="s">
        <v>10</v>
      </c>
      <c r="C9" s="651"/>
      <c r="D9" s="652"/>
      <c r="E9" s="342">
        <f>SUM(E7:E8)</f>
        <v>580569.25059999991</v>
      </c>
      <c r="F9" s="342">
        <f>SUM(F7:F8)</f>
        <v>232580.02971103904</v>
      </c>
      <c r="G9" s="342">
        <f>SUM(G7:G8)</f>
        <v>813149.28031103907</v>
      </c>
      <c r="H9" s="346">
        <f>SUM(H7:H8)</f>
        <v>1</v>
      </c>
      <c r="J9" s="491"/>
      <c r="K9" s="560"/>
      <c r="L9" s="560"/>
      <c r="M9" s="560"/>
      <c r="N9" s="560"/>
      <c r="Q9" s="359" t="s">
        <v>1601</v>
      </c>
      <c r="R9" s="172">
        <v>0.3</v>
      </c>
      <c r="AA9" s="421"/>
      <c r="AB9" s="422"/>
      <c r="AC9" s="422"/>
      <c r="AD9" s="422"/>
      <c r="AE9" s="422"/>
      <c r="AF9" s="422"/>
      <c r="AG9" s="422"/>
      <c r="AH9" s="422"/>
      <c r="AI9" s="422"/>
      <c r="AK9" s="362" t="s">
        <v>1625</v>
      </c>
      <c r="AL9" s="366" t="s">
        <v>1628</v>
      </c>
      <c r="AM9" s="366" t="s">
        <v>1629</v>
      </c>
      <c r="AN9" s="366" t="s">
        <v>1630</v>
      </c>
      <c r="AO9" s="366" t="s">
        <v>1635</v>
      </c>
      <c r="AP9" s="366" t="s">
        <v>1636</v>
      </c>
      <c r="AQ9" s="366" t="s">
        <v>1638</v>
      </c>
      <c r="AR9" s="366" t="s">
        <v>1637</v>
      </c>
      <c r="AS9" s="366" t="s">
        <v>1631</v>
      </c>
    </row>
    <row r="10" spans="2:45" x14ac:dyDescent="0.2">
      <c r="J10" s="491"/>
      <c r="K10" s="560"/>
      <c r="L10" s="560"/>
      <c r="M10" s="560"/>
      <c r="N10" s="560"/>
      <c r="Q10" s="359" t="s">
        <v>1597</v>
      </c>
      <c r="R10" s="359">
        <v>0.78</v>
      </c>
      <c r="X10" s="176" t="s">
        <v>1551</v>
      </c>
      <c r="AA10" s="417"/>
      <c r="AB10" s="418"/>
      <c r="AC10" s="418"/>
      <c r="AD10" s="418"/>
      <c r="AE10" s="417"/>
      <c r="AF10" s="416"/>
      <c r="AG10" s="416"/>
      <c r="AH10" s="416"/>
      <c r="AI10" s="418"/>
      <c r="AK10" s="359">
        <v>0</v>
      </c>
      <c r="AL10" s="365"/>
      <c r="AM10" s="365"/>
      <c r="AN10" s="365"/>
      <c r="AO10" s="359"/>
      <c r="AP10" s="18"/>
      <c r="AQ10" s="18"/>
      <c r="AR10" s="18"/>
      <c r="AS10" s="365">
        <f>AL4</f>
        <v>174170.77518</v>
      </c>
    </row>
    <row r="11" spans="2:45" x14ac:dyDescent="0.2">
      <c r="J11" s="491"/>
      <c r="K11" s="560"/>
      <c r="L11" s="560"/>
      <c r="M11" s="560"/>
      <c r="N11" s="560"/>
      <c r="Q11" s="348" t="s">
        <v>1598</v>
      </c>
      <c r="R11" s="349">
        <f>R10*(1+(1-R9)*(R7/R8))</f>
        <v>0.9194839903180192</v>
      </c>
      <c r="X11" s="315" t="s">
        <v>1595</v>
      </c>
      <c r="Y11" s="315" t="s">
        <v>1596</v>
      </c>
      <c r="AA11" s="417"/>
      <c r="AB11" s="418"/>
      <c r="AC11" s="418"/>
      <c r="AD11" s="418"/>
      <c r="AE11" s="418"/>
      <c r="AF11" s="418"/>
      <c r="AG11" s="418"/>
      <c r="AH11" s="418"/>
      <c r="AI11" s="418"/>
      <c r="AK11" s="359">
        <v>1</v>
      </c>
      <c r="AL11" s="365">
        <f>AS10</f>
        <v>174170.77518</v>
      </c>
      <c r="AM11" s="365">
        <f>AL11*$AL$6</f>
        <v>26804.882300202</v>
      </c>
      <c r="AN11" s="365">
        <f>AO11-AM11</f>
        <v>25633.617699798</v>
      </c>
      <c r="AO11" s="365">
        <v>52438.5</v>
      </c>
      <c r="AP11" s="365">
        <f>$AL$4*$AL$7</f>
        <v>8.7085387589999996</v>
      </c>
      <c r="AQ11" s="365">
        <f>($AL$8*$AL$4)/12</f>
        <v>449.98471190879496</v>
      </c>
      <c r="AR11" s="365">
        <f>AO11+AP11+AQ11</f>
        <v>52897.193250667791</v>
      </c>
      <c r="AS11" s="365">
        <f>AS10-AN11</f>
        <v>148537.157480202</v>
      </c>
    </row>
    <row r="12" spans="2:45" x14ac:dyDescent="0.2">
      <c r="J12" s="491"/>
      <c r="K12" s="561"/>
      <c r="L12" s="561"/>
      <c r="M12" s="561"/>
      <c r="N12" s="561"/>
      <c r="X12" s="310" t="s">
        <v>1599</v>
      </c>
      <c r="Y12" s="319">
        <f>G8</f>
        <v>267202.78706441564</v>
      </c>
      <c r="AA12" s="417"/>
      <c r="AB12" s="418"/>
      <c r="AC12" s="418"/>
      <c r="AD12" s="418"/>
      <c r="AE12" s="418"/>
      <c r="AF12" s="418"/>
      <c r="AG12" s="418"/>
      <c r="AH12" s="418"/>
      <c r="AI12" s="418"/>
      <c r="AK12" s="359">
        <v>2</v>
      </c>
      <c r="AL12" s="365">
        <f>AS11</f>
        <v>148537.157480202</v>
      </c>
      <c r="AM12" s="365">
        <f t="shared" ref="AM12:AM15" si="0">AL12*$AL$6</f>
        <v>22859.868536203088</v>
      </c>
      <c r="AN12" s="365">
        <f>AO12-AM12</f>
        <v>29578.631463796912</v>
      </c>
      <c r="AO12" s="365">
        <f>AO11</f>
        <v>52438.5</v>
      </c>
      <c r="AP12" s="365">
        <f t="shared" ref="AP12:AP15" si="1">$AL$4*$AL$7</f>
        <v>8.7085387589999996</v>
      </c>
      <c r="AQ12" s="365">
        <f t="shared" ref="AQ12:AQ15" si="2">($AL$8*$AL$4)/12</f>
        <v>449.98471190879496</v>
      </c>
      <c r="AR12" s="365">
        <f t="shared" ref="AR12:AR15" si="3">AO12+AP12+AQ12</f>
        <v>52897.193250667791</v>
      </c>
      <c r="AS12" s="365">
        <f>AS11-AN12</f>
        <v>118958.52601640509</v>
      </c>
    </row>
    <row r="13" spans="2:45" x14ac:dyDescent="0.2">
      <c r="Q13" s="315" t="s">
        <v>1595</v>
      </c>
      <c r="R13" s="315" t="s">
        <v>1605</v>
      </c>
      <c r="S13" s="315" t="s">
        <v>1608</v>
      </c>
      <c r="X13" s="310" t="s">
        <v>1600</v>
      </c>
      <c r="Y13" s="319">
        <v>1045946</v>
      </c>
      <c r="AA13" s="417"/>
      <c r="AB13" s="418"/>
      <c r="AC13" s="418"/>
      <c r="AD13" s="418"/>
      <c r="AE13" s="418"/>
      <c r="AF13" s="418"/>
      <c r="AG13" s="418"/>
      <c r="AH13" s="418"/>
      <c r="AI13" s="418"/>
      <c r="AK13" s="359">
        <v>3</v>
      </c>
      <c r="AL13" s="365">
        <f>AS12</f>
        <v>118958.52601640509</v>
      </c>
      <c r="AM13" s="365">
        <f t="shared" si="0"/>
        <v>18307.717153924743</v>
      </c>
      <c r="AN13" s="365">
        <f>AO13-AM13</f>
        <v>34130.782846075257</v>
      </c>
      <c r="AO13" s="365">
        <f>AO12</f>
        <v>52438.5</v>
      </c>
      <c r="AP13" s="365">
        <f t="shared" si="1"/>
        <v>8.7085387589999996</v>
      </c>
      <c r="AQ13" s="365">
        <f t="shared" si="2"/>
        <v>449.98471190879496</v>
      </c>
      <c r="AR13" s="365">
        <f t="shared" si="3"/>
        <v>52897.193250667791</v>
      </c>
      <c r="AS13" s="365">
        <f>AS12-AN13</f>
        <v>84827.743170329835</v>
      </c>
    </row>
    <row r="14" spans="2:45" ht="12.75" customHeight="1" x14ac:dyDescent="0.2">
      <c r="F14" s="322"/>
      <c r="J14" s="9" t="s">
        <v>1572</v>
      </c>
      <c r="Q14" s="525" t="s">
        <v>1598</v>
      </c>
      <c r="R14" s="559" t="s">
        <v>1606</v>
      </c>
      <c r="S14" s="525" t="s">
        <v>1607</v>
      </c>
      <c r="T14" s="329">
        <v>0.98304346974166601</v>
      </c>
      <c r="X14" s="310" t="s">
        <v>1620</v>
      </c>
      <c r="Y14" s="473">
        <f>K25</f>
        <v>0.16769999999999999</v>
      </c>
      <c r="AA14" s="417"/>
      <c r="AB14" s="418"/>
      <c r="AC14" s="418"/>
      <c r="AD14" s="418"/>
      <c r="AE14" s="418"/>
      <c r="AF14" s="418"/>
      <c r="AG14" s="418"/>
      <c r="AH14" s="418"/>
      <c r="AI14" s="418"/>
      <c r="AK14" s="359">
        <v>4</v>
      </c>
      <c r="AL14" s="365">
        <f>AS13</f>
        <v>84827.743170329835</v>
      </c>
      <c r="AM14" s="365">
        <f t="shared" si="0"/>
        <v>13054.989673913762</v>
      </c>
      <c r="AN14" s="365">
        <f>AO14-AM14</f>
        <v>39383.510326086238</v>
      </c>
      <c r="AO14" s="365">
        <f>AO13</f>
        <v>52438.5</v>
      </c>
      <c r="AP14" s="365">
        <f t="shared" si="1"/>
        <v>8.7085387589999996</v>
      </c>
      <c r="AQ14" s="365">
        <f t="shared" si="2"/>
        <v>449.98471190879496</v>
      </c>
      <c r="AR14" s="365">
        <f t="shared" si="3"/>
        <v>52897.193250667791</v>
      </c>
      <c r="AS14" s="365">
        <f>AS13-AN14</f>
        <v>45444.232844243597</v>
      </c>
    </row>
    <row r="15" spans="2:45" x14ac:dyDescent="0.2">
      <c r="J15" s="9" t="s">
        <v>1579</v>
      </c>
      <c r="Q15" s="525"/>
      <c r="R15" s="561"/>
      <c r="S15" s="525"/>
      <c r="X15" s="310" t="s">
        <v>1601</v>
      </c>
      <c r="Y15" s="184">
        <v>0.29499999999999998</v>
      </c>
      <c r="AA15" s="417"/>
      <c r="AB15" s="418"/>
      <c r="AC15" s="418"/>
      <c r="AD15" s="418"/>
      <c r="AE15" s="418"/>
      <c r="AF15" s="418"/>
      <c r="AG15" s="418"/>
      <c r="AH15" s="418"/>
      <c r="AI15" s="418"/>
      <c r="AK15" s="359">
        <v>5</v>
      </c>
      <c r="AL15" s="365">
        <f>AS14</f>
        <v>45444.232844243597</v>
      </c>
      <c r="AM15" s="365">
        <f t="shared" si="0"/>
        <v>6993.8674347290898</v>
      </c>
      <c r="AN15" s="365">
        <f>AO15-AM15</f>
        <v>45444.632565270913</v>
      </c>
      <c r="AO15" s="365">
        <f>AO14</f>
        <v>52438.5</v>
      </c>
      <c r="AP15" s="365">
        <f t="shared" si="1"/>
        <v>8.7085387589999996</v>
      </c>
      <c r="AQ15" s="365">
        <f t="shared" si="2"/>
        <v>449.98471190879496</v>
      </c>
      <c r="AR15" s="365">
        <f t="shared" si="3"/>
        <v>52897.193250667791</v>
      </c>
      <c r="AS15" s="365">
        <f>AS14-AN15</f>
        <v>-0.39972102731553605</v>
      </c>
    </row>
    <row r="16" spans="2:45" ht="12.75" customHeight="1" x14ac:dyDescent="0.2">
      <c r="J16" s="9" t="s">
        <v>1584</v>
      </c>
      <c r="Q16" s="525" t="s">
        <v>1602</v>
      </c>
      <c r="R16" s="559" t="s">
        <v>1610</v>
      </c>
      <c r="S16" s="559" t="s">
        <v>1611</v>
      </c>
      <c r="T16" s="260">
        <v>1.77E-2</v>
      </c>
      <c r="X16" s="310" t="s">
        <v>1621</v>
      </c>
      <c r="Y16" s="10">
        <v>0.16769999999999999</v>
      </c>
      <c r="AA16" s="15"/>
      <c r="AB16" s="15"/>
      <c r="AC16" s="15"/>
      <c r="AD16" s="15"/>
      <c r="AE16" s="15"/>
      <c r="AF16" s="15"/>
      <c r="AG16" s="15"/>
      <c r="AH16" s="15"/>
      <c r="AI16" s="15"/>
    </row>
    <row r="17" spans="10:35" x14ac:dyDescent="0.2">
      <c r="J17" s="9" t="s">
        <v>1764</v>
      </c>
      <c r="Q17" s="525"/>
      <c r="R17" s="561"/>
      <c r="S17" s="561"/>
      <c r="X17" s="204" t="s">
        <v>1622</v>
      </c>
      <c r="Y17" s="344">
        <f>((Y12/(Y12+Y13))*Y14*(1-Y15))+((Y13/(Y12+Y13))*Y16)</f>
        <v>0.15763341591564156</v>
      </c>
      <c r="AA17" s="649" t="s">
        <v>1632</v>
      </c>
      <c r="AB17" s="649"/>
      <c r="AC17" s="15"/>
      <c r="AD17" s="15"/>
      <c r="AE17" s="15"/>
      <c r="AF17" s="15"/>
      <c r="AG17" s="15"/>
      <c r="AH17" s="15"/>
      <c r="AI17" s="15"/>
    </row>
    <row r="18" spans="10:35" ht="12.75" customHeight="1" x14ac:dyDescent="0.2">
      <c r="Q18" s="525" t="s">
        <v>1603</v>
      </c>
      <c r="R18" s="559" t="s">
        <v>1613</v>
      </c>
      <c r="S18" s="525" t="s">
        <v>1612</v>
      </c>
      <c r="T18" s="260">
        <v>0.125</v>
      </c>
      <c r="AA18" s="310" t="s">
        <v>1626</v>
      </c>
      <c r="AB18" s="310" t="s">
        <v>1570</v>
      </c>
      <c r="AC18" s="15"/>
      <c r="AD18" s="15"/>
      <c r="AE18" s="15"/>
      <c r="AF18" s="15"/>
      <c r="AG18" s="15"/>
      <c r="AH18" s="15"/>
      <c r="AI18" s="15"/>
    </row>
    <row r="19" spans="10:35" x14ac:dyDescent="0.2">
      <c r="Q19" s="525"/>
      <c r="R19" s="561"/>
      <c r="S19" s="525"/>
      <c r="Y19" s="344">
        <f>Y17</f>
        <v>0.15763341591564156</v>
      </c>
      <c r="AA19" s="310" t="s">
        <v>1624</v>
      </c>
      <c r="AB19" s="317">
        <f>F8</f>
        <v>93032.011884415624</v>
      </c>
      <c r="AC19" s="15"/>
      <c r="AD19" s="15"/>
      <c r="AE19" s="15"/>
      <c r="AF19" s="15"/>
      <c r="AG19" s="15"/>
      <c r="AH19" s="15"/>
      <c r="AI19" s="15"/>
    </row>
    <row r="20" spans="10:35" ht="12.75" customHeight="1" x14ac:dyDescent="0.2">
      <c r="J20" s="176" t="s">
        <v>1569</v>
      </c>
      <c r="K20" s="176"/>
      <c r="Q20" s="525" t="s">
        <v>1604</v>
      </c>
      <c r="R20" s="559" t="s">
        <v>1614</v>
      </c>
      <c r="S20" s="525" t="s">
        <v>1609</v>
      </c>
      <c r="T20" s="260">
        <v>1.43E-2</v>
      </c>
      <c r="Y20" s="260">
        <v>0.15060000000000001</v>
      </c>
      <c r="AA20" s="310" t="s">
        <v>1625</v>
      </c>
      <c r="AB20" s="310" t="s">
        <v>1573</v>
      </c>
      <c r="AC20" s="15"/>
      <c r="AD20" s="15"/>
      <c r="AE20" s="15"/>
      <c r="AF20" s="15"/>
      <c r="AG20" s="15"/>
      <c r="AH20" s="15"/>
      <c r="AI20" s="15"/>
    </row>
    <row r="21" spans="10:35" x14ac:dyDescent="0.2">
      <c r="J21" s="315" t="s">
        <v>1562</v>
      </c>
      <c r="K21" s="315" t="s">
        <v>1570</v>
      </c>
      <c r="L21" s="315" t="s">
        <v>1577</v>
      </c>
      <c r="M21" s="315" t="s">
        <v>1580</v>
      </c>
      <c r="N21" s="315" t="s">
        <v>1585</v>
      </c>
      <c r="Q21" s="525"/>
      <c r="R21" s="561"/>
      <c r="S21" s="525"/>
      <c r="AA21" s="310" t="s">
        <v>1633</v>
      </c>
      <c r="AB21" s="10">
        <f>(1+16.77%)^(1/12)-1</f>
        <v>1.3003486321556679E-2</v>
      </c>
      <c r="AC21" s="15"/>
      <c r="AD21" s="15"/>
      <c r="AE21" s="15"/>
      <c r="AF21" s="15"/>
      <c r="AG21" s="15"/>
      <c r="AH21" s="15"/>
      <c r="AI21" s="15"/>
    </row>
    <row r="22" spans="10:35" x14ac:dyDescent="0.2">
      <c r="J22" s="359" t="s">
        <v>1565</v>
      </c>
      <c r="K22" s="347">
        <v>300</v>
      </c>
      <c r="L22" s="347">
        <v>500</v>
      </c>
      <c r="M22" s="347">
        <v>500</v>
      </c>
      <c r="N22" s="347">
        <v>300</v>
      </c>
      <c r="AA22" s="311" t="s">
        <v>1636</v>
      </c>
      <c r="AB22" s="376">
        <v>5.0000000000000002E-5</v>
      </c>
      <c r="AC22" s="15"/>
      <c r="AD22" s="15"/>
      <c r="AE22" s="15"/>
      <c r="AF22" s="15"/>
      <c r="AG22" s="15"/>
      <c r="AH22" s="15"/>
      <c r="AI22" s="15"/>
    </row>
    <row r="23" spans="10:35" x14ac:dyDescent="0.2">
      <c r="J23" s="359" t="s">
        <v>1564</v>
      </c>
      <c r="K23" s="347">
        <v>150000</v>
      </c>
      <c r="L23" s="347">
        <v>90000</v>
      </c>
      <c r="M23" s="347">
        <v>50000</v>
      </c>
      <c r="N23" s="347">
        <v>300000</v>
      </c>
      <c r="Q23" s="527" t="s">
        <v>1615</v>
      </c>
      <c r="R23" s="510" t="s">
        <v>1616</v>
      </c>
      <c r="S23" s="510" t="s">
        <v>1617</v>
      </c>
      <c r="T23" s="510" t="s">
        <v>1618</v>
      </c>
      <c r="U23" s="510" t="s">
        <v>1619</v>
      </c>
      <c r="AA23" s="310" t="s">
        <v>1638</v>
      </c>
      <c r="AB23" s="379">
        <v>9.4909999999999994E-3</v>
      </c>
      <c r="AC23" s="15"/>
      <c r="AD23" s="15"/>
      <c r="AE23" s="15"/>
      <c r="AF23" s="15"/>
      <c r="AG23" s="15"/>
      <c r="AH23" s="15"/>
      <c r="AI23" s="15"/>
    </row>
    <row r="24" spans="10:35" ht="12.75" customHeight="1" x14ac:dyDescent="0.2">
      <c r="J24" s="359" t="s">
        <v>1566</v>
      </c>
      <c r="K24" s="310" t="s">
        <v>1573</v>
      </c>
      <c r="L24" s="310" t="s">
        <v>1573</v>
      </c>
      <c r="M24" s="310" t="s">
        <v>1573</v>
      </c>
      <c r="N24" s="310" t="s">
        <v>1573</v>
      </c>
      <c r="Q24" s="527"/>
      <c r="R24" s="510"/>
      <c r="S24" s="510"/>
      <c r="T24" s="510"/>
      <c r="U24" s="510"/>
      <c r="AA24" s="315" t="s">
        <v>1625</v>
      </c>
      <c r="AB24" s="321" t="s">
        <v>1628</v>
      </c>
      <c r="AC24" s="321" t="s">
        <v>1629</v>
      </c>
      <c r="AD24" s="321" t="s">
        <v>1630</v>
      </c>
      <c r="AE24" s="321" t="s">
        <v>1635</v>
      </c>
      <c r="AF24" s="321" t="s">
        <v>1636</v>
      </c>
      <c r="AG24" s="366" t="s">
        <v>1638</v>
      </c>
      <c r="AH24" s="321" t="s">
        <v>1637</v>
      </c>
      <c r="AI24" s="321" t="s">
        <v>1631</v>
      </c>
    </row>
    <row r="25" spans="10:35" x14ac:dyDescent="0.2">
      <c r="J25" s="359" t="s">
        <v>1568</v>
      </c>
      <c r="K25" s="10">
        <v>0.16769999999999999</v>
      </c>
      <c r="L25" s="10">
        <v>0.22</v>
      </c>
      <c r="M25" s="10">
        <v>0.23719999999999999</v>
      </c>
      <c r="N25" s="10">
        <v>0.25</v>
      </c>
      <c r="Q25" s="164">
        <f>R11</f>
        <v>0.9194839903180192</v>
      </c>
      <c r="R25" s="10">
        <f>T18</f>
        <v>0.125</v>
      </c>
      <c r="S25" s="10">
        <f>T16</f>
        <v>1.77E-2</v>
      </c>
      <c r="T25" s="10">
        <f>T20</f>
        <v>1.43E-2</v>
      </c>
      <c r="U25" s="344">
        <f>((R25-S25)*Q25)+S25+T25</f>
        <v>0.13066063216112347</v>
      </c>
      <c r="AA25" s="310">
        <v>0</v>
      </c>
      <c r="AB25" s="317"/>
      <c r="AC25" s="317"/>
      <c r="AD25" s="317"/>
      <c r="AE25" s="310"/>
      <c r="AF25" s="317"/>
      <c r="AG25" s="365"/>
      <c r="AH25" s="317"/>
      <c r="AI25" s="317">
        <f>AB23+AB19</f>
        <v>93032.021375415628</v>
      </c>
    </row>
    <row r="26" spans="10:35" ht="12.75" customHeight="1" x14ac:dyDescent="0.2">
      <c r="J26" s="491" t="s">
        <v>1575</v>
      </c>
      <c r="K26" s="559" t="s">
        <v>1571</v>
      </c>
      <c r="L26" s="559" t="s">
        <v>1576</v>
      </c>
      <c r="M26" s="559" t="s">
        <v>1581</v>
      </c>
      <c r="N26" s="559" t="s">
        <v>1586</v>
      </c>
      <c r="AA26" s="310">
        <v>1</v>
      </c>
      <c r="AB26" s="317">
        <f>AI25</f>
        <v>93032.021375415628</v>
      </c>
      <c r="AC26" s="317">
        <f t="shared" ref="AC26:AC43" si="4">AB26*$AB$21</f>
        <v>1209.7406174219857</v>
      </c>
      <c r="AD26" s="317">
        <f>AE26-AC26</f>
        <v>4224.2093825780139</v>
      </c>
      <c r="AE26" s="317">
        <v>5433.95</v>
      </c>
      <c r="AF26" s="316">
        <f t="shared" ref="AF26:AF43" si="5">$AB$19*AB$22</f>
        <v>4.6516005942207812</v>
      </c>
      <c r="AG26" s="316">
        <f>($AB$19*$AB$23)/12</f>
        <v>73.580568732915722</v>
      </c>
      <c r="AH26" s="316">
        <f>AE26+AF26+AG26</f>
        <v>5512.1821693271359</v>
      </c>
      <c r="AI26" s="317">
        <f>AI25-AD26</f>
        <v>88807.811992837611</v>
      </c>
    </row>
    <row r="27" spans="10:35" x14ac:dyDescent="0.2">
      <c r="J27" s="491"/>
      <c r="K27" s="560"/>
      <c r="L27" s="560"/>
      <c r="M27" s="560"/>
      <c r="N27" s="560"/>
      <c r="U27" s="260">
        <v>0.13070000000000001</v>
      </c>
      <c r="AA27" s="310">
        <v>2</v>
      </c>
      <c r="AB27" s="317">
        <f t="shared" ref="AB27:AB43" si="6">AI26</f>
        <v>88807.811992837611</v>
      </c>
      <c r="AC27" s="317">
        <f t="shared" si="4"/>
        <v>1154.811168496241</v>
      </c>
      <c r="AD27" s="317">
        <f t="shared" ref="AD27:AD43" si="7">AE27-AC27</f>
        <v>4279.1388315037584</v>
      </c>
      <c r="AE27" s="317">
        <f>AE26</f>
        <v>5433.95</v>
      </c>
      <c r="AF27" s="316">
        <f t="shared" si="5"/>
        <v>4.6516005942207812</v>
      </c>
      <c r="AG27" s="316">
        <f t="shared" ref="AG27:AG43" si="8">($AB$19*$AB$23)/12</f>
        <v>73.580568732915722</v>
      </c>
      <c r="AH27" s="316">
        <f t="shared" ref="AH27:AH43" si="9">AE27+AF27+AG27</f>
        <v>5512.1821693271359</v>
      </c>
      <c r="AI27" s="317">
        <f t="shared" ref="AI27:AI43" si="10">AI26-AD27</f>
        <v>84528.673161333849</v>
      </c>
    </row>
    <row r="28" spans="10:35" x14ac:dyDescent="0.2">
      <c r="J28" s="491"/>
      <c r="K28" s="560"/>
      <c r="L28" s="560"/>
      <c r="M28" s="560"/>
      <c r="N28" s="560"/>
      <c r="AA28" s="310">
        <v>3</v>
      </c>
      <c r="AB28" s="317">
        <f t="shared" si="6"/>
        <v>84528.673161333849</v>
      </c>
      <c r="AC28" s="317">
        <f t="shared" si="4"/>
        <v>1099.1674452327397</v>
      </c>
      <c r="AD28" s="317">
        <f t="shared" si="7"/>
        <v>4334.7825547672601</v>
      </c>
      <c r="AE28" s="317">
        <f t="shared" ref="AE28:AE43" si="11">AE27</f>
        <v>5433.95</v>
      </c>
      <c r="AF28" s="316">
        <f t="shared" si="5"/>
        <v>4.6516005942207812</v>
      </c>
      <c r="AG28" s="316">
        <f t="shared" si="8"/>
        <v>73.580568732915722</v>
      </c>
      <c r="AH28" s="316">
        <f t="shared" si="9"/>
        <v>5512.1821693271359</v>
      </c>
      <c r="AI28" s="317">
        <f t="shared" si="10"/>
        <v>80193.890606566594</v>
      </c>
    </row>
    <row r="29" spans="10:35" x14ac:dyDescent="0.2">
      <c r="J29" s="491"/>
      <c r="K29" s="560"/>
      <c r="L29" s="560"/>
      <c r="M29" s="560"/>
      <c r="N29" s="560"/>
      <c r="AA29" s="310">
        <v>4</v>
      </c>
      <c r="AB29" s="317">
        <f t="shared" si="6"/>
        <v>80193.890606566594</v>
      </c>
      <c r="AC29" s="317">
        <f t="shared" si="4"/>
        <v>1042.8001595749013</v>
      </c>
      <c r="AD29" s="317">
        <f t="shared" si="7"/>
        <v>4391.1498404250988</v>
      </c>
      <c r="AE29" s="317">
        <f t="shared" si="11"/>
        <v>5433.95</v>
      </c>
      <c r="AF29" s="316">
        <f t="shared" si="5"/>
        <v>4.6516005942207812</v>
      </c>
      <c r="AG29" s="316">
        <f t="shared" si="8"/>
        <v>73.580568732915722</v>
      </c>
      <c r="AH29" s="316">
        <f t="shared" si="9"/>
        <v>5512.1821693271359</v>
      </c>
      <c r="AI29" s="317">
        <f t="shared" si="10"/>
        <v>75802.740766141491</v>
      </c>
    </row>
    <row r="30" spans="10:35" x14ac:dyDescent="0.2">
      <c r="J30" s="491"/>
      <c r="K30" s="560"/>
      <c r="L30" s="560"/>
      <c r="M30" s="560"/>
      <c r="N30" s="560"/>
      <c r="AA30" s="310">
        <v>5</v>
      </c>
      <c r="AB30" s="317">
        <f t="shared" si="6"/>
        <v>75802.740766141491</v>
      </c>
      <c r="AC30" s="317">
        <f t="shared" si="4"/>
        <v>985.69990268902768</v>
      </c>
      <c r="AD30" s="317">
        <f t="shared" si="7"/>
        <v>4448.2500973109718</v>
      </c>
      <c r="AE30" s="317">
        <f t="shared" si="11"/>
        <v>5433.95</v>
      </c>
      <c r="AF30" s="316">
        <f t="shared" si="5"/>
        <v>4.6516005942207812</v>
      </c>
      <c r="AG30" s="316">
        <f t="shared" si="8"/>
        <v>73.580568732915722</v>
      </c>
      <c r="AH30" s="316">
        <f t="shared" si="9"/>
        <v>5512.1821693271359</v>
      </c>
      <c r="AI30" s="317">
        <f t="shared" si="10"/>
        <v>71354.49066883052</v>
      </c>
    </row>
    <row r="31" spans="10:35" x14ac:dyDescent="0.2">
      <c r="J31" s="491"/>
      <c r="K31" s="561"/>
      <c r="L31" s="561"/>
      <c r="M31" s="561"/>
      <c r="N31" s="561"/>
      <c r="AA31" s="310">
        <v>6</v>
      </c>
      <c r="AB31" s="317">
        <f t="shared" si="6"/>
        <v>71354.49066883052</v>
      </c>
      <c r="AC31" s="317">
        <f t="shared" si="4"/>
        <v>927.85714339378137</v>
      </c>
      <c r="AD31" s="317">
        <f t="shared" si="7"/>
        <v>4506.0928566062184</v>
      </c>
      <c r="AE31" s="317">
        <f t="shared" si="11"/>
        <v>5433.95</v>
      </c>
      <c r="AF31" s="316">
        <f t="shared" si="5"/>
        <v>4.6516005942207812</v>
      </c>
      <c r="AG31" s="316">
        <f t="shared" si="8"/>
        <v>73.580568732915722</v>
      </c>
      <c r="AH31" s="316">
        <f t="shared" si="9"/>
        <v>5512.1821693271359</v>
      </c>
      <c r="AI31" s="317">
        <f t="shared" si="10"/>
        <v>66848.397812224299</v>
      </c>
    </row>
    <row r="32" spans="10:35" x14ac:dyDescent="0.2">
      <c r="AA32" s="310">
        <v>7</v>
      </c>
      <c r="AB32" s="317">
        <f t="shared" si="6"/>
        <v>66848.397812224299</v>
      </c>
      <c r="AC32" s="317">
        <f t="shared" si="4"/>
        <v>869.26222656923812</v>
      </c>
      <c r="AD32" s="317">
        <f t="shared" si="7"/>
        <v>4564.6877734307618</v>
      </c>
      <c r="AE32" s="317">
        <f t="shared" si="11"/>
        <v>5433.95</v>
      </c>
      <c r="AF32" s="316">
        <f t="shared" si="5"/>
        <v>4.6516005942207812</v>
      </c>
      <c r="AG32" s="316">
        <f t="shared" si="8"/>
        <v>73.580568732915722</v>
      </c>
      <c r="AH32" s="316">
        <f t="shared" si="9"/>
        <v>5512.1821693271359</v>
      </c>
      <c r="AI32" s="317">
        <f t="shared" si="10"/>
        <v>62283.710038793535</v>
      </c>
    </row>
    <row r="33" spans="10:35" x14ac:dyDescent="0.2">
      <c r="J33" s="9" t="s">
        <v>1574</v>
      </c>
      <c r="AA33" s="310">
        <v>8</v>
      </c>
      <c r="AB33" s="317">
        <f t="shared" si="6"/>
        <v>62283.710038793535</v>
      </c>
      <c r="AC33" s="317">
        <f t="shared" si="4"/>
        <v>809.90537154525418</v>
      </c>
      <c r="AD33" s="317">
        <f t="shared" si="7"/>
        <v>4624.0446284547452</v>
      </c>
      <c r="AE33" s="317">
        <f t="shared" si="11"/>
        <v>5433.95</v>
      </c>
      <c r="AF33" s="316">
        <f t="shared" si="5"/>
        <v>4.6516005942207812</v>
      </c>
      <c r="AG33" s="316">
        <f t="shared" si="8"/>
        <v>73.580568732915722</v>
      </c>
      <c r="AH33" s="316">
        <f t="shared" si="9"/>
        <v>5512.1821693271359</v>
      </c>
      <c r="AI33" s="317">
        <f t="shared" si="10"/>
        <v>57659.665410338792</v>
      </c>
    </row>
    <row r="34" spans="10:35" x14ac:dyDescent="0.2">
      <c r="J34" s="9" t="s">
        <v>1578</v>
      </c>
      <c r="AA34" s="310">
        <v>9</v>
      </c>
      <c r="AB34" s="317">
        <f t="shared" si="6"/>
        <v>57659.665410338792</v>
      </c>
      <c r="AC34" s="317">
        <f t="shared" si="4"/>
        <v>749.7766704688753</v>
      </c>
      <c r="AD34" s="317">
        <f t="shared" si="7"/>
        <v>4684.1733295311242</v>
      </c>
      <c r="AE34" s="317">
        <f t="shared" si="11"/>
        <v>5433.95</v>
      </c>
      <c r="AF34" s="316">
        <f t="shared" si="5"/>
        <v>4.6516005942207812</v>
      </c>
      <c r="AG34" s="316">
        <f t="shared" si="8"/>
        <v>73.580568732915722</v>
      </c>
      <c r="AH34" s="316">
        <f t="shared" si="9"/>
        <v>5512.1821693271359</v>
      </c>
      <c r="AI34" s="317">
        <f t="shared" si="10"/>
        <v>52975.492080807671</v>
      </c>
    </row>
    <row r="35" spans="10:35" x14ac:dyDescent="0.2">
      <c r="J35" s="9" t="s">
        <v>1582</v>
      </c>
      <c r="AA35" s="310">
        <v>10</v>
      </c>
      <c r="AB35" s="317">
        <f t="shared" si="6"/>
        <v>52975.492080807671</v>
      </c>
      <c r="AC35" s="317">
        <f t="shared" si="4"/>
        <v>688.86608665051676</v>
      </c>
      <c r="AD35" s="317">
        <f t="shared" si="7"/>
        <v>4745.0839133494828</v>
      </c>
      <c r="AE35" s="317">
        <f t="shared" si="11"/>
        <v>5433.95</v>
      </c>
      <c r="AF35" s="316">
        <f t="shared" si="5"/>
        <v>4.6516005942207812</v>
      </c>
      <c r="AG35" s="316">
        <f t="shared" si="8"/>
        <v>73.580568732915722</v>
      </c>
      <c r="AH35" s="316">
        <f t="shared" si="9"/>
        <v>5512.1821693271359</v>
      </c>
      <c r="AI35" s="317">
        <f t="shared" si="10"/>
        <v>48230.40816745819</v>
      </c>
    </row>
    <row r="36" spans="10:35" x14ac:dyDescent="0.2">
      <c r="J36" s="9" t="s">
        <v>1587</v>
      </c>
      <c r="AA36" s="310">
        <v>11</v>
      </c>
      <c r="AB36" s="317">
        <f t="shared" si="6"/>
        <v>48230.40816745819</v>
      </c>
      <c r="AC36" s="317">
        <f t="shared" si="4"/>
        <v>627.16345288863806</v>
      </c>
      <c r="AD36" s="317">
        <f t="shared" si="7"/>
        <v>4806.7865471113619</v>
      </c>
      <c r="AE36" s="317">
        <f t="shared" si="11"/>
        <v>5433.95</v>
      </c>
      <c r="AF36" s="316">
        <f t="shared" si="5"/>
        <v>4.6516005942207812</v>
      </c>
      <c r="AG36" s="316">
        <f t="shared" si="8"/>
        <v>73.580568732915722</v>
      </c>
      <c r="AH36" s="316">
        <f t="shared" si="9"/>
        <v>5512.1821693271359</v>
      </c>
      <c r="AI36" s="317">
        <f t="shared" si="10"/>
        <v>43423.621620346828</v>
      </c>
    </row>
    <row r="37" spans="10:35" x14ac:dyDescent="0.2">
      <c r="AA37" s="310">
        <v>12</v>
      </c>
      <c r="AB37" s="317">
        <f t="shared" si="6"/>
        <v>43423.621620346828</v>
      </c>
      <c r="AC37" s="317">
        <f t="shared" si="4"/>
        <v>564.65846977263288</v>
      </c>
      <c r="AD37" s="317">
        <f t="shared" si="7"/>
        <v>4869.2915302273668</v>
      </c>
      <c r="AE37" s="317">
        <f t="shared" si="11"/>
        <v>5433.95</v>
      </c>
      <c r="AF37" s="316">
        <f t="shared" si="5"/>
        <v>4.6516005942207812</v>
      </c>
      <c r="AG37" s="316">
        <f t="shared" si="8"/>
        <v>73.580568732915722</v>
      </c>
      <c r="AH37" s="316">
        <f t="shared" si="9"/>
        <v>5512.1821693271359</v>
      </c>
      <c r="AI37" s="317">
        <f t="shared" si="10"/>
        <v>38554.33009011946</v>
      </c>
    </row>
    <row r="38" spans="10:35" x14ac:dyDescent="0.2">
      <c r="AA38" s="310">
        <v>13</v>
      </c>
      <c r="AB38" s="317">
        <f t="shared" si="6"/>
        <v>38554.33009011946</v>
      </c>
      <c r="AC38" s="317">
        <f t="shared" si="4"/>
        <v>501.34070396364945</v>
      </c>
      <c r="AD38" s="317">
        <f t="shared" si="7"/>
        <v>4932.6092960363503</v>
      </c>
      <c r="AE38" s="317">
        <f t="shared" si="11"/>
        <v>5433.95</v>
      </c>
      <c r="AF38" s="316">
        <f t="shared" si="5"/>
        <v>4.6516005942207812</v>
      </c>
      <c r="AG38" s="316">
        <f t="shared" si="8"/>
        <v>73.580568732915722</v>
      </c>
      <c r="AH38" s="316">
        <f t="shared" si="9"/>
        <v>5512.1821693271359</v>
      </c>
      <c r="AI38" s="317">
        <f t="shared" si="10"/>
        <v>33621.720794083107</v>
      </c>
    </row>
    <row r="39" spans="10:35" x14ac:dyDescent="0.2">
      <c r="AA39" s="310">
        <v>14</v>
      </c>
      <c r="AB39" s="317">
        <f t="shared" si="6"/>
        <v>33621.720794083107</v>
      </c>
      <c r="AC39" s="317">
        <f t="shared" si="4"/>
        <v>437.19958645305741</v>
      </c>
      <c r="AD39" s="317">
        <f t="shared" si="7"/>
        <v>4996.7504135469426</v>
      </c>
      <c r="AE39" s="317">
        <f t="shared" si="11"/>
        <v>5433.95</v>
      </c>
      <c r="AF39" s="316">
        <f t="shared" si="5"/>
        <v>4.6516005942207812</v>
      </c>
      <c r="AG39" s="316">
        <f t="shared" si="8"/>
        <v>73.580568732915722</v>
      </c>
      <c r="AH39" s="316">
        <f t="shared" si="9"/>
        <v>5512.1821693271359</v>
      </c>
      <c r="AI39" s="317">
        <f t="shared" si="10"/>
        <v>28624.970380536164</v>
      </c>
    </row>
    <row r="40" spans="10:35" x14ac:dyDescent="0.2">
      <c r="AA40" s="310">
        <v>15</v>
      </c>
      <c r="AB40" s="317">
        <f t="shared" si="6"/>
        <v>28624.970380536164</v>
      </c>
      <c r="AC40" s="317">
        <f t="shared" si="4"/>
        <v>372.22441079826712</v>
      </c>
      <c r="AD40" s="317">
        <f t="shared" si="7"/>
        <v>5061.7255892017329</v>
      </c>
      <c r="AE40" s="317">
        <f t="shared" si="11"/>
        <v>5433.95</v>
      </c>
      <c r="AF40" s="316">
        <f t="shared" si="5"/>
        <v>4.6516005942207812</v>
      </c>
      <c r="AG40" s="316">
        <f t="shared" si="8"/>
        <v>73.580568732915722</v>
      </c>
      <c r="AH40" s="316">
        <f t="shared" si="9"/>
        <v>5512.1821693271359</v>
      </c>
      <c r="AI40" s="317">
        <f t="shared" si="10"/>
        <v>23563.244791334429</v>
      </c>
    </row>
    <row r="41" spans="10:35" x14ac:dyDescent="0.2">
      <c r="AA41" s="310">
        <v>16</v>
      </c>
      <c r="AB41" s="317">
        <f t="shared" si="6"/>
        <v>23563.244791334429</v>
      </c>
      <c r="AC41" s="317">
        <f t="shared" si="4"/>
        <v>306.4043313356089</v>
      </c>
      <c r="AD41" s="317">
        <f t="shared" si="7"/>
        <v>5127.5456686643911</v>
      </c>
      <c r="AE41" s="317">
        <f t="shared" si="11"/>
        <v>5433.95</v>
      </c>
      <c r="AF41" s="316">
        <f t="shared" si="5"/>
        <v>4.6516005942207812</v>
      </c>
      <c r="AG41" s="316">
        <f t="shared" si="8"/>
        <v>73.580568732915722</v>
      </c>
      <c r="AH41" s="316">
        <f t="shared" si="9"/>
        <v>5512.1821693271359</v>
      </c>
      <c r="AI41" s="317">
        <f t="shared" si="10"/>
        <v>18435.699122670037</v>
      </c>
    </row>
    <row r="42" spans="10:35" x14ac:dyDescent="0.2">
      <c r="AA42" s="310">
        <v>17</v>
      </c>
      <c r="AB42" s="317">
        <f t="shared" si="6"/>
        <v>18435.699122670037</v>
      </c>
      <c r="AC42" s="317">
        <f t="shared" si="4"/>
        <v>239.72836136997429</v>
      </c>
      <c r="AD42" s="317">
        <f t="shared" si="7"/>
        <v>5194.2216386300252</v>
      </c>
      <c r="AE42" s="317">
        <f t="shared" si="11"/>
        <v>5433.95</v>
      </c>
      <c r="AF42" s="316">
        <f t="shared" si="5"/>
        <v>4.6516005942207812</v>
      </c>
      <c r="AG42" s="316">
        <f t="shared" si="8"/>
        <v>73.580568732915722</v>
      </c>
      <c r="AH42" s="316">
        <f t="shared" si="9"/>
        <v>5512.1821693271359</v>
      </c>
      <c r="AI42" s="317">
        <f t="shared" si="10"/>
        <v>13241.477484040013</v>
      </c>
    </row>
    <row r="43" spans="10:35" x14ac:dyDescent="0.2">
      <c r="AA43" s="310">
        <v>18</v>
      </c>
      <c r="AB43" s="317">
        <f t="shared" si="6"/>
        <v>13241.477484040013</v>
      </c>
      <c r="AC43" s="317">
        <f t="shared" si="4"/>
        <v>172.18537134091505</v>
      </c>
      <c r="AD43" s="317">
        <f t="shared" si="7"/>
        <v>5261.7646286590843</v>
      </c>
      <c r="AE43" s="317">
        <f t="shared" si="11"/>
        <v>5433.95</v>
      </c>
      <c r="AF43" s="316">
        <f t="shared" si="5"/>
        <v>4.6516005942207812</v>
      </c>
      <c r="AG43" s="316">
        <f t="shared" si="8"/>
        <v>73.580568732915722</v>
      </c>
      <c r="AH43" s="316">
        <f t="shared" si="9"/>
        <v>5512.1821693271359</v>
      </c>
      <c r="AI43" s="317">
        <f t="shared" si="10"/>
        <v>7979.7128553809289</v>
      </c>
    </row>
    <row r="45" spans="10:35" x14ac:dyDescent="0.2">
      <c r="AA45" s="176" t="s">
        <v>1639</v>
      </c>
    </row>
    <row r="46" spans="10:35" x14ac:dyDescent="0.2">
      <c r="AA46" s="315" t="s">
        <v>1625</v>
      </c>
      <c r="AB46" s="321" t="s">
        <v>1628</v>
      </c>
      <c r="AC46" s="321" t="s">
        <v>1629</v>
      </c>
      <c r="AD46" s="321" t="s">
        <v>1630</v>
      </c>
      <c r="AE46" s="321" t="s">
        <v>1637</v>
      </c>
      <c r="AF46" s="321" t="s">
        <v>1631</v>
      </c>
      <c r="AG46" s="377"/>
    </row>
    <row r="47" spans="10:35" x14ac:dyDescent="0.2">
      <c r="AA47" s="310">
        <v>1</v>
      </c>
      <c r="AB47" s="317">
        <f>SUM(AB26:AB37)+AL11</f>
        <v>999311.69888109493</v>
      </c>
      <c r="AC47" s="317">
        <f>SUM(AC26:AC37)+AM11</f>
        <v>37534.591014905833</v>
      </c>
      <c r="AD47" s="317">
        <f>AD11+SUM(AD26:AD37)+AN11</f>
        <v>80111.308985094161</v>
      </c>
      <c r="AE47" s="317">
        <f>AH11+SUM(AH26:AH37)+AR11</f>
        <v>119043.37928259341</v>
      </c>
      <c r="AF47" s="317">
        <f>AI11+SUM(AI26:AI37)+AS11</f>
        <v>919200.38989600085</v>
      </c>
      <c r="AG47" s="377"/>
    </row>
    <row r="48" spans="10:35" x14ac:dyDescent="0.2">
      <c r="AA48" s="310">
        <v>2</v>
      </c>
      <c r="AB48" s="317">
        <f>AB12+SUM(AB38:AB43)+AL12</f>
        <v>304578.60014298523</v>
      </c>
      <c r="AC48" s="317">
        <f>AC12+SUM(AC38:AC43)+AM12</f>
        <v>24888.95130146456</v>
      </c>
      <c r="AD48" s="317">
        <f>AD12+SUM(AD38:AD43)+AN12</f>
        <v>60153.248698535434</v>
      </c>
      <c r="AE48" s="317">
        <f>AH12+SUM(AH38:AH43)+AR12</f>
        <v>85970.286266630603</v>
      </c>
      <c r="AF48" s="317">
        <f>AI12+SUM(AI38:AI43)+AS12</f>
        <v>244425.35144444977</v>
      </c>
      <c r="AG48" s="377"/>
    </row>
    <row r="49" spans="27:33" x14ac:dyDescent="0.2">
      <c r="AA49" s="310">
        <v>3</v>
      </c>
      <c r="AB49" s="317">
        <f>AL13</f>
        <v>118958.52601640509</v>
      </c>
      <c r="AC49" s="317">
        <f>AC13+AM13</f>
        <v>18307.717153924743</v>
      </c>
      <c r="AD49" s="317">
        <f>AD13+AN13</f>
        <v>34130.782846075257</v>
      </c>
      <c r="AE49" s="317">
        <f>AH13+AR13</f>
        <v>52897.193250667791</v>
      </c>
      <c r="AF49" s="317">
        <f>AI13+AS13</f>
        <v>84827.743170329835</v>
      </c>
      <c r="AG49" s="377"/>
    </row>
    <row r="50" spans="27:33" x14ac:dyDescent="0.2">
      <c r="AA50" s="310">
        <v>4</v>
      </c>
      <c r="AB50" s="365">
        <f>AL14</f>
        <v>84827.743170329835</v>
      </c>
      <c r="AC50" s="317">
        <f>AC14+AM14</f>
        <v>13054.989673913762</v>
      </c>
      <c r="AD50" s="365">
        <f t="shared" ref="AD50:AD51" si="12">AD14+AN14</f>
        <v>39383.510326086238</v>
      </c>
      <c r="AE50" s="317">
        <f>AH14+AR14</f>
        <v>52897.193250667791</v>
      </c>
      <c r="AF50" s="317">
        <f>AI14+AS14</f>
        <v>45444.232844243597</v>
      </c>
      <c r="AG50" s="377"/>
    </row>
    <row r="51" spans="27:33" x14ac:dyDescent="0.2">
      <c r="AA51" s="310">
        <v>5</v>
      </c>
      <c r="AB51" s="365">
        <f>AL15</f>
        <v>45444.232844243597</v>
      </c>
      <c r="AC51" s="317">
        <f>AC15+AM15</f>
        <v>6993.8674347290898</v>
      </c>
      <c r="AD51" s="365">
        <f t="shared" si="12"/>
        <v>45444.632565270913</v>
      </c>
      <c r="AE51" s="317">
        <f>AH15+AR15</f>
        <v>52897.193250667791</v>
      </c>
      <c r="AF51" s="317">
        <f>AI15</f>
        <v>0</v>
      </c>
      <c r="AG51" s="377"/>
    </row>
  </sheetData>
  <mergeCells count="37">
    <mergeCell ref="T23:T24"/>
    <mergeCell ref="U23:U24"/>
    <mergeCell ref="AA2:AB2"/>
    <mergeCell ref="AA17:AB17"/>
    <mergeCell ref="R20:R21"/>
    <mergeCell ref="S20:S21"/>
    <mergeCell ref="V2:V3"/>
    <mergeCell ref="R18:R19"/>
    <mergeCell ref="S18:S19"/>
    <mergeCell ref="T2:T3"/>
    <mergeCell ref="U2:U3"/>
    <mergeCell ref="J26:J31"/>
    <mergeCell ref="K26:K31"/>
    <mergeCell ref="S14:S15"/>
    <mergeCell ref="S16:S17"/>
    <mergeCell ref="Q20:Q21"/>
    <mergeCell ref="L26:L31"/>
    <mergeCell ref="M26:M31"/>
    <mergeCell ref="N26:N31"/>
    <mergeCell ref="Q14:Q15"/>
    <mergeCell ref="R14:R15"/>
    <mergeCell ref="Q16:Q17"/>
    <mergeCell ref="R16:R17"/>
    <mergeCell ref="Q18:Q19"/>
    <mergeCell ref="Q23:Q24"/>
    <mergeCell ref="R23:R24"/>
    <mergeCell ref="S23:S24"/>
    <mergeCell ref="L7:L12"/>
    <mergeCell ref="AK2:AL2"/>
    <mergeCell ref="B9:D9"/>
    <mergeCell ref="J7:J12"/>
    <mergeCell ref="K7:K12"/>
    <mergeCell ref="N7:N12"/>
    <mergeCell ref="M7:M12"/>
    <mergeCell ref="Q2:Q3"/>
    <mergeCell ref="R2:R3"/>
    <mergeCell ref="S2:S3"/>
  </mergeCells>
  <hyperlinks>
    <hyperlink ref="S14" r:id="rId1"/>
    <hyperlink ref="S20" r:id="rId2"/>
    <hyperlink ref="S16" r:id="rId3"/>
    <hyperlink ref="S18" r:id="rId4"/>
    <hyperlink ref="J34" r:id="rId5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5"/>
  <sheetViews>
    <sheetView topLeftCell="B125" zoomScale="85" zoomScaleNormal="85" zoomScalePageLayoutView="85" workbookViewId="0">
      <selection activeCell="B154" sqref="B154:M154"/>
    </sheetView>
  </sheetViews>
  <sheetFormatPr baseColWidth="10" defaultColWidth="10.85546875" defaultRowHeight="12.75" x14ac:dyDescent="0.2"/>
  <cols>
    <col min="1" max="1" width="41.140625" style="9" bestFit="1" customWidth="1"/>
    <col min="2" max="2" width="20.85546875" style="9" bestFit="1" customWidth="1"/>
    <col min="3" max="3" width="12" style="9" bestFit="1" customWidth="1"/>
    <col min="4" max="7" width="10.85546875" style="9"/>
    <col min="8" max="8" width="15.140625" style="9" bestFit="1" customWidth="1"/>
    <col min="9" max="9" width="13.42578125" style="9" bestFit="1" customWidth="1"/>
    <col min="10" max="10" width="16.85546875" style="9" bestFit="1" customWidth="1"/>
    <col min="11" max="11" width="13.140625" style="9" bestFit="1" customWidth="1"/>
    <col min="12" max="14" width="10.85546875" style="9"/>
    <col min="15" max="15" width="38.42578125" style="9" bestFit="1" customWidth="1"/>
    <col min="16" max="18" width="11.42578125" style="9" customWidth="1"/>
    <col min="19" max="24" width="10.85546875" style="9"/>
    <col min="25" max="25" width="11.42578125" style="9" customWidth="1"/>
    <col min="26" max="16384" width="10.85546875" style="9"/>
  </cols>
  <sheetData>
    <row r="1" spans="1:21" x14ac:dyDescent="0.2">
      <c r="A1" s="368" t="s">
        <v>1726</v>
      </c>
    </row>
    <row r="3" spans="1:21" x14ac:dyDescent="0.2">
      <c r="A3" s="315" t="s">
        <v>107</v>
      </c>
      <c r="B3" s="315">
        <v>2017</v>
      </c>
      <c r="C3" s="315">
        <v>2018</v>
      </c>
      <c r="D3" s="315">
        <v>2019</v>
      </c>
      <c r="E3" s="315">
        <v>2020</v>
      </c>
      <c r="F3" s="315">
        <v>2021</v>
      </c>
    </row>
    <row r="4" spans="1:21" x14ac:dyDescent="0.2">
      <c r="A4" s="276" t="s">
        <v>1640</v>
      </c>
      <c r="B4" s="9">
        <v>4.5</v>
      </c>
      <c r="C4" s="9">
        <v>4.5</v>
      </c>
      <c r="D4" s="9">
        <v>4.5</v>
      </c>
      <c r="E4" s="9">
        <v>4.5</v>
      </c>
      <c r="F4" s="9">
        <v>4.5</v>
      </c>
      <c r="H4" s="9">
        <f>4.5+(3%*4.5)</f>
        <v>4.6349999999999998</v>
      </c>
    </row>
    <row r="5" spans="1:21" x14ac:dyDescent="0.2">
      <c r="A5" s="276" t="s">
        <v>1641</v>
      </c>
      <c r="B5" s="319">
        <v>241176</v>
      </c>
      <c r="C5" s="319">
        <v>443664</v>
      </c>
      <c r="D5" s="319">
        <v>714792</v>
      </c>
      <c r="E5" s="319">
        <v>1061424</v>
      </c>
      <c r="F5" s="319">
        <v>1490424</v>
      </c>
    </row>
    <row r="6" spans="1:21" x14ac:dyDescent="0.2">
      <c r="A6" s="203" t="s">
        <v>1642</v>
      </c>
      <c r="B6" s="293">
        <f>B4*B5</f>
        <v>1085292</v>
      </c>
      <c r="C6" s="293">
        <f t="shared" ref="C6:F6" si="0">C4*C5</f>
        <v>1996488</v>
      </c>
      <c r="D6" s="293">
        <f t="shared" si="0"/>
        <v>3216564</v>
      </c>
      <c r="E6" s="293">
        <f t="shared" si="0"/>
        <v>4776408</v>
      </c>
      <c r="F6" s="293">
        <f t="shared" si="0"/>
        <v>6706908</v>
      </c>
      <c r="H6" s="9">
        <v>12</v>
      </c>
      <c r="I6" s="9">
        <v>12</v>
      </c>
      <c r="J6" s="9">
        <v>12</v>
      </c>
      <c r="K6" s="9">
        <v>12</v>
      </c>
      <c r="L6" s="9">
        <v>12</v>
      </c>
    </row>
    <row r="7" spans="1:21" x14ac:dyDescent="0.2">
      <c r="A7" s="203" t="s">
        <v>1333</v>
      </c>
      <c r="B7" s="293">
        <f>B6*18%</f>
        <v>195352.56</v>
      </c>
      <c r="C7" s="293">
        <f t="shared" ref="C7:F7" si="1">C6*18%</f>
        <v>359367.83999999997</v>
      </c>
      <c r="D7" s="293">
        <f t="shared" si="1"/>
        <v>578981.52</v>
      </c>
      <c r="E7" s="293">
        <f t="shared" si="1"/>
        <v>859753.44</v>
      </c>
      <c r="F7" s="293">
        <f t="shared" si="1"/>
        <v>1207243.44</v>
      </c>
      <c r="H7" s="9">
        <v>26</v>
      </c>
      <c r="I7" s="9">
        <v>26</v>
      </c>
      <c r="J7" s="9">
        <v>26</v>
      </c>
      <c r="K7" s="9">
        <v>26</v>
      </c>
      <c r="L7" s="9">
        <v>26</v>
      </c>
    </row>
    <row r="8" spans="1:21" x14ac:dyDescent="0.2">
      <c r="A8" s="203" t="s">
        <v>1643</v>
      </c>
      <c r="B8" s="293">
        <f>B6-B7</f>
        <v>889939.44</v>
      </c>
      <c r="C8" s="293">
        <f t="shared" ref="C8:F8" si="2">C6-C7</f>
        <v>1637120.1600000001</v>
      </c>
      <c r="D8" s="293">
        <f t="shared" si="2"/>
        <v>2637582.48</v>
      </c>
      <c r="E8" s="293">
        <f t="shared" si="2"/>
        <v>3916654.56</v>
      </c>
      <c r="F8" s="293">
        <f t="shared" si="2"/>
        <v>5499664.5600000005</v>
      </c>
      <c r="H8" s="9">
        <v>773</v>
      </c>
      <c r="I8" s="9">
        <v>1422</v>
      </c>
      <c r="J8" s="9">
        <v>2291</v>
      </c>
      <c r="K8" s="9">
        <v>3402</v>
      </c>
      <c r="L8" s="9">
        <v>4777</v>
      </c>
    </row>
    <row r="10" spans="1:21" x14ac:dyDescent="0.2">
      <c r="A10" s="368" t="s">
        <v>1727</v>
      </c>
      <c r="H10" s="322">
        <f>H8*H7*H6</f>
        <v>241176</v>
      </c>
      <c r="I10" s="322">
        <f t="shared" ref="I10:L10" si="3">I8*I7*I6</f>
        <v>443664</v>
      </c>
      <c r="J10" s="322">
        <f t="shared" si="3"/>
        <v>714792</v>
      </c>
      <c r="K10" s="322">
        <f t="shared" si="3"/>
        <v>1061424</v>
      </c>
      <c r="L10" s="322">
        <f t="shared" si="3"/>
        <v>1490424</v>
      </c>
    </row>
    <row r="11" spans="1:21" x14ac:dyDescent="0.2">
      <c r="H11" s="322"/>
      <c r="I11" s="322"/>
      <c r="J11" s="322"/>
      <c r="K11" s="322"/>
      <c r="L11" s="322"/>
    </row>
    <row r="12" spans="1:21" x14ac:dyDescent="0.2">
      <c r="A12" s="368" t="s">
        <v>1728</v>
      </c>
      <c r="H12" s="322">
        <f>H10+(4%*H10)</f>
        <v>250823.04000000001</v>
      </c>
      <c r="I12" s="322">
        <f t="shared" ref="I12:L12" si="4">I10+(4%*I10)</f>
        <v>461410.56</v>
      </c>
      <c r="J12" s="322">
        <f t="shared" si="4"/>
        <v>743383.68</v>
      </c>
      <c r="K12" s="322">
        <f t="shared" si="4"/>
        <v>1103880.96</v>
      </c>
      <c r="L12" s="322">
        <f t="shared" si="4"/>
        <v>1550040.96</v>
      </c>
    </row>
    <row r="13" spans="1:21" x14ac:dyDescent="0.2">
      <c r="B13" s="293">
        <f>B38+B38*15%</f>
        <v>28701.663241001257</v>
      </c>
      <c r="E13" s="472"/>
      <c r="F13" s="472"/>
      <c r="G13" s="472"/>
    </row>
    <row r="14" spans="1:21" x14ac:dyDescent="0.2">
      <c r="A14" s="327" t="s">
        <v>1667</v>
      </c>
      <c r="O14" s="431">
        <v>0.15</v>
      </c>
    </row>
    <row r="15" spans="1:21" x14ac:dyDescent="0.2">
      <c r="A15" s="15"/>
      <c r="B15" s="315" t="s">
        <v>1492</v>
      </c>
      <c r="C15" s="315" t="s">
        <v>1493</v>
      </c>
      <c r="D15" s="315" t="s">
        <v>1494</v>
      </c>
      <c r="E15" s="315" t="s">
        <v>1495</v>
      </c>
      <c r="F15" s="315" t="s">
        <v>1496</v>
      </c>
      <c r="G15" s="315" t="s">
        <v>1497</v>
      </c>
      <c r="H15" s="315" t="s">
        <v>1498</v>
      </c>
      <c r="I15" s="315" t="s">
        <v>1499</v>
      </c>
      <c r="J15" s="315" t="s">
        <v>1500</v>
      </c>
      <c r="K15" s="315" t="s">
        <v>1501</v>
      </c>
      <c r="L15" s="315" t="s">
        <v>1502</v>
      </c>
      <c r="M15" s="315" t="s">
        <v>1503</v>
      </c>
    </row>
    <row r="16" spans="1:21" x14ac:dyDescent="0.2">
      <c r="A16" s="220" t="s">
        <v>1644</v>
      </c>
      <c r="B16" s="164">
        <v>0.125</v>
      </c>
      <c r="C16" s="164">
        <v>0.125</v>
      </c>
      <c r="D16" s="164">
        <v>0.125</v>
      </c>
      <c r="E16" s="164">
        <v>0.125</v>
      </c>
      <c r="F16" s="164">
        <v>0.125</v>
      </c>
      <c r="G16" s="164">
        <v>0.125</v>
      </c>
      <c r="H16" s="164">
        <v>0.125</v>
      </c>
      <c r="I16" s="164">
        <v>0.125</v>
      </c>
      <c r="J16" s="164">
        <v>0.125</v>
      </c>
      <c r="K16" s="164">
        <v>0.125</v>
      </c>
      <c r="L16" s="164">
        <v>0.125</v>
      </c>
      <c r="M16" s="164">
        <v>0.125</v>
      </c>
      <c r="O16" s="9">
        <f>B16+B16*$O$14</f>
        <v>0.14374999999999999</v>
      </c>
      <c r="P16" s="9">
        <f>C16+C16*$O$14</f>
        <v>0.14374999999999999</v>
      </c>
      <c r="Q16" s="9">
        <f t="shared" ref="Q16:U16" si="5">D16+D16*$O$14</f>
        <v>0.14374999999999999</v>
      </c>
      <c r="R16" s="9">
        <f t="shared" si="5"/>
        <v>0.14374999999999999</v>
      </c>
      <c r="S16" s="9">
        <f t="shared" si="5"/>
        <v>0.14374999999999999</v>
      </c>
      <c r="T16" s="9">
        <f t="shared" si="5"/>
        <v>0.14374999999999999</v>
      </c>
      <c r="U16" s="9">
        <f t="shared" si="5"/>
        <v>0.14374999999999999</v>
      </c>
    </row>
    <row r="17" spans="1:13" x14ac:dyDescent="0.2">
      <c r="A17" s="220" t="s">
        <v>1645</v>
      </c>
      <c r="B17" s="164">
        <v>0.38350000000000001</v>
      </c>
      <c r="C17" s="164">
        <v>0.38350000000000001</v>
      </c>
      <c r="D17" s="164">
        <v>0.38350000000000001</v>
      </c>
      <c r="E17" s="164">
        <v>0.38350000000000001</v>
      </c>
      <c r="F17" s="164">
        <v>0.38350000000000001</v>
      </c>
      <c r="G17" s="164">
        <v>0.38350000000000001</v>
      </c>
      <c r="H17" s="164">
        <v>0.38350000000000001</v>
      </c>
      <c r="I17" s="164">
        <v>0.38350000000000001</v>
      </c>
      <c r="J17" s="164">
        <v>0.38350000000000001</v>
      </c>
      <c r="K17" s="164">
        <v>0.38350000000000001</v>
      </c>
      <c r="L17" s="164">
        <v>0.38350000000000001</v>
      </c>
      <c r="M17" s="164">
        <v>0.38350000000000001</v>
      </c>
    </row>
    <row r="18" spans="1:13" x14ac:dyDescent="0.2">
      <c r="A18" s="220" t="s">
        <v>1646</v>
      </c>
      <c r="B18" s="310">
        <v>0.25</v>
      </c>
      <c r="C18" s="310">
        <v>0.25</v>
      </c>
      <c r="D18" s="310">
        <v>0.25</v>
      </c>
      <c r="E18" s="310">
        <v>0.25</v>
      </c>
      <c r="F18" s="310">
        <v>0.25</v>
      </c>
      <c r="G18" s="310">
        <v>0.25</v>
      </c>
      <c r="H18" s="310">
        <v>0.25</v>
      </c>
      <c r="I18" s="310">
        <v>0.25</v>
      </c>
      <c r="J18" s="310">
        <v>0.25</v>
      </c>
      <c r="K18" s="310">
        <v>0.25</v>
      </c>
      <c r="L18" s="310">
        <v>0.25</v>
      </c>
      <c r="M18" s="310">
        <v>0.25</v>
      </c>
    </row>
    <row r="19" spans="1:13" x14ac:dyDescent="0.2">
      <c r="A19" s="220" t="s">
        <v>1647</v>
      </c>
      <c r="B19" s="164">
        <f>('El Producto'!$AK$9+'El Producto'!$AK$24+'El Producto'!$AK$39+'El Producto'!$AK$54)/4</f>
        <v>0.12805527638190956</v>
      </c>
      <c r="C19" s="164">
        <f>('El Producto'!$AK$9+'El Producto'!$AK$24+'El Producto'!$AK$39+'El Producto'!$AK$54)/4</f>
        <v>0.12805527638190956</v>
      </c>
      <c r="D19" s="164">
        <f>('El Producto'!$AK$9+'El Producto'!$AK$24+'El Producto'!$AK$39+'El Producto'!$AK$54)/4</f>
        <v>0.12805527638190956</v>
      </c>
      <c r="E19" s="164">
        <f>('El Producto'!$AK$9+'El Producto'!$AK$24+'El Producto'!$AK$39+'El Producto'!$AK$54)/4</f>
        <v>0.12805527638190956</v>
      </c>
      <c r="F19" s="164">
        <f>('El Producto'!$AK$9+'El Producto'!$AK$24+'El Producto'!$AK$39+'El Producto'!$AK$54)/4</f>
        <v>0.12805527638190956</v>
      </c>
      <c r="G19" s="164">
        <f>('El Producto'!$AK$9+'El Producto'!$AK$24+'El Producto'!$AK$39+'El Producto'!$AK$54)/4</f>
        <v>0.12805527638190956</v>
      </c>
      <c r="H19" s="164">
        <f>('El Producto'!$AK$9+'El Producto'!$AK$24+'El Producto'!$AK$39+'El Producto'!$AK$54)/4</f>
        <v>0.12805527638190956</v>
      </c>
      <c r="I19" s="164">
        <f>('El Producto'!$AK$9+'El Producto'!$AK$24+'El Producto'!$AK$39+'El Producto'!$AK$54)/4</f>
        <v>0.12805527638190956</v>
      </c>
      <c r="J19" s="164">
        <f>('El Producto'!$AK$9+'El Producto'!$AK$24+'El Producto'!$AK$39+'El Producto'!$AK$54)/4</f>
        <v>0.12805527638190956</v>
      </c>
      <c r="K19" s="164">
        <f>('El Producto'!$AK$9+'El Producto'!$AK$24+'El Producto'!$AK$39+'El Producto'!$AK$54)/4</f>
        <v>0.12805527638190956</v>
      </c>
      <c r="L19" s="164">
        <f>('El Producto'!$AK$9+'El Producto'!$AK$24+'El Producto'!$AK$39+'El Producto'!$AK$54)/4</f>
        <v>0.12805527638190956</v>
      </c>
      <c r="M19" s="164">
        <f>('El Producto'!$AK$9+'El Producto'!$AK$24+'El Producto'!$AK$39+'El Producto'!$AK$54)/4</f>
        <v>0.12805527638190956</v>
      </c>
    </row>
    <row r="20" spans="1:13" x14ac:dyDescent="0.2">
      <c r="A20" s="220" t="s">
        <v>1648</v>
      </c>
      <c r="B20" s="164">
        <v>0.37989949748743712</v>
      </c>
      <c r="C20" s="164">
        <v>0.37989949748743712</v>
      </c>
      <c r="D20" s="164">
        <v>0.37989949748743712</v>
      </c>
      <c r="E20" s="164">
        <v>0.37989949748743712</v>
      </c>
      <c r="F20" s="164">
        <v>0.37989949748743712</v>
      </c>
      <c r="G20" s="164">
        <v>0.37989949748743712</v>
      </c>
      <c r="H20" s="164">
        <v>0.37989949748743712</v>
      </c>
      <c r="I20" s="164">
        <v>0.37989949748743712</v>
      </c>
      <c r="J20" s="164">
        <v>0.37989949748743712</v>
      </c>
      <c r="K20" s="164">
        <v>0.37989949748743712</v>
      </c>
      <c r="L20" s="164">
        <v>0.37989949748743712</v>
      </c>
      <c r="M20" s="164">
        <v>0.37989949748743712</v>
      </c>
    </row>
    <row r="21" spans="1:13" x14ac:dyDescent="0.2">
      <c r="A21" s="220" t="s">
        <v>1649</v>
      </c>
      <c r="B21" s="164">
        <v>0.2823785594639866</v>
      </c>
      <c r="C21" s="164">
        <v>0.2823785594639866</v>
      </c>
      <c r="D21" s="164">
        <v>0.2823785594639866</v>
      </c>
      <c r="E21" s="164">
        <v>0.2823785594639866</v>
      </c>
      <c r="F21" s="164">
        <v>0.2823785594639866</v>
      </c>
      <c r="G21" s="164">
        <v>0.2823785594639866</v>
      </c>
      <c r="H21" s="164">
        <v>0.2823785594639866</v>
      </c>
      <c r="I21" s="164">
        <v>0.2823785594639866</v>
      </c>
      <c r="J21" s="164">
        <v>0.2823785594639866</v>
      </c>
      <c r="K21" s="164">
        <v>0.2823785594639866</v>
      </c>
      <c r="L21" s="164">
        <v>0.2823785594639866</v>
      </c>
      <c r="M21" s="164">
        <v>0.2823785594639866</v>
      </c>
    </row>
    <row r="22" spans="1:13" x14ac:dyDescent="0.2">
      <c r="A22" s="220" t="s">
        <v>1650</v>
      </c>
      <c r="B22" s="164">
        <v>0.14147403685092128</v>
      </c>
      <c r="C22" s="164">
        <v>0.14147403685092128</v>
      </c>
      <c r="D22" s="164">
        <v>0.14147403685092128</v>
      </c>
      <c r="E22" s="164">
        <v>0.14147403685092128</v>
      </c>
      <c r="F22" s="164">
        <v>0.14147403685092128</v>
      </c>
      <c r="G22" s="164">
        <v>0.14147403685092128</v>
      </c>
      <c r="H22" s="164">
        <v>0.14147403685092128</v>
      </c>
      <c r="I22" s="164">
        <v>0.14147403685092128</v>
      </c>
      <c r="J22" s="164">
        <v>0.14147403685092128</v>
      </c>
      <c r="K22" s="164">
        <v>0.14147403685092128</v>
      </c>
      <c r="L22" s="164">
        <v>0.14147403685092128</v>
      </c>
      <c r="M22" s="164">
        <v>0.14147403685092128</v>
      </c>
    </row>
    <row r="23" spans="1:13" x14ac:dyDescent="0.2">
      <c r="A23" s="220" t="s">
        <v>1651</v>
      </c>
      <c r="B23" s="164">
        <v>0.12863819095477388</v>
      </c>
      <c r="C23" s="164">
        <v>0.12863819095477388</v>
      </c>
      <c r="D23" s="164">
        <v>0.12863819095477388</v>
      </c>
      <c r="E23" s="164">
        <v>0.12863819095477388</v>
      </c>
      <c r="F23" s="164">
        <v>0.12863819095477388</v>
      </c>
      <c r="G23" s="164">
        <v>0.12863819095477388</v>
      </c>
      <c r="H23" s="164">
        <v>0.12863819095477388</v>
      </c>
      <c r="I23" s="164">
        <v>0.12863819095477388</v>
      </c>
      <c r="J23" s="164">
        <v>0.12863819095477388</v>
      </c>
      <c r="K23" s="164">
        <v>0.12863819095477388</v>
      </c>
      <c r="L23" s="164">
        <v>0.12863819095477388</v>
      </c>
      <c r="M23" s="164">
        <v>0.12863819095477388</v>
      </c>
    </row>
    <row r="24" spans="1:13" x14ac:dyDescent="0.2">
      <c r="A24" s="220" t="s">
        <v>1652</v>
      </c>
      <c r="B24" s="164">
        <f>('El Producto'!$AK$11+'El Producto'!$AK$26+'El Producto'!$AK$41+'El Producto'!$AK$56)/4</f>
        <v>4.3786641541038521E-2</v>
      </c>
      <c r="C24" s="164">
        <f>('El Producto'!$AK$11+'El Producto'!$AK$26+'El Producto'!$AK$41+'El Producto'!$AK$56)/4</f>
        <v>4.3786641541038521E-2</v>
      </c>
      <c r="D24" s="164">
        <f>('El Producto'!$AK$11+'El Producto'!$AK$26+'El Producto'!$AK$41+'El Producto'!$AK$56)/4</f>
        <v>4.3786641541038521E-2</v>
      </c>
      <c r="E24" s="164">
        <f>('El Producto'!$AK$11+'El Producto'!$AK$26+'El Producto'!$AK$41+'El Producto'!$AK$56)/4</f>
        <v>4.3786641541038521E-2</v>
      </c>
      <c r="F24" s="164">
        <f>('El Producto'!$AK$11+'El Producto'!$AK$26+'El Producto'!$AK$41+'El Producto'!$AK$56)/4</f>
        <v>4.3786641541038521E-2</v>
      </c>
      <c r="G24" s="164">
        <f>('El Producto'!$AK$11+'El Producto'!$AK$26+'El Producto'!$AK$41+'El Producto'!$AK$56)/4</f>
        <v>4.3786641541038521E-2</v>
      </c>
      <c r="H24" s="164">
        <f>('El Producto'!$AK$11+'El Producto'!$AK$26+'El Producto'!$AK$41+'El Producto'!$AK$56)/4</f>
        <v>4.3786641541038521E-2</v>
      </c>
      <c r="I24" s="164">
        <f>('El Producto'!$AK$11+'El Producto'!$AK$26+'El Producto'!$AK$41+'El Producto'!$AK$56)/4</f>
        <v>4.3786641541038521E-2</v>
      </c>
      <c r="J24" s="164">
        <f>('El Producto'!$AK$11+'El Producto'!$AK$26+'El Producto'!$AK$41+'El Producto'!$AK$56)/4</f>
        <v>4.3786641541038521E-2</v>
      </c>
      <c r="K24" s="164">
        <f>('El Producto'!$AK$11+'El Producto'!$AK$26+'El Producto'!$AK$41+'El Producto'!$AK$56)/4</f>
        <v>4.3786641541038521E-2</v>
      </c>
      <c r="L24" s="164">
        <f>('El Producto'!$AK$11+'El Producto'!$AK$26+'El Producto'!$AK$41+'El Producto'!$AK$56)/4</f>
        <v>4.3786641541038521E-2</v>
      </c>
      <c r="M24" s="164">
        <f>('El Producto'!$AK$11+'El Producto'!$AK$26+'El Producto'!$AK$41+'El Producto'!$AK$56)/4</f>
        <v>4.3786641541038521E-2</v>
      </c>
    </row>
    <row r="25" spans="1:13" x14ac:dyDescent="0.2">
      <c r="A25" s="220" t="s">
        <v>1653</v>
      </c>
      <c r="B25" s="164">
        <f>('El Producto'!$AK$12+'El Producto'!$AK$27+'El Producto'!$AK$42+'El Producto'!$AK$57)/4</f>
        <v>1.5637170226130651E-2</v>
      </c>
      <c r="C25" s="164">
        <f>('El Producto'!$AK$12+'El Producto'!$AK$27+'El Producto'!$AK$42+'El Producto'!$AK$57)/4</f>
        <v>1.5637170226130651E-2</v>
      </c>
      <c r="D25" s="164">
        <f>('El Producto'!$AK$12+'El Producto'!$AK$27+'El Producto'!$AK$42+'El Producto'!$AK$57)/4</f>
        <v>1.5637170226130651E-2</v>
      </c>
      <c r="E25" s="164">
        <f>('El Producto'!$AK$12+'El Producto'!$AK$27+'El Producto'!$AK$42+'El Producto'!$AK$57)/4</f>
        <v>1.5637170226130651E-2</v>
      </c>
      <c r="F25" s="164">
        <f>('El Producto'!$AK$12+'El Producto'!$AK$27+'El Producto'!$AK$42+'El Producto'!$AK$57)/4</f>
        <v>1.5637170226130651E-2</v>
      </c>
      <c r="G25" s="164">
        <f>('El Producto'!$AK$12+'El Producto'!$AK$27+'El Producto'!$AK$42+'El Producto'!$AK$57)/4</f>
        <v>1.5637170226130651E-2</v>
      </c>
      <c r="H25" s="164">
        <f>('El Producto'!$AK$12+'El Producto'!$AK$27+'El Producto'!$AK$42+'El Producto'!$AK$57)/4</f>
        <v>1.5637170226130651E-2</v>
      </c>
      <c r="I25" s="164">
        <f>('El Producto'!$AK$12+'El Producto'!$AK$27+'El Producto'!$AK$42+'El Producto'!$AK$57)/4</f>
        <v>1.5637170226130651E-2</v>
      </c>
      <c r="J25" s="164">
        <f>('El Producto'!$AK$12+'El Producto'!$AK$27+'El Producto'!$AK$42+'El Producto'!$AK$57)/4</f>
        <v>1.5637170226130651E-2</v>
      </c>
      <c r="K25" s="164">
        <f>('El Producto'!$AK$12+'El Producto'!$AK$27+'El Producto'!$AK$42+'El Producto'!$AK$57)/4</f>
        <v>1.5637170226130651E-2</v>
      </c>
      <c r="L25" s="164">
        <f>('El Producto'!$AK$12+'El Producto'!$AK$27+'El Producto'!$AK$42+'El Producto'!$AK$57)/4</f>
        <v>1.5637170226130651E-2</v>
      </c>
      <c r="M25" s="164">
        <f>('El Producto'!$AK$12+'El Producto'!$AK$27+'El Producto'!$AK$42+'El Producto'!$AK$57)/4</f>
        <v>1.5637170226130651E-2</v>
      </c>
    </row>
    <row r="26" spans="1:13" x14ac:dyDescent="0.2">
      <c r="A26" s="220" t="s">
        <v>1654</v>
      </c>
      <c r="B26" s="164">
        <f>('El Producto'!$AK$13+'El Producto'!$AK$28+'El Producto'!$AK$43+'El Producto'!$AK$58)/4</f>
        <v>5.5444932998324958E-3</v>
      </c>
      <c r="C26" s="164">
        <f>('El Producto'!$AK$13+'El Producto'!$AK$28+'El Producto'!$AK$43+'El Producto'!$AK$58)/4</f>
        <v>5.5444932998324958E-3</v>
      </c>
      <c r="D26" s="164">
        <f>('El Producto'!$AK$13+'El Producto'!$AK$28+'El Producto'!$AK$43+'El Producto'!$AK$58)/4</f>
        <v>5.5444932998324958E-3</v>
      </c>
      <c r="E26" s="164">
        <f>('El Producto'!$AK$13+'El Producto'!$AK$28+'El Producto'!$AK$43+'El Producto'!$AK$58)/4</f>
        <v>5.5444932998324958E-3</v>
      </c>
      <c r="F26" s="164">
        <f>('El Producto'!$AK$13+'El Producto'!$AK$28+'El Producto'!$AK$43+'El Producto'!$AK$58)/4</f>
        <v>5.5444932998324958E-3</v>
      </c>
      <c r="G26" s="164">
        <f>('El Producto'!$AK$13+'El Producto'!$AK$28+'El Producto'!$AK$43+'El Producto'!$AK$58)/4</f>
        <v>5.5444932998324958E-3</v>
      </c>
      <c r="H26" s="164">
        <f>('El Producto'!$AK$13+'El Producto'!$AK$28+'El Producto'!$AK$43+'El Producto'!$AK$58)/4</f>
        <v>5.5444932998324958E-3</v>
      </c>
      <c r="I26" s="164">
        <f>('El Producto'!$AK$13+'El Producto'!$AK$28+'El Producto'!$AK$43+'El Producto'!$AK$58)/4</f>
        <v>5.5444932998324958E-3</v>
      </c>
      <c r="J26" s="164">
        <f>('El Producto'!$AK$13+'El Producto'!$AK$28+'El Producto'!$AK$43+'El Producto'!$AK$58)/4</f>
        <v>5.5444932998324958E-3</v>
      </c>
      <c r="K26" s="164">
        <f>('El Producto'!$AK$13+'El Producto'!$AK$28+'El Producto'!$AK$43+'El Producto'!$AK$58)/4</f>
        <v>5.5444932998324958E-3</v>
      </c>
      <c r="L26" s="164">
        <f>('El Producto'!$AK$13+'El Producto'!$AK$28+'El Producto'!$AK$43+'El Producto'!$AK$58)/4</f>
        <v>5.5444932998324958E-3</v>
      </c>
      <c r="M26" s="164">
        <f>('El Producto'!$AK$13+'El Producto'!$AK$28+'El Producto'!$AK$43+'El Producto'!$AK$58)/4</f>
        <v>5.5444932998324958E-3</v>
      </c>
    </row>
    <row r="27" spans="1:13" x14ac:dyDescent="0.2">
      <c r="A27" s="220" t="s">
        <v>1655</v>
      </c>
      <c r="B27" s="164">
        <f>('El Producto'!$AK$14+'El Producto'!$AK$29+'El Producto'!$AK$44+'El Producto'!$AK$59)/4</f>
        <v>5.4031323283082067E-3</v>
      </c>
      <c r="C27" s="164">
        <f>('El Producto'!$AK$14+'El Producto'!$AK$29+'El Producto'!$AK$44+'El Producto'!$AK$59)/4</f>
        <v>5.4031323283082067E-3</v>
      </c>
      <c r="D27" s="164">
        <f>('El Producto'!$AK$14+'El Producto'!$AK$29+'El Producto'!$AK$44+'El Producto'!$AK$59)/4</f>
        <v>5.4031323283082067E-3</v>
      </c>
      <c r="E27" s="164">
        <f>('El Producto'!$AK$14+'El Producto'!$AK$29+'El Producto'!$AK$44+'El Producto'!$AK$59)/4</f>
        <v>5.4031323283082067E-3</v>
      </c>
      <c r="F27" s="164">
        <f>('El Producto'!$AK$14+'El Producto'!$AK$29+'El Producto'!$AK$44+'El Producto'!$AK$59)/4</f>
        <v>5.4031323283082067E-3</v>
      </c>
      <c r="G27" s="164">
        <f>('El Producto'!$AK$14+'El Producto'!$AK$29+'El Producto'!$AK$44+'El Producto'!$AK$59)/4</f>
        <v>5.4031323283082067E-3</v>
      </c>
      <c r="H27" s="164">
        <f>('El Producto'!$AK$14+'El Producto'!$AK$29+'El Producto'!$AK$44+'El Producto'!$AK$59)/4</f>
        <v>5.4031323283082067E-3</v>
      </c>
      <c r="I27" s="164">
        <f>('El Producto'!$AK$14+'El Producto'!$AK$29+'El Producto'!$AK$44+'El Producto'!$AK$59)/4</f>
        <v>5.4031323283082067E-3</v>
      </c>
      <c r="J27" s="164">
        <f>('El Producto'!$AK$14+'El Producto'!$AK$29+'El Producto'!$AK$44+'El Producto'!$AK$59)/4</f>
        <v>5.4031323283082067E-3</v>
      </c>
      <c r="K27" s="164">
        <f>('El Producto'!$AK$14+'El Producto'!$AK$29+'El Producto'!$AK$44+'El Producto'!$AK$59)/4</f>
        <v>5.4031323283082067E-3</v>
      </c>
      <c r="L27" s="164">
        <f>('El Producto'!$AK$14+'El Producto'!$AK$29+'El Producto'!$AK$44+'El Producto'!$AK$59)/4</f>
        <v>5.4031323283082067E-3</v>
      </c>
      <c r="M27" s="164">
        <f>('El Producto'!$AK$14+'El Producto'!$AK$29+'El Producto'!$AK$44+'El Producto'!$AK$59)/4</f>
        <v>5.4031323283082067E-3</v>
      </c>
    </row>
    <row r="28" spans="1:13" x14ac:dyDescent="0.2">
      <c r="A28" s="220" t="s">
        <v>1656</v>
      </c>
      <c r="B28" s="164">
        <f>('El Producto'!$AK$15+'El Producto'!$AK$30+'El Producto'!$AK$45+'El Producto'!$AK$60)/4</f>
        <v>9.9942211055276398E-3</v>
      </c>
      <c r="C28" s="164">
        <f>('El Producto'!$AK$15+'El Producto'!$AK$30+'El Producto'!$AK$45+'El Producto'!$AK$60)/4</f>
        <v>9.9942211055276398E-3</v>
      </c>
      <c r="D28" s="164">
        <f>('El Producto'!$AK$15+'El Producto'!$AK$30+'El Producto'!$AK$45+'El Producto'!$AK$60)/4</f>
        <v>9.9942211055276398E-3</v>
      </c>
      <c r="E28" s="164">
        <f>('El Producto'!$AK$15+'El Producto'!$AK$30+'El Producto'!$AK$45+'El Producto'!$AK$60)/4</f>
        <v>9.9942211055276398E-3</v>
      </c>
      <c r="F28" s="164">
        <f>('El Producto'!$AK$15+'El Producto'!$AK$30+'El Producto'!$AK$45+'El Producto'!$AK$60)/4</f>
        <v>9.9942211055276398E-3</v>
      </c>
      <c r="G28" s="164">
        <f>('El Producto'!$AK$15+'El Producto'!$AK$30+'El Producto'!$AK$45+'El Producto'!$AK$60)/4</f>
        <v>9.9942211055276398E-3</v>
      </c>
      <c r="H28" s="164">
        <f>('El Producto'!$AK$15+'El Producto'!$AK$30+'El Producto'!$AK$45+'El Producto'!$AK$60)/4</f>
        <v>9.9942211055276398E-3</v>
      </c>
      <c r="I28" s="164">
        <f>('El Producto'!$AK$15+'El Producto'!$AK$30+'El Producto'!$AK$45+'El Producto'!$AK$60)/4</f>
        <v>9.9942211055276398E-3</v>
      </c>
      <c r="J28" s="164">
        <f>('El Producto'!$AK$15+'El Producto'!$AK$30+'El Producto'!$AK$45+'El Producto'!$AK$60)/4</f>
        <v>9.9942211055276398E-3</v>
      </c>
      <c r="K28" s="164">
        <f>('El Producto'!$AK$15+'El Producto'!$AK$30+'El Producto'!$AK$45+'El Producto'!$AK$60)/4</f>
        <v>9.9942211055276398E-3</v>
      </c>
      <c r="L28" s="164">
        <f>('El Producto'!$AK$15+'El Producto'!$AK$30+'El Producto'!$AK$45+'El Producto'!$AK$60)/4</f>
        <v>9.9942211055276398E-3</v>
      </c>
      <c r="M28" s="164">
        <f>('El Producto'!$AK$15+'El Producto'!$AK$30+'El Producto'!$AK$45+'El Producto'!$AK$60)/4</f>
        <v>9.9942211055276398E-3</v>
      </c>
    </row>
    <row r="29" spans="1:13" x14ac:dyDescent="0.2">
      <c r="A29" s="220" t="s">
        <v>1657</v>
      </c>
      <c r="B29" s="164">
        <f>('El Producto'!$AK$16+'El Producto'!$AK$31+'El Producto'!$AK$46+'El Producto'!$AK$61)/4</f>
        <v>4.3403576214405361E-2</v>
      </c>
      <c r="C29" s="164">
        <f>('El Producto'!$AK$16+'El Producto'!$AK$31+'El Producto'!$AK$46+'El Producto'!$AK$61)/4</f>
        <v>4.3403576214405361E-2</v>
      </c>
      <c r="D29" s="164">
        <f>('El Producto'!$AK$16+'El Producto'!$AK$31+'El Producto'!$AK$46+'El Producto'!$AK$61)/4</f>
        <v>4.3403576214405361E-2</v>
      </c>
      <c r="E29" s="164">
        <f>('El Producto'!$AK$16+'El Producto'!$AK$31+'El Producto'!$AK$46+'El Producto'!$AK$61)/4</f>
        <v>4.3403576214405361E-2</v>
      </c>
      <c r="F29" s="164">
        <f>('El Producto'!$AK$16+'El Producto'!$AK$31+'El Producto'!$AK$46+'El Producto'!$AK$61)/4</f>
        <v>4.3403576214405361E-2</v>
      </c>
      <c r="G29" s="164">
        <f>('El Producto'!$AK$16+'El Producto'!$AK$31+'El Producto'!$AK$46+'El Producto'!$AK$61)/4</f>
        <v>4.3403576214405361E-2</v>
      </c>
      <c r="H29" s="164">
        <f>('El Producto'!$AK$16+'El Producto'!$AK$31+'El Producto'!$AK$46+'El Producto'!$AK$61)/4</f>
        <v>4.3403576214405361E-2</v>
      </c>
      <c r="I29" s="164">
        <f>('El Producto'!$AK$16+'El Producto'!$AK$31+'El Producto'!$AK$46+'El Producto'!$AK$61)/4</f>
        <v>4.3403576214405361E-2</v>
      </c>
      <c r="J29" s="164">
        <f>('El Producto'!$AK$16+'El Producto'!$AK$31+'El Producto'!$AK$46+'El Producto'!$AK$61)/4</f>
        <v>4.3403576214405361E-2</v>
      </c>
      <c r="K29" s="164">
        <f>('El Producto'!$AK$16+'El Producto'!$AK$31+'El Producto'!$AK$46+'El Producto'!$AK$61)/4</f>
        <v>4.3403576214405361E-2</v>
      </c>
      <c r="L29" s="164">
        <f>('El Producto'!$AK$16+'El Producto'!$AK$31+'El Producto'!$AK$46+'El Producto'!$AK$61)/4</f>
        <v>4.3403576214405361E-2</v>
      </c>
      <c r="M29" s="164">
        <f>('El Producto'!$AK$16+'El Producto'!$AK$31+'El Producto'!$AK$46+'El Producto'!$AK$61)/4</f>
        <v>4.3403576214405361E-2</v>
      </c>
    </row>
    <row r="30" spans="1:13" x14ac:dyDescent="0.2">
      <c r="A30" s="18" t="s">
        <v>1659</v>
      </c>
      <c r="B30" s="319">
        <f>193*26</f>
        <v>5018</v>
      </c>
      <c r="C30" s="319">
        <f t="shared" ref="C30:M33" si="6">193*26</f>
        <v>5018</v>
      </c>
      <c r="D30" s="319">
        <f t="shared" si="6"/>
        <v>5018</v>
      </c>
      <c r="E30" s="319">
        <f t="shared" si="6"/>
        <v>5018</v>
      </c>
      <c r="F30" s="319">
        <f t="shared" si="6"/>
        <v>5018</v>
      </c>
      <c r="G30" s="319">
        <f t="shared" si="6"/>
        <v>5018</v>
      </c>
      <c r="H30" s="319">
        <f t="shared" si="6"/>
        <v>5018</v>
      </c>
      <c r="I30" s="319">
        <f t="shared" si="6"/>
        <v>5018</v>
      </c>
      <c r="J30" s="319">
        <f t="shared" si="6"/>
        <v>5018</v>
      </c>
      <c r="K30" s="319">
        <f t="shared" si="6"/>
        <v>5018</v>
      </c>
      <c r="L30" s="319">
        <f t="shared" si="6"/>
        <v>5018</v>
      </c>
      <c r="M30" s="319">
        <f t="shared" si="6"/>
        <v>5018</v>
      </c>
    </row>
    <row r="31" spans="1:13" x14ac:dyDescent="0.2">
      <c r="A31" s="18" t="s">
        <v>1660</v>
      </c>
      <c r="B31" s="319">
        <f>193*26</f>
        <v>5018</v>
      </c>
      <c r="C31" s="319">
        <f t="shared" si="6"/>
        <v>5018</v>
      </c>
      <c r="D31" s="319">
        <f t="shared" si="6"/>
        <v>5018</v>
      </c>
      <c r="E31" s="319">
        <f t="shared" si="6"/>
        <v>5018</v>
      </c>
      <c r="F31" s="319">
        <f t="shared" si="6"/>
        <v>5018</v>
      </c>
      <c r="G31" s="319">
        <f t="shared" si="6"/>
        <v>5018</v>
      </c>
      <c r="H31" s="319">
        <f t="shared" si="6"/>
        <v>5018</v>
      </c>
      <c r="I31" s="319">
        <f t="shared" si="6"/>
        <v>5018</v>
      </c>
      <c r="J31" s="319">
        <f t="shared" si="6"/>
        <v>5018</v>
      </c>
      <c r="K31" s="319">
        <f t="shared" si="6"/>
        <v>5018</v>
      </c>
      <c r="L31" s="319">
        <f t="shared" si="6"/>
        <v>5018</v>
      </c>
      <c r="M31" s="319">
        <f t="shared" si="6"/>
        <v>5018</v>
      </c>
    </row>
    <row r="32" spans="1:13" x14ac:dyDescent="0.2">
      <c r="A32" s="18" t="s">
        <v>1661</v>
      </c>
      <c r="B32" s="319">
        <f>193*26</f>
        <v>5018</v>
      </c>
      <c r="C32" s="319">
        <f t="shared" si="6"/>
        <v>5018</v>
      </c>
      <c r="D32" s="319">
        <f t="shared" si="6"/>
        <v>5018</v>
      </c>
      <c r="E32" s="319">
        <f t="shared" si="6"/>
        <v>5018</v>
      </c>
      <c r="F32" s="319">
        <f t="shared" si="6"/>
        <v>5018</v>
      </c>
      <c r="G32" s="319">
        <f t="shared" si="6"/>
        <v>5018</v>
      </c>
      <c r="H32" s="319">
        <f t="shared" si="6"/>
        <v>5018</v>
      </c>
      <c r="I32" s="319">
        <f t="shared" si="6"/>
        <v>5018</v>
      </c>
      <c r="J32" s="319">
        <f t="shared" si="6"/>
        <v>5018</v>
      </c>
      <c r="K32" s="319">
        <f t="shared" si="6"/>
        <v>5018</v>
      </c>
      <c r="L32" s="319">
        <f t="shared" si="6"/>
        <v>5018</v>
      </c>
      <c r="M32" s="319">
        <f t="shared" si="6"/>
        <v>5018</v>
      </c>
    </row>
    <row r="33" spans="1:13" x14ac:dyDescent="0.2">
      <c r="A33" s="18" t="s">
        <v>1662</v>
      </c>
      <c r="B33" s="319">
        <f>193*26</f>
        <v>5018</v>
      </c>
      <c r="C33" s="319">
        <f t="shared" si="6"/>
        <v>5018</v>
      </c>
      <c r="D33" s="319">
        <f t="shared" si="6"/>
        <v>5018</v>
      </c>
      <c r="E33" s="319">
        <f t="shared" si="6"/>
        <v>5018</v>
      </c>
      <c r="F33" s="319">
        <f t="shared" si="6"/>
        <v>5018</v>
      </c>
      <c r="G33" s="319">
        <f t="shared" si="6"/>
        <v>5018</v>
      </c>
      <c r="H33" s="319">
        <f t="shared" si="6"/>
        <v>5018</v>
      </c>
      <c r="I33" s="319">
        <f t="shared" si="6"/>
        <v>5018</v>
      </c>
      <c r="J33" s="319">
        <f t="shared" si="6"/>
        <v>5018</v>
      </c>
      <c r="K33" s="319">
        <f t="shared" si="6"/>
        <v>5018</v>
      </c>
      <c r="L33" s="319">
        <f t="shared" si="6"/>
        <v>5018</v>
      </c>
      <c r="M33" s="319">
        <f t="shared" si="6"/>
        <v>5018</v>
      </c>
    </row>
    <row r="34" spans="1:13" x14ac:dyDescent="0.2">
      <c r="A34" s="350" t="s">
        <v>1663</v>
      </c>
      <c r="B34" s="342">
        <f>(SUM(B16:B20)+SUM(B24:B29))*B30</f>
        <v>6976.1440750774709</v>
      </c>
      <c r="C34" s="342">
        <f t="shared" ref="C34:M34" si="7">(SUM(C16:C20)+SUM(C24:C29))*C30</f>
        <v>6976.1440750774709</v>
      </c>
      <c r="D34" s="342">
        <f t="shared" si="7"/>
        <v>6976.1440750774709</v>
      </c>
      <c r="E34" s="342">
        <f t="shared" si="7"/>
        <v>6976.1440750774709</v>
      </c>
      <c r="F34" s="342">
        <f t="shared" si="7"/>
        <v>6976.1440750774709</v>
      </c>
      <c r="G34" s="342">
        <f t="shared" si="7"/>
        <v>6976.1440750774709</v>
      </c>
      <c r="H34" s="342">
        <f t="shared" si="7"/>
        <v>6976.1440750774709</v>
      </c>
      <c r="I34" s="342">
        <f t="shared" si="7"/>
        <v>6976.1440750774709</v>
      </c>
      <c r="J34" s="342">
        <f t="shared" si="7"/>
        <v>6976.1440750774709</v>
      </c>
      <c r="K34" s="342">
        <f t="shared" si="7"/>
        <v>6976.1440750774709</v>
      </c>
      <c r="L34" s="342">
        <f t="shared" si="7"/>
        <v>6976.1440750774709</v>
      </c>
      <c r="M34" s="342">
        <f t="shared" si="7"/>
        <v>6976.1440750774709</v>
      </c>
    </row>
    <row r="35" spans="1:13" x14ac:dyDescent="0.2">
      <c r="A35" s="350" t="s">
        <v>1664</v>
      </c>
      <c r="B35" s="342">
        <f>(SUM(B16:B19)+B21+SUM(B24:B29))*B31</f>
        <v>6486.7840080757951</v>
      </c>
      <c r="C35" s="342">
        <f t="shared" ref="C35:M35" si="8">(SUM(C16:C19)+C21+SUM(C24:C29))*C31</f>
        <v>6486.7840080757951</v>
      </c>
      <c r="D35" s="342">
        <f t="shared" si="8"/>
        <v>6486.7840080757951</v>
      </c>
      <c r="E35" s="342">
        <f t="shared" si="8"/>
        <v>6486.7840080757951</v>
      </c>
      <c r="F35" s="342">
        <f t="shared" si="8"/>
        <v>6486.7840080757951</v>
      </c>
      <c r="G35" s="342">
        <f t="shared" si="8"/>
        <v>6486.7840080757951</v>
      </c>
      <c r="H35" s="342">
        <f t="shared" si="8"/>
        <v>6486.7840080757951</v>
      </c>
      <c r="I35" s="342">
        <f t="shared" si="8"/>
        <v>6486.7840080757951</v>
      </c>
      <c r="J35" s="342">
        <f t="shared" si="8"/>
        <v>6486.7840080757951</v>
      </c>
      <c r="K35" s="342">
        <f t="shared" si="8"/>
        <v>6486.7840080757951</v>
      </c>
      <c r="L35" s="342">
        <f t="shared" si="8"/>
        <v>6486.7840080757951</v>
      </c>
      <c r="M35" s="342">
        <f t="shared" si="8"/>
        <v>6486.7840080757951</v>
      </c>
    </row>
    <row r="36" spans="1:13" x14ac:dyDescent="0.2">
      <c r="A36" s="350" t="s">
        <v>1665</v>
      </c>
      <c r="B36" s="342">
        <f>(SUM(B16:B19)+B22+SUM(B24:B29))*B32</f>
        <v>5779.7251136034338</v>
      </c>
      <c r="C36" s="342">
        <f t="shared" ref="C36:M36" si="9">(SUM(C16:C19)+C22+SUM(C24:C29))*C32</f>
        <v>5779.7251136034338</v>
      </c>
      <c r="D36" s="342">
        <f t="shared" si="9"/>
        <v>5779.7251136034338</v>
      </c>
      <c r="E36" s="342">
        <f t="shared" si="9"/>
        <v>5779.7251136034338</v>
      </c>
      <c r="F36" s="342">
        <f t="shared" si="9"/>
        <v>5779.7251136034338</v>
      </c>
      <c r="G36" s="342">
        <f t="shared" si="9"/>
        <v>5779.7251136034338</v>
      </c>
      <c r="H36" s="342">
        <f t="shared" si="9"/>
        <v>5779.7251136034338</v>
      </c>
      <c r="I36" s="342">
        <f t="shared" si="9"/>
        <v>5779.7251136034338</v>
      </c>
      <c r="J36" s="342">
        <f t="shared" si="9"/>
        <v>5779.7251136034338</v>
      </c>
      <c r="K36" s="342">
        <f t="shared" si="9"/>
        <v>5779.7251136034338</v>
      </c>
      <c r="L36" s="342">
        <f t="shared" si="9"/>
        <v>5779.7251136034338</v>
      </c>
      <c r="M36" s="342">
        <f t="shared" si="9"/>
        <v>5779.7251136034338</v>
      </c>
    </row>
    <row r="37" spans="1:13" x14ac:dyDescent="0.2">
      <c r="A37" s="350" t="s">
        <v>1666</v>
      </c>
      <c r="B37" s="342">
        <f>(SUM(B16:B19)+SUM(B23:B29))*B33</f>
        <v>5715.3148388965665</v>
      </c>
      <c r="C37" s="342">
        <f t="shared" ref="C37:M37" si="10">(SUM(C16:C19)+SUM(C23:C29))*C33</f>
        <v>5715.3148388965665</v>
      </c>
      <c r="D37" s="342">
        <f t="shared" si="10"/>
        <v>5715.3148388965665</v>
      </c>
      <c r="E37" s="342">
        <f t="shared" si="10"/>
        <v>5715.3148388965665</v>
      </c>
      <c r="F37" s="342">
        <f t="shared" si="10"/>
        <v>5715.3148388965665</v>
      </c>
      <c r="G37" s="342">
        <f t="shared" si="10"/>
        <v>5715.3148388965665</v>
      </c>
      <c r="H37" s="342">
        <f t="shared" si="10"/>
        <v>5715.3148388965665</v>
      </c>
      <c r="I37" s="342">
        <f t="shared" si="10"/>
        <v>5715.3148388965665</v>
      </c>
      <c r="J37" s="342">
        <f t="shared" si="10"/>
        <v>5715.3148388965665</v>
      </c>
      <c r="K37" s="342">
        <f t="shared" si="10"/>
        <v>5715.3148388965665</v>
      </c>
      <c r="L37" s="342">
        <f t="shared" si="10"/>
        <v>5715.3148388965665</v>
      </c>
      <c r="M37" s="342">
        <f t="shared" si="10"/>
        <v>5715.3148388965665</v>
      </c>
    </row>
    <row r="38" spans="1:13" x14ac:dyDescent="0.2">
      <c r="A38" s="203" t="s">
        <v>1658</v>
      </c>
      <c r="B38" s="293">
        <f>SUM(B34:B37)</f>
        <v>24957.968035653266</v>
      </c>
      <c r="C38" s="293">
        <f t="shared" ref="C38:M38" si="11">SUM(C34:C37)</f>
        <v>24957.968035653266</v>
      </c>
      <c r="D38" s="293">
        <f t="shared" si="11"/>
        <v>24957.968035653266</v>
      </c>
      <c r="E38" s="293">
        <f t="shared" si="11"/>
        <v>24957.968035653266</v>
      </c>
      <c r="F38" s="293">
        <f t="shared" si="11"/>
        <v>24957.968035653266</v>
      </c>
      <c r="G38" s="293">
        <f t="shared" si="11"/>
        <v>24957.968035653266</v>
      </c>
      <c r="H38" s="293">
        <f t="shared" si="11"/>
        <v>24957.968035653266</v>
      </c>
      <c r="I38" s="293">
        <f t="shared" si="11"/>
        <v>24957.968035653266</v>
      </c>
      <c r="J38" s="293">
        <f t="shared" si="11"/>
        <v>24957.968035653266</v>
      </c>
      <c r="K38" s="293">
        <f t="shared" si="11"/>
        <v>24957.968035653266</v>
      </c>
      <c r="L38" s="293">
        <f t="shared" si="11"/>
        <v>24957.968035653266</v>
      </c>
      <c r="M38" s="293">
        <f t="shared" si="11"/>
        <v>24957.968035653266</v>
      </c>
    </row>
    <row r="39" spans="1:13" x14ac:dyDescent="0.2">
      <c r="A39" s="203" t="s">
        <v>1333</v>
      </c>
      <c r="B39" s="293">
        <f>B38*18%</f>
        <v>4492.4342464175879</v>
      </c>
      <c r="C39" s="293">
        <f t="shared" ref="C39:M39" si="12">C38*18%</f>
        <v>4492.4342464175879</v>
      </c>
      <c r="D39" s="293">
        <f t="shared" si="12"/>
        <v>4492.4342464175879</v>
      </c>
      <c r="E39" s="293">
        <f t="shared" si="12"/>
        <v>4492.4342464175879</v>
      </c>
      <c r="F39" s="293">
        <f t="shared" si="12"/>
        <v>4492.4342464175879</v>
      </c>
      <c r="G39" s="293">
        <f t="shared" si="12"/>
        <v>4492.4342464175879</v>
      </c>
      <c r="H39" s="293">
        <f t="shared" si="12"/>
        <v>4492.4342464175879</v>
      </c>
      <c r="I39" s="293">
        <f t="shared" si="12"/>
        <v>4492.4342464175879</v>
      </c>
      <c r="J39" s="293">
        <f t="shared" si="12"/>
        <v>4492.4342464175879</v>
      </c>
      <c r="K39" s="293">
        <f t="shared" si="12"/>
        <v>4492.4342464175879</v>
      </c>
      <c r="L39" s="293">
        <f t="shared" si="12"/>
        <v>4492.4342464175879</v>
      </c>
      <c r="M39" s="293">
        <f t="shared" si="12"/>
        <v>4492.4342464175879</v>
      </c>
    </row>
    <row r="40" spans="1:13" x14ac:dyDescent="0.2">
      <c r="A40" s="203" t="s">
        <v>1643</v>
      </c>
      <c r="B40" s="293">
        <f>B38-B39</f>
        <v>20465.533789235677</v>
      </c>
      <c r="C40" s="293">
        <f t="shared" ref="C40:M40" si="13">C38-C39</f>
        <v>20465.533789235677</v>
      </c>
      <c r="D40" s="293">
        <f t="shared" si="13"/>
        <v>20465.533789235677</v>
      </c>
      <c r="E40" s="293">
        <f t="shared" si="13"/>
        <v>20465.533789235677</v>
      </c>
      <c r="F40" s="293">
        <f t="shared" si="13"/>
        <v>20465.533789235677</v>
      </c>
      <c r="G40" s="293">
        <f t="shared" si="13"/>
        <v>20465.533789235677</v>
      </c>
      <c r="H40" s="293">
        <f t="shared" si="13"/>
        <v>20465.533789235677</v>
      </c>
      <c r="I40" s="293">
        <f t="shared" si="13"/>
        <v>20465.533789235677</v>
      </c>
      <c r="J40" s="293">
        <f t="shared" si="13"/>
        <v>20465.533789235677</v>
      </c>
      <c r="K40" s="293">
        <f t="shared" si="13"/>
        <v>20465.533789235677</v>
      </c>
      <c r="L40" s="293">
        <f t="shared" si="13"/>
        <v>20465.533789235677</v>
      </c>
      <c r="M40" s="293">
        <f t="shared" si="13"/>
        <v>20465.533789235677</v>
      </c>
    </row>
    <row r="41" spans="1:13" x14ac:dyDescent="0.2">
      <c r="B41" s="9">
        <f>B38-(6%*B38)</f>
        <v>23460.489953514072</v>
      </c>
      <c r="C41" s="9">
        <f t="shared" ref="C41:M41" si="14">C38-(6%*C38)</f>
        <v>23460.489953514072</v>
      </c>
      <c r="D41" s="9">
        <f t="shared" si="14"/>
        <v>23460.489953514072</v>
      </c>
      <c r="E41" s="9">
        <f t="shared" si="14"/>
        <v>23460.489953514072</v>
      </c>
      <c r="F41" s="9">
        <f t="shared" si="14"/>
        <v>23460.489953514072</v>
      </c>
      <c r="G41" s="9">
        <f t="shared" si="14"/>
        <v>23460.489953514072</v>
      </c>
      <c r="H41" s="9">
        <f t="shared" si="14"/>
        <v>23460.489953514072</v>
      </c>
      <c r="I41" s="9">
        <f t="shared" si="14"/>
        <v>23460.489953514072</v>
      </c>
      <c r="J41" s="9">
        <f t="shared" si="14"/>
        <v>23460.489953514072</v>
      </c>
      <c r="K41" s="9">
        <f t="shared" si="14"/>
        <v>23460.489953514072</v>
      </c>
      <c r="L41" s="9">
        <f t="shared" si="14"/>
        <v>23460.489953514072</v>
      </c>
      <c r="M41" s="9">
        <f t="shared" si="14"/>
        <v>23460.489953514072</v>
      </c>
    </row>
    <row r="43" spans="1:13" x14ac:dyDescent="0.2">
      <c r="A43" s="327" t="s">
        <v>1668</v>
      </c>
    </row>
    <row r="44" spans="1:13" x14ac:dyDescent="0.2">
      <c r="A44" s="15"/>
      <c r="B44" s="315" t="s">
        <v>1492</v>
      </c>
      <c r="C44" s="315" t="s">
        <v>1493</v>
      </c>
      <c r="D44" s="315" t="s">
        <v>1494</v>
      </c>
      <c r="E44" s="315" t="s">
        <v>1495</v>
      </c>
      <c r="F44" s="315" t="s">
        <v>1496</v>
      </c>
      <c r="G44" s="315" t="s">
        <v>1497</v>
      </c>
      <c r="H44" s="315" t="s">
        <v>1498</v>
      </c>
      <c r="I44" s="315" t="s">
        <v>1499</v>
      </c>
      <c r="J44" s="315" t="s">
        <v>1500</v>
      </c>
      <c r="K44" s="315" t="s">
        <v>1501</v>
      </c>
      <c r="L44" s="315" t="s">
        <v>1502</v>
      </c>
      <c r="M44" s="315" t="s">
        <v>1503</v>
      </c>
    </row>
    <row r="45" spans="1:13" x14ac:dyDescent="0.2">
      <c r="A45" s="18" t="s">
        <v>1644</v>
      </c>
      <c r="B45" s="164">
        <v>0.125</v>
      </c>
      <c r="C45" s="164">
        <v>0.125</v>
      </c>
      <c r="D45" s="164">
        <v>0.125</v>
      </c>
      <c r="E45" s="164">
        <v>0.125</v>
      </c>
      <c r="F45" s="164">
        <v>0.125</v>
      </c>
      <c r="G45" s="164">
        <v>0.125</v>
      </c>
      <c r="H45" s="164">
        <v>0.125</v>
      </c>
      <c r="I45" s="164">
        <v>0.125</v>
      </c>
      <c r="J45" s="164">
        <v>0.125</v>
      </c>
      <c r="K45" s="164">
        <v>0.125</v>
      </c>
      <c r="L45" s="164">
        <v>0.125</v>
      </c>
      <c r="M45" s="164">
        <v>0.125</v>
      </c>
    </row>
    <row r="46" spans="1:13" x14ac:dyDescent="0.2">
      <c r="A46" s="18" t="s">
        <v>1645</v>
      </c>
      <c r="B46" s="164">
        <v>0.38350000000000001</v>
      </c>
      <c r="C46" s="164">
        <v>0.38350000000000001</v>
      </c>
      <c r="D46" s="164">
        <v>0.38350000000000001</v>
      </c>
      <c r="E46" s="164">
        <v>0.38350000000000001</v>
      </c>
      <c r="F46" s="164">
        <v>0.38350000000000001</v>
      </c>
      <c r="G46" s="164">
        <v>0.38350000000000001</v>
      </c>
      <c r="H46" s="164">
        <v>0.38350000000000001</v>
      </c>
      <c r="I46" s="164">
        <v>0.38350000000000001</v>
      </c>
      <c r="J46" s="164">
        <v>0.38350000000000001</v>
      </c>
      <c r="K46" s="164">
        <v>0.38350000000000001</v>
      </c>
      <c r="L46" s="164">
        <v>0.38350000000000001</v>
      </c>
      <c r="M46" s="164">
        <v>0.38350000000000001</v>
      </c>
    </row>
    <row r="47" spans="1:13" x14ac:dyDescent="0.2">
      <c r="A47" s="18" t="s">
        <v>1646</v>
      </c>
      <c r="B47" s="310">
        <v>0.25</v>
      </c>
      <c r="C47" s="310">
        <v>0.25</v>
      </c>
      <c r="D47" s="310">
        <v>0.25</v>
      </c>
      <c r="E47" s="310">
        <v>0.25</v>
      </c>
      <c r="F47" s="310">
        <v>0.25</v>
      </c>
      <c r="G47" s="310">
        <v>0.25</v>
      </c>
      <c r="H47" s="310">
        <v>0.25</v>
      </c>
      <c r="I47" s="310">
        <v>0.25</v>
      </c>
      <c r="J47" s="310">
        <v>0.25</v>
      </c>
      <c r="K47" s="310">
        <v>0.25</v>
      </c>
      <c r="L47" s="310">
        <v>0.25</v>
      </c>
      <c r="M47" s="310">
        <v>0.25</v>
      </c>
    </row>
    <row r="48" spans="1:13" x14ac:dyDescent="0.2">
      <c r="A48" s="18" t="s">
        <v>1647</v>
      </c>
      <c r="B48" s="164">
        <f>('El Producto'!$AK$9+'El Producto'!$AK$24+'El Producto'!$AK$39+'El Producto'!$AK$54)/4</f>
        <v>0.12805527638190956</v>
      </c>
      <c r="C48" s="164">
        <f>('El Producto'!$AK$9+'El Producto'!$AK$24+'El Producto'!$AK$39+'El Producto'!$AK$54)/4</f>
        <v>0.12805527638190956</v>
      </c>
      <c r="D48" s="164">
        <f>('El Producto'!$AK$9+'El Producto'!$AK$24+'El Producto'!$AK$39+'El Producto'!$AK$54)/4</f>
        <v>0.12805527638190956</v>
      </c>
      <c r="E48" s="164">
        <f>('El Producto'!$AK$9+'El Producto'!$AK$24+'El Producto'!$AK$39+'El Producto'!$AK$54)/4</f>
        <v>0.12805527638190956</v>
      </c>
      <c r="F48" s="164">
        <f>('El Producto'!$AK$9+'El Producto'!$AK$24+'El Producto'!$AK$39+'El Producto'!$AK$54)/4</f>
        <v>0.12805527638190956</v>
      </c>
      <c r="G48" s="164">
        <f>('El Producto'!$AK$9+'El Producto'!$AK$24+'El Producto'!$AK$39+'El Producto'!$AK$54)/4</f>
        <v>0.12805527638190956</v>
      </c>
      <c r="H48" s="164">
        <f>('El Producto'!$AK$9+'El Producto'!$AK$24+'El Producto'!$AK$39+'El Producto'!$AK$54)/4</f>
        <v>0.12805527638190956</v>
      </c>
      <c r="I48" s="164">
        <f>('El Producto'!$AK$9+'El Producto'!$AK$24+'El Producto'!$AK$39+'El Producto'!$AK$54)/4</f>
        <v>0.12805527638190956</v>
      </c>
      <c r="J48" s="164">
        <f>('El Producto'!$AK$9+'El Producto'!$AK$24+'El Producto'!$AK$39+'El Producto'!$AK$54)/4</f>
        <v>0.12805527638190956</v>
      </c>
      <c r="K48" s="164">
        <f>('El Producto'!$AK$9+'El Producto'!$AK$24+'El Producto'!$AK$39+'El Producto'!$AK$54)/4</f>
        <v>0.12805527638190956</v>
      </c>
      <c r="L48" s="164">
        <f>('El Producto'!$AK$9+'El Producto'!$AK$24+'El Producto'!$AK$39+'El Producto'!$AK$54)/4</f>
        <v>0.12805527638190956</v>
      </c>
      <c r="M48" s="164">
        <f>('El Producto'!$AK$9+'El Producto'!$AK$24+'El Producto'!$AK$39+'El Producto'!$AK$54)/4</f>
        <v>0.12805527638190956</v>
      </c>
    </row>
    <row r="49" spans="1:13" x14ac:dyDescent="0.2">
      <c r="A49" s="18" t="s">
        <v>1648</v>
      </c>
      <c r="B49" s="164">
        <v>0.37989949748743712</v>
      </c>
      <c r="C49" s="164">
        <v>0.37989949748743712</v>
      </c>
      <c r="D49" s="164">
        <v>0.37989949748743712</v>
      </c>
      <c r="E49" s="164">
        <v>0.37989949748743712</v>
      </c>
      <c r="F49" s="164">
        <v>0.37989949748743712</v>
      </c>
      <c r="G49" s="164">
        <v>0.37989949748743712</v>
      </c>
      <c r="H49" s="164">
        <v>0.37989949748743712</v>
      </c>
      <c r="I49" s="164">
        <v>0.37989949748743712</v>
      </c>
      <c r="J49" s="164">
        <v>0.37989949748743712</v>
      </c>
      <c r="K49" s="164">
        <v>0.37989949748743712</v>
      </c>
      <c r="L49" s="164">
        <v>0.37989949748743712</v>
      </c>
      <c r="M49" s="164">
        <v>0.37989949748743712</v>
      </c>
    </row>
    <row r="50" spans="1:13" x14ac:dyDescent="0.2">
      <c r="A50" s="18" t="s">
        <v>1649</v>
      </c>
      <c r="B50" s="164">
        <v>0.2823785594639866</v>
      </c>
      <c r="C50" s="164">
        <v>0.2823785594639866</v>
      </c>
      <c r="D50" s="164">
        <v>0.2823785594639866</v>
      </c>
      <c r="E50" s="164">
        <v>0.2823785594639866</v>
      </c>
      <c r="F50" s="164">
        <v>0.2823785594639866</v>
      </c>
      <c r="G50" s="164">
        <v>0.2823785594639866</v>
      </c>
      <c r="H50" s="164">
        <v>0.2823785594639866</v>
      </c>
      <c r="I50" s="164">
        <v>0.2823785594639866</v>
      </c>
      <c r="J50" s="164">
        <v>0.2823785594639866</v>
      </c>
      <c r="K50" s="164">
        <v>0.2823785594639866</v>
      </c>
      <c r="L50" s="164">
        <v>0.2823785594639866</v>
      </c>
      <c r="M50" s="164">
        <v>0.2823785594639866</v>
      </c>
    </row>
    <row r="51" spans="1:13" x14ac:dyDescent="0.2">
      <c r="A51" s="18" t="s">
        <v>1650</v>
      </c>
      <c r="B51" s="164">
        <v>0.14147403685092128</v>
      </c>
      <c r="C51" s="164">
        <v>0.14147403685092128</v>
      </c>
      <c r="D51" s="164">
        <v>0.14147403685092128</v>
      </c>
      <c r="E51" s="164">
        <v>0.14147403685092128</v>
      </c>
      <c r="F51" s="164">
        <v>0.14147403685092128</v>
      </c>
      <c r="G51" s="164">
        <v>0.14147403685092128</v>
      </c>
      <c r="H51" s="164">
        <v>0.14147403685092128</v>
      </c>
      <c r="I51" s="164">
        <v>0.14147403685092128</v>
      </c>
      <c r="J51" s="164">
        <v>0.14147403685092128</v>
      </c>
      <c r="K51" s="164">
        <v>0.14147403685092128</v>
      </c>
      <c r="L51" s="164">
        <v>0.14147403685092128</v>
      </c>
      <c r="M51" s="164">
        <v>0.14147403685092128</v>
      </c>
    </row>
    <row r="52" spans="1:13" x14ac:dyDescent="0.2">
      <c r="A52" s="18" t="s">
        <v>1651</v>
      </c>
      <c r="B52" s="164">
        <v>0.12863819095477388</v>
      </c>
      <c r="C52" s="164">
        <v>0.12863819095477388</v>
      </c>
      <c r="D52" s="164">
        <v>0.12863819095477388</v>
      </c>
      <c r="E52" s="164">
        <v>0.12863819095477388</v>
      </c>
      <c r="F52" s="164">
        <v>0.12863819095477388</v>
      </c>
      <c r="G52" s="164">
        <v>0.12863819095477388</v>
      </c>
      <c r="H52" s="164">
        <v>0.12863819095477388</v>
      </c>
      <c r="I52" s="164">
        <v>0.12863819095477388</v>
      </c>
      <c r="J52" s="164">
        <v>0.12863819095477388</v>
      </c>
      <c r="K52" s="164">
        <v>0.12863819095477388</v>
      </c>
      <c r="L52" s="164">
        <v>0.12863819095477388</v>
      </c>
      <c r="M52" s="164">
        <v>0.12863819095477388</v>
      </c>
    </row>
    <row r="53" spans="1:13" x14ac:dyDescent="0.2">
      <c r="A53" s="18" t="s">
        <v>1652</v>
      </c>
      <c r="B53" s="164">
        <f>('El Producto'!$AK$11+'El Producto'!$AK$26+'El Producto'!$AK$41+'El Producto'!$AK$56)/4</f>
        <v>4.3786641541038521E-2</v>
      </c>
      <c r="C53" s="164">
        <f>('El Producto'!$AK$11+'El Producto'!$AK$26+'El Producto'!$AK$41+'El Producto'!$AK$56)/4</f>
        <v>4.3786641541038521E-2</v>
      </c>
      <c r="D53" s="164">
        <f>('El Producto'!$AK$11+'El Producto'!$AK$26+'El Producto'!$AK$41+'El Producto'!$AK$56)/4</f>
        <v>4.3786641541038521E-2</v>
      </c>
      <c r="E53" s="164">
        <f>('El Producto'!$AK$11+'El Producto'!$AK$26+'El Producto'!$AK$41+'El Producto'!$AK$56)/4</f>
        <v>4.3786641541038521E-2</v>
      </c>
      <c r="F53" s="164">
        <f>('El Producto'!$AK$11+'El Producto'!$AK$26+'El Producto'!$AK$41+'El Producto'!$AK$56)/4</f>
        <v>4.3786641541038521E-2</v>
      </c>
      <c r="G53" s="164">
        <f>('El Producto'!$AK$11+'El Producto'!$AK$26+'El Producto'!$AK$41+'El Producto'!$AK$56)/4</f>
        <v>4.3786641541038521E-2</v>
      </c>
      <c r="H53" s="164">
        <f>('El Producto'!$AK$11+'El Producto'!$AK$26+'El Producto'!$AK$41+'El Producto'!$AK$56)/4</f>
        <v>4.3786641541038521E-2</v>
      </c>
      <c r="I53" s="164">
        <f>('El Producto'!$AK$11+'El Producto'!$AK$26+'El Producto'!$AK$41+'El Producto'!$AK$56)/4</f>
        <v>4.3786641541038521E-2</v>
      </c>
      <c r="J53" s="164">
        <f>('El Producto'!$AK$11+'El Producto'!$AK$26+'El Producto'!$AK$41+'El Producto'!$AK$56)/4</f>
        <v>4.3786641541038521E-2</v>
      </c>
      <c r="K53" s="164">
        <f>('El Producto'!$AK$11+'El Producto'!$AK$26+'El Producto'!$AK$41+'El Producto'!$AK$56)/4</f>
        <v>4.3786641541038521E-2</v>
      </c>
      <c r="L53" s="164">
        <f>('El Producto'!$AK$11+'El Producto'!$AK$26+'El Producto'!$AK$41+'El Producto'!$AK$56)/4</f>
        <v>4.3786641541038521E-2</v>
      </c>
      <c r="M53" s="164">
        <f>('El Producto'!$AK$11+'El Producto'!$AK$26+'El Producto'!$AK$41+'El Producto'!$AK$56)/4</f>
        <v>4.3786641541038521E-2</v>
      </c>
    </row>
    <row r="54" spans="1:13" x14ac:dyDescent="0.2">
      <c r="A54" s="18" t="s">
        <v>1653</v>
      </c>
      <c r="B54" s="164">
        <f>('El Producto'!$AK$12+'El Producto'!$AK$27+'El Producto'!$AK$42+'El Producto'!$AK$57)/4</f>
        <v>1.5637170226130651E-2</v>
      </c>
      <c r="C54" s="164">
        <f>('El Producto'!$AK$12+'El Producto'!$AK$27+'El Producto'!$AK$42+'El Producto'!$AK$57)/4</f>
        <v>1.5637170226130651E-2</v>
      </c>
      <c r="D54" s="164">
        <f>('El Producto'!$AK$12+'El Producto'!$AK$27+'El Producto'!$AK$42+'El Producto'!$AK$57)/4</f>
        <v>1.5637170226130651E-2</v>
      </c>
      <c r="E54" s="164">
        <f>('El Producto'!$AK$12+'El Producto'!$AK$27+'El Producto'!$AK$42+'El Producto'!$AK$57)/4</f>
        <v>1.5637170226130651E-2</v>
      </c>
      <c r="F54" s="164">
        <f>('El Producto'!$AK$12+'El Producto'!$AK$27+'El Producto'!$AK$42+'El Producto'!$AK$57)/4</f>
        <v>1.5637170226130651E-2</v>
      </c>
      <c r="G54" s="164">
        <f>('El Producto'!$AK$12+'El Producto'!$AK$27+'El Producto'!$AK$42+'El Producto'!$AK$57)/4</f>
        <v>1.5637170226130651E-2</v>
      </c>
      <c r="H54" s="164">
        <f>('El Producto'!$AK$12+'El Producto'!$AK$27+'El Producto'!$AK$42+'El Producto'!$AK$57)/4</f>
        <v>1.5637170226130651E-2</v>
      </c>
      <c r="I54" s="164">
        <f>('El Producto'!$AK$12+'El Producto'!$AK$27+'El Producto'!$AK$42+'El Producto'!$AK$57)/4</f>
        <v>1.5637170226130651E-2</v>
      </c>
      <c r="J54" s="164">
        <f>('El Producto'!$AK$12+'El Producto'!$AK$27+'El Producto'!$AK$42+'El Producto'!$AK$57)/4</f>
        <v>1.5637170226130651E-2</v>
      </c>
      <c r="K54" s="164">
        <f>('El Producto'!$AK$12+'El Producto'!$AK$27+'El Producto'!$AK$42+'El Producto'!$AK$57)/4</f>
        <v>1.5637170226130651E-2</v>
      </c>
      <c r="L54" s="164">
        <f>('El Producto'!$AK$12+'El Producto'!$AK$27+'El Producto'!$AK$42+'El Producto'!$AK$57)/4</f>
        <v>1.5637170226130651E-2</v>
      </c>
      <c r="M54" s="164">
        <f>('El Producto'!$AK$12+'El Producto'!$AK$27+'El Producto'!$AK$42+'El Producto'!$AK$57)/4</f>
        <v>1.5637170226130651E-2</v>
      </c>
    </row>
    <row r="55" spans="1:13" x14ac:dyDescent="0.2">
      <c r="A55" s="18" t="s">
        <v>1654</v>
      </c>
      <c r="B55" s="164">
        <f>('El Producto'!$AK$13+'El Producto'!$AK$28+'El Producto'!$AK$43+'El Producto'!$AK$58)/4</f>
        <v>5.5444932998324958E-3</v>
      </c>
      <c r="C55" s="164">
        <f>('El Producto'!$AK$13+'El Producto'!$AK$28+'El Producto'!$AK$43+'El Producto'!$AK$58)/4</f>
        <v>5.5444932998324958E-3</v>
      </c>
      <c r="D55" s="164">
        <f>('El Producto'!$AK$13+'El Producto'!$AK$28+'El Producto'!$AK$43+'El Producto'!$AK$58)/4</f>
        <v>5.5444932998324958E-3</v>
      </c>
      <c r="E55" s="164">
        <f>('El Producto'!$AK$13+'El Producto'!$AK$28+'El Producto'!$AK$43+'El Producto'!$AK$58)/4</f>
        <v>5.5444932998324958E-3</v>
      </c>
      <c r="F55" s="164">
        <f>('El Producto'!$AK$13+'El Producto'!$AK$28+'El Producto'!$AK$43+'El Producto'!$AK$58)/4</f>
        <v>5.5444932998324958E-3</v>
      </c>
      <c r="G55" s="164">
        <f>('El Producto'!$AK$13+'El Producto'!$AK$28+'El Producto'!$AK$43+'El Producto'!$AK$58)/4</f>
        <v>5.5444932998324958E-3</v>
      </c>
      <c r="H55" s="164">
        <f>('El Producto'!$AK$13+'El Producto'!$AK$28+'El Producto'!$AK$43+'El Producto'!$AK$58)/4</f>
        <v>5.5444932998324958E-3</v>
      </c>
      <c r="I55" s="164">
        <f>('El Producto'!$AK$13+'El Producto'!$AK$28+'El Producto'!$AK$43+'El Producto'!$AK$58)/4</f>
        <v>5.5444932998324958E-3</v>
      </c>
      <c r="J55" s="164">
        <f>('El Producto'!$AK$13+'El Producto'!$AK$28+'El Producto'!$AK$43+'El Producto'!$AK$58)/4</f>
        <v>5.5444932998324958E-3</v>
      </c>
      <c r="K55" s="164">
        <f>('El Producto'!$AK$13+'El Producto'!$AK$28+'El Producto'!$AK$43+'El Producto'!$AK$58)/4</f>
        <v>5.5444932998324958E-3</v>
      </c>
      <c r="L55" s="164">
        <f>('El Producto'!$AK$13+'El Producto'!$AK$28+'El Producto'!$AK$43+'El Producto'!$AK$58)/4</f>
        <v>5.5444932998324958E-3</v>
      </c>
      <c r="M55" s="164">
        <f>('El Producto'!$AK$13+'El Producto'!$AK$28+'El Producto'!$AK$43+'El Producto'!$AK$58)/4</f>
        <v>5.5444932998324958E-3</v>
      </c>
    </row>
    <row r="56" spans="1:13" x14ac:dyDescent="0.2">
      <c r="A56" s="18" t="s">
        <v>1655</v>
      </c>
      <c r="B56" s="164">
        <f>('El Producto'!$AK$14+'El Producto'!$AK$29+'El Producto'!$AK$44+'El Producto'!$AK$59)/4</f>
        <v>5.4031323283082067E-3</v>
      </c>
      <c r="C56" s="164">
        <f>('El Producto'!$AK$14+'El Producto'!$AK$29+'El Producto'!$AK$44+'El Producto'!$AK$59)/4</f>
        <v>5.4031323283082067E-3</v>
      </c>
      <c r="D56" s="164">
        <f>('El Producto'!$AK$14+'El Producto'!$AK$29+'El Producto'!$AK$44+'El Producto'!$AK$59)/4</f>
        <v>5.4031323283082067E-3</v>
      </c>
      <c r="E56" s="164">
        <f>('El Producto'!$AK$14+'El Producto'!$AK$29+'El Producto'!$AK$44+'El Producto'!$AK$59)/4</f>
        <v>5.4031323283082067E-3</v>
      </c>
      <c r="F56" s="164">
        <f>('El Producto'!$AK$14+'El Producto'!$AK$29+'El Producto'!$AK$44+'El Producto'!$AK$59)/4</f>
        <v>5.4031323283082067E-3</v>
      </c>
      <c r="G56" s="164">
        <f>('El Producto'!$AK$14+'El Producto'!$AK$29+'El Producto'!$AK$44+'El Producto'!$AK$59)/4</f>
        <v>5.4031323283082067E-3</v>
      </c>
      <c r="H56" s="164">
        <f>('El Producto'!$AK$14+'El Producto'!$AK$29+'El Producto'!$AK$44+'El Producto'!$AK$59)/4</f>
        <v>5.4031323283082067E-3</v>
      </c>
      <c r="I56" s="164">
        <f>('El Producto'!$AK$14+'El Producto'!$AK$29+'El Producto'!$AK$44+'El Producto'!$AK$59)/4</f>
        <v>5.4031323283082067E-3</v>
      </c>
      <c r="J56" s="164">
        <f>('El Producto'!$AK$14+'El Producto'!$AK$29+'El Producto'!$AK$44+'El Producto'!$AK$59)/4</f>
        <v>5.4031323283082067E-3</v>
      </c>
      <c r="K56" s="164">
        <f>('El Producto'!$AK$14+'El Producto'!$AK$29+'El Producto'!$AK$44+'El Producto'!$AK$59)/4</f>
        <v>5.4031323283082067E-3</v>
      </c>
      <c r="L56" s="164">
        <f>('El Producto'!$AK$14+'El Producto'!$AK$29+'El Producto'!$AK$44+'El Producto'!$AK$59)/4</f>
        <v>5.4031323283082067E-3</v>
      </c>
      <c r="M56" s="164">
        <f>('El Producto'!$AK$14+'El Producto'!$AK$29+'El Producto'!$AK$44+'El Producto'!$AK$59)/4</f>
        <v>5.4031323283082067E-3</v>
      </c>
    </row>
    <row r="57" spans="1:13" x14ac:dyDescent="0.2">
      <c r="A57" s="18" t="s">
        <v>1656</v>
      </c>
      <c r="B57" s="164">
        <f>('El Producto'!$AK$15+'El Producto'!$AK$30+'El Producto'!$AK$45+'El Producto'!$AK$60)/4</f>
        <v>9.9942211055276398E-3</v>
      </c>
      <c r="C57" s="164">
        <f>('El Producto'!$AK$15+'El Producto'!$AK$30+'El Producto'!$AK$45+'El Producto'!$AK$60)/4</f>
        <v>9.9942211055276398E-3</v>
      </c>
      <c r="D57" s="164">
        <f>('El Producto'!$AK$15+'El Producto'!$AK$30+'El Producto'!$AK$45+'El Producto'!$AK$60)/4</f>
        <v>9.9942211055276398E-3</v>
      </c>
      <c r="E57" s="164">
        <f>('El Producto'!$AK$15+'El Producto'!$AK$30+'El Producto'!$AK$45+'El Producto'!$AK$60)/4</f>
        <v>9.9942211055276398E-3</v>
      </c>
      <c r="F57" s="164">
        <f>('El Producto'!$AK$15+'El Producto'!$AK$30+'El Producto'!$AK$45+'El Producto'!$AK$60)/4</f>
        <v>9.9942211055276398E-3</v>
      </c>
      <c r="G57" s="164">
        <f>('El Producto'!$AK$15+'El Producto'!$AK$30+'El Producto'!$AK$45+'El Producto'!$AK$60)/4</f>
        <v>9.9942211055276398E-3</v>
      </c>
      <c r="H57" s="164">
        <f>('El Producto'!$AK$15+'El Producto'!$AK$30+'El Producto'!$AK$45+'El Producto'!$AK$60)/4</f>
        <v>9.9942211055276398E-3</v>
      </c>
      <c r="I57" s="164">
        <f>('El Producto'!$AK$15+'El Producto'!$AK$30+'El Producto'!$AK$45+'El Producto'!$AK$60)/4</f>
        <v>9.9942211055276398E-3</v>
      </c>
      <c r="J57" s="164">
        <f>('El Producto'!$AK$15+'El Producto'!$AK$30+'El Producto'!$AK$45+'El Producto'!$AK$60)/4</f>
        <v>9.9942211055276398E-3</v>
      </c>
      <c r="K57" s="164">
        <f>('El Producto'!$AK$15+'El Producto'!$AK$30+'El Producto'!$AK$45+'El Producto'!$AK$60)/4</f>
        <v>9.9942211055276398E-3</v>
      </c>
      <c r="L57" s="164">
        <f>('El Producto'!$AK$15+'El Producto'!$AK$30+'El Producto'!$AK$45+'El Producto'!$AK$60)/4</f>
        <v>9.9942211055276398E-3</v>
      </c>
      <c r="M57" s="164">
        <f>('El Producto'!$AK$15+'El Producto'!$AK$30+'El Producto'!$AK$45+'El Producto'!$AK$60)/4</f>
        <v>9.9942211055276398E-3</v>
      </c>
    </row>
    <row r="58" spans="1:13" x14ac:dyDescent="0.2">
      <c r="A58" s="18" t="s">
        <v>1657</v>
      </c>
      <c r="B58" s="164">
        <f>('El Producto'!$AK$16+'El Producto'!$AK$31+'El Producto'!$AK$46+'El Producto'!$AK$61)/4</f>
        <v>4.3403576214405361E-2</v>
      </c>
      <c r="C58" s="164">
        <f>('El Producto'!$AK$16+'El Producto'!$AK$31+'El Producto'!$AK$46+'El Producto'!$AK$61)/4</f>
        <v>4.3403576214405361E-2</v>
      </c>
      <c r="D58" s="164">
        <f>('El Producto'!$AK$16+'El Producto'!$AK$31+'El Producto'!$AK$46+'El Producto'!$AK$61)/4</f>
        <v>4.3403576214405361E-2</v>
      </c>
      <c r="E58" s="164">
        <f>('El Producto'!$AK$16+'El Producto'!$AK$31+'El Producto'!$AK$46+'El Producto'!$AK$61)/4</f>
        <v>4.3403576214405361E-2</v>
      </c>
      <c r="F58" s="164">
        <f>('El Producto'!$AK$16+'El Producto'!$AK$31+'El Producto'!$AK$46+'El Producto'!$AK$61)/4</f>
        <v>4.3403576214405361E-2</v>
      </c>
      <c r="G58" s="164">
        <f>('El Producto'!$AK$16+'El Producto'!$AK$31+'El Producto'!$AK$46+'El Producto'!$AK$61)/4</f>
        <v>4.3403576214405361E-2</v>
      </c>
      <c r="H58" s="164">
        <f>('El Producto'!$AK$16+'El Producto'!$AK$31+'El Producto'!$AK$46+'El Producto'!$AK$61)/4</f>
        <v>4.3403576214405361E-2</v>
      </c>
      <c r="I58" s="164">
        <f>('El Producto'!$AK$16+'El Producto'!$AK$31+'El Producto'!$AK$46+'El Producto'!$AK$61)/4</f>
        <v>4.3403576214405361E-2</v>
      </c>
      <c r="J58" s="164">
        <f>('El Producto'!$AK$16+'El Producto'!$AK$31+'El Producto'!$AK$46+'El Producto'!$AK$61)/4</f>
        <v>4.3403576214405361E-2</v>
      </c>
      <c r="K58" s="164">
        <f>('El Producto'!$AK$16+'El Producto'!$AK$31+'El Producto'!$AK$46+'El Producto'!$AK$61)/4</f>
        <v>4.3403576214405361E-2</v>
      </c>
      <c r="L58" s="164">
        <f>('El Producto'!$AK$16+'El Producto'!$AK$31+'El Producto'!$AK$46+'El Producto'!$AK$61)/4</f>
        <v>4.3403576214405361E-2</v>
      </c>
      <c r="M58" s="164">
        <f>('El Producto'!$AK$16+'El Producto'!$AK$31+'El Producto'!$AK$46+'El Producto'!$AK$61)/4</f>
        <v>4.3403576214405361E-2</v>
      </c>
    </row>
    <row r="59" spans="1:13" x14ac:dyDescent="0.2">
      <c r="A59" s="18" t="s">
        <v>1659</v>
      </c>
      <c r="B59" s="319">
        <f>356*26</f>
        <v>9256</v>
      </c>
      <c r="C59" s="319">
        <f t="shared" ref="C59:M62" si="15">356*26</f>
        <v>9256</v>
      </c>
      <c r="D59" s="319">
        <f t="shared" si="15"/>
        <v>9256</v>
      </c>
      <c r="E59" s="319">
        <f t="shared" si="15"/>
        <v>9256</v>
      </c>
      <c r="F59" s="319">
        <f t="shared" si="15"/>
        <v>9256</v>
      </c>
      <c r="G59" s="319">
        <f t="shared" si="15"/>
        <v>9256</v>
      </c>
      <c r="H59" s="319">
        <f t="shared" si="15"/>
        <v>9256</v>
      </c>
      <c r="I59" s="319">
        <f t="shared" si="15"/>
        <v>9256</v>
      </c>
      <c r="J59" s="319">
        <f t="shared" si="15"/>
        <v>9256</v>
      </c>
      <c r="K59" s="319">
        <f t="shared" si="15"/>
        <v>9256</v>
      </c>
      <c r="L59" s="319">
        <f t="shared" si="15"/>
        <v>9256</v>
      </c>
      <c r="M59" s="319">
        <f t="shared" si="15"/>
        <v>9256</v>
      </c>
    </row>
    <row r="60" spans="1:13" x14ac:dyDescent="0.2">
      <c r="A60" s="18" t="s">
        <v>1660</v>
      </c>
      <c r="B60" s="319">
        <f>356*26</f>
        <v>9256</v>
      </c>
      <c r="C60" s="319">
        <f t="shared" si="15"/>
        <v>9256</v>
      </c>
      <c r="D60" s="319">
        <f t="shared" si="15"/>
        <v>9256</v>
      </c>
      <c r="E60" s="319">
        <f t="shared" si="15"/>
        <v>9256</v>
      </c>
      <c r="F60" s="319">
        <f t="shared" si="15"/>
        <v>9256</v>
      </c>
      <c r="G60" s="319">
        <f t="shared" si="15"/>
        <v>9256</v>
      </c>
      <c r="H60" s="319">
        <f t="shared" si="15"/>
        <v>9256</v>
      </c>
      <c r="I60" s="319">
        <f t="shared" si="15"/>
        <v>9256</v>
      </c>
      <c r="J60" s="319">
        <f t="shared" si="15"/>
        <v>9256</v>
      </c>
      <c r="K60" s="319">
        <f t="shared" si="15"/>
        <v>9256</v>
      </c>
      <c r="L60" s="319">
        <f t="shared" si="15"/>
        <v>9256</v>
      </c>
      <c r="M60" s="319">
        <f t="shared" si="15"/>
        <v>9256</v>
      </c>
    </row>
    <row r="61" spans="1:13" x14ac:dyDescent="0.2">
      <c r="A61" s="18" t="s">
        <v>1661</v>
      </c>
      <c r="B61" s="319">
        <f>356*26</f>
        <v>9256</v>
      </c>
      <c r="C61" s="319">
        <f t="shared" si="15"/>
        <v>9256</v>
      </c>
      <c r="D61" s="319">
        <f t="shared" si="15"/>
        <v>9256</v>
      </c>
      <c r="E61" s="319">
        <f t="shared" si="15"/>
        <v>9256</v>
      </c>
      <c r="F61" s="319">
        <f t="shared" si="15"/>
        <v>9256</v>
      </c>
      <c r="G61" s="319">
        <f t="shared" si="15"/>
        <v>9256</v>
      </c>
      <c r="H61" s="319">
        <f t="shared" si="15"/>
        <v>9256</v>
      </c>
      <c r="I61" s="319">
        <f t="shared" si="15"/>
        <v>9256</v>
      </c>
      <c r="J61" s="319">
        <f t="shared" si="15"/>
        <v>9256</v>
      </c>
      <c r="K61" s="319">
        <f t="shared" si="15"/>
        <v>9256</v>
      </c>
      <c r="L61" s="319">
        <f t="shared" si="15"/>
        <v>9256</v>
      </c>
      <c r="M61" s="319">
        <f t="shared" si="15"/>
        <v>9256</v>
      </c>
    </row>
    <row r="62" spans="1:13" x14ac:dyDescent="0.2">
      <c r="A62" s="18" t="s">
        <v>1662</v>
      </c>
      <c r="B62" s="319">
        <f>356*26</f>
        <v>9256</v>
      </c>
      <c r="C62" s="319">
        <f t="shared" si="15"/>
        <v>9256</v>
      </c>
      <c r="D62" s="319">
        <f t="shared" si="15"/>
        <v>9256</v>
      </c>
      <c r="E62" s="319">
        <f t="shared" si="15"/>
        <v>9256</v>
      </c>
      <c r="F62" s="319">
        <f t="shared" si="15"/>
        <v>9256</v>
      </c>
      <c r="G62" s="319">
        <f t="shared" si="15"/>
        <v>9256</v>
      </c>
      <c r="H62" s="319">
        <f t="shared" si="15"/>
        <v>9256</v>
      </c>
      <c r="I62" s="319">
        <f t="shared" si="15"/>
        <v>9256</v>
      </c>
      <c r="J62" s="319">
        <f t="shared" si="15"/>
        <v>9256</v>
      </c>
      <c r="K62" s="319">
        <f t="shared" si="15"/>
        <v>9256</v>
      </c>
      <c r="L62" s="319">
        <f t="shared" si="15"/>
        <v>9256</v>
      </c>
      <c r="M62" s="319">
        <f t="shared" si="15"/>
        <v>9256</v>
      </c>
    </row>
    <row r="63" spans="1:13" x14ac:dyDescent="0.2">
      <c r="A63" s="350" t="s">
        <v>1663</v>
      </c>
      <c r="B63" s="342">
        <f>(SUM(B45:B49)+SUM(B53:B58))*B59</f>
        <v>12867.913423458962</v>
      </c>
      <c r="C63" s="342">
        <f t="shared" ref="C63:M63" si="16">(SUM(C45:C49)+SUM(C53:C58))*C59</f>
        <v>12867.913423458962</v>
      </c>
      <c r="D63" s="342">
        <f t="shared" si="16"/>
        <v>12867.913423458962</v>
      </c>
      <c r="E63" s="342">
        <f t="shared" si="16"/>
        <v>12867.913423458962</v>
      </c>
      <c r="F63" s="342">
        <f t="shared" si="16"/>
        <v>12867.913423458962</v>
      </c>
      <c r="G63" s="342">
        <f t="shared" si="16"/>
        <v>12867.913423458962</v>
      </c>
      <c r="H63" s="342">
        <f t="shared" si="16"/>
        <v>12867.913423458962</v>
      </c>
      <c r="I63" s="342">
        <f t="shared" si="16"/>
        <v>12867.913423458962</v>
      </c>
      <c r="J63" s="342">
        <f t="shared" si="16"/>
        <v>12867.913423458962</v>
      </c>
      <c r="K63" s="342">
        <f t="shared" si="16"/>
        <v>12867.913423458962</v>
      </c>
      <c r="L63" s="342">
        <f t="shared" si="16"/>
        <v>12867.913423458962</v>
      </c>
      <c r="M63" s="342">
        <f t="shared" si="16"/>
        <v>12867.913423458962</v>
      </c>
    </row>
    <row r="64" spans="1:13" x14ac:dyDescent="0.2">
      <c r="A64" s="350" t="s">
        <v>1664</v>
      </c>
      <c r="B64" s="342">
        <f>(SUM(B45:B48)+B50+SUM(B53:B58))*B60</f>
        <v>11965.259621113901</v>
      </c>
      <c r="C64" s="342">
        <f t="shared" ref="C64:M64" si="17">(SUM(C45:C48)+C50+SUM(C53:C58))*C60</f>
        <v>11965.259621113901</v>
      </c>
      <c r="D64" s="342">
        <f t="shared" si="17"/>
        <v>11965.259621113901</v>
      </c>
      <c r="E64" s="342">
        <f t="shared" si="17"/>
        <v>11965.259621113901</v>
      </c>
      <c r="F64" s="342">
        <f t="shared" si="17"/>
        <v>11965.259621113901</v>
      </c>
      <c r="G64" s="342">
        <f t="shared" si="17"/>
        <v>11965.259621113901</v>
      </c>
      <c r="H64" s="342">
        <f t="shared" si="17"/>
        <v>11965.259621113901</v>
      </c>
      <c r="I64" s="342">
        <f t="shared" si="17"/>
        <v>11965.259621113901</v>
      </c>
      <c r="J64" s="342">
        <f t="shared" si="17"/>
        <v>11965.259621113901</v>
      </c>
      <c r="K64" s="342">
        <f t="shared" si="17"/>
        <v>11965.259621113901</v>
      </c>
      <c r="L64" s="342">
        <f t="shared" si="17"/>
        <v>11965.259621113901</v>
      </c>
      <c r="M64" s="342">
        <f t="shared" si="17"/>
        <v>11965.259621113901</v>
      </c>
    </row>
    <row r="65" spans="1:13" x14ac:dyDescent="0.2">
      <c r="A65" s="350" t="s">
        <v>1665</v>
      </c>
      <c r="B65" s="342">
        <f>(SUM(B45:B48)+B51+SUM(B53:B58))*B61</f>
        <v>10661.04735980737</v>
      </c>
      <c r="C65" s="342">
        <f t="shared" ref="C65:M65" si="18">(SUM(C45:C48)+C51+SUM(C53:C58))*C61</f>
        <v>10661.04735980737</v>
      </c>
      <c r="D65" s="342">
        <f t="shared" si="18"/>
        <v>10661.04735980737</v>
      </c>
      <c r="E65" s="342">
        <f t="shared" si="18"/>
        <v>10661.04735980737</v>
      </c>
      <c r="F65" s="342">
        <f t="shared" si="18"/>
        <v>10661.04735980737</v>
      </c>
      <c r="G65" s="342">
        <f t="shared" si="18"/>
        <v>10661.04735980737</v>
      </c>
      <c r="H65" s="342">
        <f t="shared" si="18"/>
        <v>10661.04735980737</v>
      </c>
      <c r="I65" s="342">
        <f t="shared" si="18"/>
        <v>10661.04735980737</v>
      </c>
      <c r="J65" s="342">
        <f t="shared" si="18"/>
        <v>10661.04735980737</v>
      </c>
      <c r="K65" s="342">
        <f t="shared" si="18"/>
        <v>10661.04735980737</v>
      </c>
      <c r="L65" s="342">
        <f t="shared" si="18"/>
        <v>10661.04735980737</v>
      </c>
      <c r="M65" s="342">
        <f t="shared" si="18"/>
        <v>10661.04735980737</v>
      </c>
    </row>
    <row r="66" spans="1:13" x14ac:dyDescent="0.2">
      <c r="A66" s="350" t="s">
        <v>1666</v>
      </c>
      <c r="B66" s="342">
        <f>(SUM(B45:B48)+SUM(B52:B58))*B62</f>
        <v>10542.238770192631</v>
      </c>
      <c r="C66" s="342">
        <f t="shared" ref="C66:M66" si="19">(SUM(C45:C48)+SUM(C52:C58))*C62</f>
        <v>10542.238770192631</v>
      </c>
      <c r="D66" s="342">
        <f t="shared" si="19"/>
        <v>10542.238770192631</v>
      </c>
      <c r="E66" s="342">
        <f t="shared" si="19"/>
        <v>10542.238770192631</v>
      </c>
      <c r="F66" s="342">
        <f t="shared" si="19"/>
        <v>10542.238770192631</v>
      </c>
      <c r="G66" s="342">
        <f t="shared" si="19"/>
        <v>10542.238770192631</v>
      </c>
      <c r="H66" s="342">
        <f t="shared" si="19"/>
        <v>10542.238770192631</v>
      </c>
      <c r="I66" s="342">
        <f t="shared" si="19"/>
        <v>10542.238770192631</v>
      </c>
      <c r="J66" s="342">
        <f t="shared" si="19"/>
        <v>10542.238770192631</v>
      </c>
      <c r="K66" s="342">
        <f t="shared" si="19"/>
        <v>10542.238770192631</v>
      </c>
      <c r="L66" s="342">
        <f t="shared" si="19"/>
        <v>10542.238770192631</v>
      </c>
      <c r="M66" s="342">
        <f t="shared" si="19"/>
        <v>10542.238770192631</v>
      </c>
    </row>
    <row r="67" spans="1:13" x14ac:dyDescent="0.2">
      <c r="A67" s="203" t="s">
        <v>1658</v>
      </c>
      <c r="B67" s="293">
        <f>SUM(B63:B66)</f>
        <v>46036.459174572869</v>
      </c>
      <c r="C67" s="293">
        <f t="shared" ref="C67:M67" si="20">SUM(C63:C66)</f>
        <v>46036.459174572869</v>
      </c>
      <c r="D67" s="293">
        <f t="shared" si="20"/>
        <v>46036.459174572869</v>
      </c>
      <c r="E67" s="293">
        <f t="shared" si="20"/>
        <v>46036.459174572869</v>
      </c>
      <c r="F67" s="293">
        <f t="shared" si="20"/>
        <v>46036.459174572869</v>
      </c>
      <c r="G67" s="293">
        <f t="shared" si="20"/>
        <v>46036.459174572869</v>
      </c>
      <c r="H67" s="293">
        <f t="shared" si="20"/>
        <v>46036.459174572869</v>
      </c>
      <c r="I67" s="293">
        <f t="shared" si="20"/>
        <v>46036.459174572869</v>
      </c>
      <c r="J67" s="293">
        <f t="shared" si="20"/>
        <v>46036.459174572869</v>
      </c>
      <c r="K67" s="293">
        <f t="shared" si="20"/>
        <v>46036.459174572869</v>
      </c>
      <c r="L67" s="293">
        <f t="shared" si="20"/>
        <v>46036.459174572869</v>
      </c>
      <c r="M67" s="293">
        <f t="shared" si="20"/>
        <v>46036.459174572869</v>
      </c>
    </row>
    <row r="68" spans="1:13" x14ac:dyDescent="0.2">
      <c r="A68" s="203" t="s">
        <v>1333</v>
      </c>
      <c r="B68" s="293">
        <f>B67*18%</f>
        <v>8286.5626514231153</v>
      </c>
      <c r="C68" s="293">
        <f t="shared" ref="C68" si="21">C67*18%</f>
        <v>8286.5626514231153</v>
      </c>
      <c r="D68" s="293">
        <f t="shared" ref="D68" si="22">D67*18%</f>
        <v>8286.5626514231153</v>
      </c>
      <c r="E68" s="293">
        <f t="shared" ref="E68" si="23">E67*18%</f>
        <v>8286.5626514231153</v>
      </c>
      <c r="F68" s="293">
        <f t="shared" ref="F68" si="24">F67*18%</f>
        <v>8286.5626514231153</v>
      </c>
      <c r="G68" s="293">
        <f t="shared" ref="G68" si="25">G67*18%</f>
        <v>8286.5626514231153</v>
      </c>
      <c r="H68" s="293">
        <f t="shared" ref="H68" si="26">H67*18%</f>
        <v>8286.5626514231153</v>
      </c>
      <c r="I68" s="293">
        <f t="shared" ref="I68" si="27">I67*18%</f>
        <v>8286.5626514231153</v>
      </c>
      <c r="J68" s="293">
        <f t="shared" ref="J68" si="28">J67*18%</f>
        <v>8286.5626514231153</v>
      </c>
      <c r="K68" s="293">
        <f t="shared" ref="K68" si="29">K67*18%</f>
        <v>8286.5626514231153</v>
      </c>
      <c r="L68" s="293">
        <f t="shared" ref="L68" si="30">L67*18%</f>
        <v>8286.5626514231153</v>
      </c>
      <c r="M68" s="293">
        <f t="shared" ref="M68" si="31">M67*18%</f>
        <v>8286.5626514231153</v>
      </c>
    </row>
    <row r="69" spans="1:13" x14ac:dyDescent="0.2">
      <c r="A69" s="203" t="s">
        <v>1643</v>
      </c>
      <c r="B69" s="293">
        <f>B67-B68</f>
        <v>37749.896523149757</v>
      </c>
      <c r="C69" s="293">
        <f t="shared" ref="C69" si="32">C67-C68</f>
        <v>37749.896523149757</v>
      </c>
      <c r="D69" s="293">
        <f t="shared" ref="D69" si="33">D67-D68</f>
        <v>37749.896523149757</v>
      </c>
      <c r="E69" s="293">
        <f t="shared" ref="E69" si="34">E67-E68</f>
        <v>37749.896523149757</v>
      </c>
      <c r="F69" s="293">
        <f t="shared" ref="F69" si="35">F67-F68</f>
        <v>37749.896523149757</v>
      </c>
      <c r="G69" s="293">
        <f t="shared" ref="G69" si="36">G67-G68</f>
        <v>37749.896523149757</v>
      </c>
      <c r="H69" s="293">
        <f t="shared" ref="H69" si="37">H67-H68</f>
        <v>37749.896523149757</v>
      </c>
      <c r="I69" s="293">
        <f t="shared" ref="I69" si="38">I67-I68</f>
        <v>37749.896523149757</v>
      </c>
      <c r="J69" s="293">
        <f t="shared" ref="J69" si="39">J67-J68</f>
        <v>37749.896523149757</v>
      </c>
      <c r="K69" s="293">
        <f t="shared" ref="K69" si="40">K67-K68</f>
        <v>37749.896523149757</v>
      </c>
      <c r="L69" s="293">
        <f t="shared" ref="L69" si="41">L67-L68</f>
        <v>37749.896523149757</v>
      </c>
      <c r="M69" s="293">
        <f t="shared" ref="M69" si="42">M67-M68</f>
        <v>37749.896523149757</v>
      </c>
    </row>
    <row r="70" spans="1:13" x14ac:dyDescent="0.2">
      <c r="B70" s="9">
        <f>B67-(6%*B67)</f>
        <v>43274.271624098496</v>
      </c>
      <c r="C70" s="9">
        <f t="shared" ref="C70:M70" si="43">C67-(6%*C67)</f>
        <v>43274.271624098496</v>
      </c>
      <c r="D70" s="9">
        <f t="shared" si="43"/>
        <v>43274.271624098496</v>
      </c>
      <c r="E70" s="9">
        <f t="shared" si="43"/>
        <v>43274.271624098496</v>
      </c>
      <c r="F70" s="9">
        <f t="shared" si="43"/>
        <v>43274.271624098496</v>
      </c>
      <c r="G70" s="9">
        <f t="shared" si="43"/>
        <v>43274.271624098496</v>
      </c>
      <c r="H70" s="9">
        <f t="shared" si="43"/>
        <v>43274.271624098496</v>
      </c>
      <c r="I70" s="9">
        <f t="shared" si="43"/>
        <v>43274.271624098496</v>
      </c>
      <c r="J70" s="9">
        <f t="shared" si="43"/>
        <v>43274.271624098496</v>
      </c>
      <c r="K70" s="9">
        <f t="shared" si="43"/>
        <v>43274.271624098496</v>
      </c>
      <c r="L70" s="9">
        <f t="shared" si="43"/>
        <v>43274.271624098496</v>
      </c>
      <c r="M70" s="9">
        <f t="shared" si="43"/>
        <v>43274.271624098496</v>
      </c>
    </row>
    <row r="72" spans="1:13" x14ac:dyDescent="0.2">
      <c r="A72" s="327" t="s">
        <v>1669</v>
      </c>
    </row>
    <row r="73" spans="1:13" x14ac:dyDescent="0.2">
      <c r="A73" s="15"/>
      <c r="B73" s="315" t="s">
        <v>1492</v>
      </c>
      <c r="C73" s="315" t="s">
        <v>1493</v>
      </c>
      <c r="D73" s="315" t="s">
        <v>1494</v>
      </c>
      <c r="E73" s="315" t="s">
        <v>1495</v>
      </c>
      <c r="F73" s="315" t="s">
        <v>1496</v>
      </c>
      <c r="G73" s="315" t="s">
        <v>1497</v>
      </c>
      <c r="H73" s="315" t="s">
        <v>1498</v>
      </c>
      <c r="I73" s="315" t="s">
        <v>1499</v>
      </c>
      <c r="J73" s="315" t="s">
        <v>1500</v>
      </c>
      <c r="K73" s="315" t="s">
        <v>1501</v>
      </c>
      <c r="L73" s="315" t="s">
        <v>1502</v>
      </c>
      <c r="M73" s="315" t="s">
        <v>1503</v>
      </c>
    </row>
    <row r="74" spans="1:13" x14ac:dyDescent="0.2">
      <c r="A74" s="18" t="s">
        <v>1644</v>
      </c>
      <c r="B74" s="164">
        <v>0.125</v>
      </c>
      <c r="C74" s="164">
        <v>0.125</v>
      </c>
      <c r="D74" s="164">
        <v>0.125</v>
      </c>
      <c r="E74" s="164">
        <v>0.125</v>
      </c>
      <c r="F74" s="164">
        <v>0.125</v>
      </c>
      <c r="G74" s="164">
        <v>0.125</v>
      </c>
      <c r="H74" s="164">
        <v>0.125</v>
      </c>
      <c r="I74" s="164">
        <v>0.125</v>
      </c>
      <c r="J74" s="164">
        <v>0.125</v>
      </c>
      <c r="K74" s="164">
        <v>0.125</v>
      </c>
      <c r="L74" s="164">
        <v>0.125</v>
      </c>
      <c r="M74" s="164">
        <v>0.125</v>
      </c>
    </row>
    <row r="75" spans="1:13" x14ac:dyDescent="0.2">
      <c r="A75" s="18" t="s">
        <v>1645</v>
      </c>
      <c r="B75" s="164">
        <v>0.38350000000000001</v>
      </c>
      <c r="C75" s="164">
        <v>0.38350000000000001</v>
      </c>
      <c r="D75" s="164">
        <v>0.38350000000000001</v>
      </c>
      <c r="E75" s="164">
        <v>0.38350000000000001</v>
      </c>
      <c r="F75" s="164">
        <v>0.38350000000000001</v>
      </c>
      <c r="G75" s="164">
        <v>0.38350000000000001</v>
      </c>
      <c r="H75" s="164">
        <v>0.38350000000000001</v>
      </c>
      <c r="I75" s="164">
        <v>0.38350000000000001</v>
      </c>
      <c r="J75" s="164">
        <v>0.38350000000000001</v>
      </c>
      <c r="K75" s="164">
        <v>0.38350000000000001</v>
      </c>
      <c r="L75" s="164">
        <v>0.38350000000000001</v>
      </c>
      <c r="M75" s="164">
        <v>0.38350000000000001</v>
      </c>
    </row>
    <row r="76" spans="1:13" x14ac:dyDescent="0.2">
      <c r="A76" s="18" t="s">
        <v>1646</v>
      </c>
      <c r="B76" s="310">
        <v>0.25</v>
      </c>
      <c r="C76" s="310">
        <v>0.25</v>
      </c>
      <c r="D76" s="310">
        <v>0.25</v>
      </c>
      <c r="E76" s="310">
        <v>0.25</v>
      </c>
      <c r="F76" s="310">
        <v>0.25</v>
      </c>
      <c r="G76" s="310">
        <v>0.25</v>
      </c>
      <c r="H76" s="310">
        <v>0.25</v>
      </c>
      <c r="I76" s="310">
        <v>0.25</v>
      </c>
      <c r="J76" s="310">
        <v>0.25</v>
      </c>
      <c r="K76" s="310">
        <v>0.25</v>
      </c>
      <c r="L76" s="310">
        <v>0.25</v>
      </c>
      <c r="M76" s="310">
        <v>0.25</v>
      </c>
    </row>
    <row r="77" spans="1:13" x14ac:dyDescent="0.2">
      <c r="A77" s="18" t="s">
        <v>1647</v>
      </c>
      <c r="B77" s="164">
        <f>('El Producto'!$AK$9+'El Producto'!$AK$24+'El Producto'!$AK$39+'El Producto'!$AK$54)/4</f>
        <v>0.12805527638190956</v>
      </c>
      <c r="C77" s="164">
        <f>('El Producto'!$AK$9+'El Producto'!$AK$24+'El Producto'!$AK$39+'El Producto'!$AK$54)/4</f>
        <v>0.12805527638190956</v>
      </c>
      <c r="D77" s="164">
        <f>('El Producto'!$AK$9+'El Producto'!$AK$24+'El Producto'!$AK$39+'El Producto'!$AK$54)/4</f>
        <v>0.12805527638190956</v>
      </c>
      <c r="E77" s="164">
        <f>('El Producto'!$AK$9+'El Producto'!$AK$24+'El Producto'!$AK$39+'El Producto'!$AK$54)/4</f>
        <v>0.12805527638190956</v>
      </c>
      <c r="F77" s="164">
        <f>('El Producto'!$AK$9+'El Producto'!$AK$24+'El Producto'!$AK$39+'El Producto'!$AK$54)/4</f>
        <v>0.12805527638190956</v>
      </c>
      <c r="G77" s="164">
        <f>('El Producto'!$AK$9+'El Producto'!$AK$24+'El Producto'!$AK$39+'El Producto'!$AK$54)/4</f>
        <v>0.12805527638190956</v>
      </c>
      <c r="H77" s="164">
        <f>('El Producto'!$AK$9+'El Producto'!$AK$24+'El Producto'!$AK$39+'El Producto'!$AK$54)/4</f>
        <v>0.12805527638190956</v>
      </c>
      <c r="I77" s="164">
        <f>('El Producto'!$AK$9+'El Producto'!$AK$24+'El Producto'!$AK$39+'El Producto'!$AK$54)/4</f>
        <v>0.12805527638190956</v>
      </c>
      <c r="J77" s="164">
        <f>('El Producto'!$AK$9+'El Producto'!$AK$24+'El Producto'!$AK$39+'El Producto'!$AK$54)/4</f>
        <v>0.12805527638190956</v>
      </c>
      <c r="K77" s="164">
        <f>('El Producto'!$AK$9+'El Producto'!$AK$24+'El Producto'!$AK$39+'El Producto'!$AK$54)/4</f>
        <v>0.12805527638190956</v>
      </c>
      <c r="L77" s="164">
        <f>('El Producto'!$AK$9+'El Producto'!$AK$24+'El Producto'!$AK$39+'El Producto'!$AK$54)/4</f>
        <v>0.12805527638190956</v>
      </c>
      <c r="M77" s="164">
        <f>('El Producto'!$AK$9+'El Producto'!$AK$24+'El Producto'!$AK$39+'El Producto'!$AK$54)/4</f>
        <v>0.12805527638190956</v>
      </c>
    </row>
    <row r="78" spans="1:13" x14ac:dyDescent="0.2">
      <c r="A78" s="18" t="s">
        <v>1648</v>
      </c>
      <c r="B78" s="164">
        <v>0.37989949748743712</v>
      </c>
      <c r="C78" s="164">
        <v>0.37989949748743712</v>
      </c>
      <c r="D78" s="164">
        <v>0.37989949748743712</v>
      </c>
      <c r="E78" s="164">
        <v>0.37989949748743712</v>
      </c>
      <c r="F78" s="164">
        <v>0.37989949748743712</v>
      </c>
      <c r="G78" s="164">
        <v>0.37989949748743712</v>
      </c>
      <c r="H78" s="164">
        <v>0.37989949748743712</v>
      </c>
      <c r="I78" s="164">
        <v>0.37989949748743712</v>
      </c>
      <c r="J78" s="164">
        <v>0.37989949748743712</v>
      </c>
      <c r="K78" s="164">
        <v>0.37989949748743712</v>
      </c>
      <c r="L78" s="164">
        <v>0.37989949748743712</v>
      </c>
      <c r="M78" s="164">
        <v>0.37989949748743712</v>
      </c>
    </row>
    <row r="79" spans="1:13" x14ac:dyDescent="0.2">
      <c r="A79" s="18" t="s">
        <v>1649</v>
      </c>
      <c r="B79" s="164">
        <v>0.2823785594639866</v>
      </c>
      <c r="C79" s="164">
        <v>0.2823785594639866</v>
      </c>
      <c r="D79" s="164">
        <v>0.2823785594639866</v>
      </c>
      <c r="E79" s="164">
        <v>0.2823785594639866</v>
      </c>
      <c r="F79" s="164">
        <v>0.2823785594639866</v>
      </c>
      <c r="G79" s="164">
        <v>0.2823785594639866</v>
      </c>
      <c r="H79" s="164">
        <v>0.2823785594639866</v>
      </c>
      <c r="I79" s="164">
        <v>0.2823785594639866</v>
      </c>
      <c r="J79" s="164">
        <v>0.2823785594639866</v>
      </c>
      <c r="K79" s="164">
        <v>0.2823785594639866</v>
      </c>
      <c r="L79" s="164">
        <v>0.2823785594639866</v>
      </c>
      <c r="M79" s="164">
        <v>0.2823785594639866</v>
      </c>
    </row>
    <row r="80" spans="1:13" x14ac:dyDescent="0.2">
      <c r="A80" s="18" t="s">
        <v>1650</v>
      </c>
      <c r="B80" s="164">
        <v>0.14147403685092128</v>
      </c>
      <c r="C80" s="164">
        <v>0.14147403685092128</v>
      </c>
      <c r="D80" s="164">
        <v>0.14147403685092128</v>
      </c>
      <c r="E80" s="164">
        <v>0.14147403685092128</v>
      </c>
      <c r="F80" s="164">
        <v>0.14147403685092128</v>
      </c>
      <c r="G80" s="164">
        <v>0.14147403685092128</v>
      </c>
      <c r="H80" s="164">
        <v>0.14147403685092128</v>
      </c>
      <c r="I80" s="164">
        <v>0.14147403685092128</v>
      </c>
      <c r="J80" s="164">
        <v>0.14147403685092128</v>
      </c>
      <c r="K80" s="164">
        <v>0.14147403685092128</v>
      </c>
      <c r="L80" s="164">
        <v>0.14147403685092128</v>
      </c>
      <c r="M80" s="164">
        <v>0.14147403685092128</v>
      </c>
    </row>
    <row r="81" spans="1:13" x14ac:dyDescent="0.2">
      <c r="A81" s="18" t="s">
        <v>1651</v>
      </c>
      <c r="B81" s="164">
        <v>0.12863819095477388</v>
      </c>
      <c r="C81" s="164">
        <v>0.12863819095477388</v>
      </c>
      <c r="D81" s="164">
        <v>0.12863819095477388</v>
      </c>
      <c r="E81" s="164">
        <v>0.12863819095477388</v>
      </c>
      <c r="F81" s="164">
        <v>0.12863819095477388</v>
      </c>
      <c r="G81" s="164">
        <v>0.12863819095477388</v>
      </c>
      <c r="H81" s="164">
        <v>0.12863819095477388</v>
      </c>
      <c r="I81" s="164">
        <v>0.12863819095477388</v>
      </c>
      <c r="J81" s="164">
        <v>0.12863819095477388</v>
      </c>
      <c r="K81" s="164">
        <v>0.12863819095477388</v>
      </c>
      <c r="L81" s="164">
        <v>0.12863819095477388</v>
      </c>
      <c r="M81" s="164">
        <v>0.12863819095477388</v>
      </c>
    </row>
    <row r="82" spans="1:13" x14ac:dyDescent="0.2">
      <c r="A82" s="18" t="s">
        <v>1652</v>
      </c>
      <c r="B82" s="164">
        <f>('El Producto'!$AK$11+'El Producto'!$AK$26+'El Producto'!$AK$41+'El Producto'!$AK$56)/4</f>
        <v>4.3786641541038521E-2</v>
      </c>
      <c r="C82" s="164">
        <f>('El Producto'!$AK$11+'El Producto'!$AK$26+'El Producto'!$AK$41+'El Producto'!$AK$56)/4</f>
        <v>4.3786641541038521E-2</v>
      </c>
      <c r="D82" s="164">
        <f>('El Producto'!$AK$11+'El Producto'!$AK$26+'El Producto'!$AK$41+'El Producto'!$AK$56)/4</f>
        <v>4.3786641541038521E-2</v>
      </c>
      <c r="E82" s="164">
        <f>('El Producto'!$AK$11+'El Producto'!$AK$26+'El Producto'!$AK$41+'El Producto'!$AK$56)/4</f>
        <v>4.3786641541038521E-2</v>
      </c>
      <c r="F82" s="164">
        <f>('El Producto'!$AK$11+'El Producto'!$AK$26+'El Producto'!$AK$41+'El Producto'!$AK$56)/4</f>
        <v>4.3786641541038521E-2</v>
      </c>
      <c r="G82" s="164">
        <f>('El Producto'!$AK$11+'El Producto'!$AK$26+'El Producto'!$AK$41+'El Producto'!$AK$56)/4</f>
        <v>4.3786641541038521E-2</v>
      </c>
      <c r="H82" s="164">
        <f>('El Producto'!$AK$11+'El Producto'!$AK$26+'El Producto'!$AK$41+'El Producto'!$AK$56)/4</f>
        <v>4.3786641541038521E-2</v>
      </c>
      <c r="I82" s="164">
        <f>('El Producto'!$AK$11+'El Producto'!$AK$26+'El Producto'!$AK$41+'El Producto'!$AK$56)/4</f>
        <v>4.3786641541038521E-2</v>
      </c>
      <c r="J82" s="164">
        <f>('El Producto'!$AK$11+'El Producto'!$AK$26+'El Producto'!$AK$41+'El Producto'!$AK$56)/4</f>
        <v>4.3786641541038521E-2</v>
      </c>
      <c r="K82" s="164">
        <f>('El Producto'!$AK$11+'El Producto'!$AK$26+'El Producto'!$AK$41+'El Producto'!$AK$56)/4</f>
        <v>4.3786641541038521E-2</v>
      </c>
      <c r="L82" s="164">
        <f>('El Producto'!$AK$11+'El Producto'!$AK$26+'El Producto'!$AK$41+'El Producto'!$AK$56)/4</f>
        <v>4.3786641541038521E-2</v>
      </c>
      <c r="M82" s="164">
        <f>('El Producto'!$AK$11+'El Producto'!$AK$26+'El Producto'!$AK$41+'El Producto'!$AK$56)/4</f>
        <v>4.3786641541038521E-2</v>
      </c>
    </row>
    <row r="83" spans="1:13" x14ac:dyDescent="0.2">
      <c r="A83" s="18" t="s">
        <v>1653</v>
      </c>
      <c r="B83" s="164">
        <f>('El Producto'!$AK$12+'El Producto'!$AK$27+'El Producto'!$AK$42+'El Producto'!$AK$57)/4</f>
        <v>1.5637170226130651E-2</v>
      </c>
      <c r="C83" s="164">
        <f>('El Producto'!$AK$12+'El Producto'!$AK$27+'El Producto'!$AK$42+'El Producto'!$AK$57)/4</f>
        <v>1.5637170226130651E-2</v>
      </c>
      <c r="D83" s="164">
        <f>('El Producto'!$AK$12+'El Producto'!$AK$27+'El Producto'!$AK$42+'El Producto'!$AK$57)/4</f>
        <v>1.5637170226130651E-2</v>
      </c>
      <c r="E83" s="164">
        <f>('El Producto'!$AK$12+'El Producto'!$AK$27+'El Producto'!$AK$42+'El Producto'!$AK$57)/4</f>
        <v>1.5637170226130651E-2</v>
      </c>
      <c r="F83" s="164">
        <f>('El Producto'!$AK$12+'El Producto'!$AK$27+'El Producto'!$AK$42+'El Producto'!$AK$57)/4</f>
        <v>1.5637170226130651E-2</v>
      </c>
      <c r="G83" s="164">
        <f>('El Producto'!$AK$12+'El Producto'!$AK$27+'El Producto'!$AK$42+'El Producto'!$AK$57)/4</f>
        <v>1.5637170226130651E-2</v>
      </c>
      <c r="H83" s="164">
        <f>('El Producto'!$AK$12+'El Producto'!$AK$27+'El Producto'!$AK$42+'El Producto'!$AK$57)/4</f>
        <v>1.5637170226130651E-2</v>
      </c>
      <c r="I83" s="164">
        <f>('El Producto'!$AK$12+'El Producto'!$AK$27+'El Producto'!$AK$42+'El Producto'!$AK$57)/4</f>
        <v>1.5637170226130651E-2</v>
      </c>
      <c r="J83" s="164">
        <f>('El Producto'!$AK$12+'El Producto'!$AK$27+'El Producto'!$AK$42+'El Producto'!$AK$57)/4</f>
        <v>1.5637170226130651E-2</v>
      </c>
      <c r="K83" s="164">
        <f>('El Producto'!$AK$12+'El Producto'!$AK$27+'El Producto'!$AK$42+'El Producto'!$AK$57)/4</f>
        <v>1.5637170226130651E-2</v>
      </c>
      <c r="L83" s="164">
        <f>('El Producto'!$AK$12+'El Producto'!$AK$27+'El Producto'!$AK$42+'El Producto'!$AK$57)/4</f>
        <v>1.5637170226130651E-2</v>
      </c>
      <c r="M83" s="164">
        <f>('El Producto'!$AK$12+'El Producto'!$AK$27+'El Producto'!$AK$42+'El Producto'!$AK$57)/4</f>
        <v>1.5637170226130651E-2</v>
      </c>
    </row>
    <row r="84" spans="1:13" x14ac:dyDescent="0.2">
      <c r="A84" s="18" t="s">
        <v>1654</v>
      </c>
      <c r="B84" s="164">
        <f>('El Producto'!$AK$13+'El Producto'!$AK$28+'El Producto'!$AK$43+'El Producto'!$AK$58)/4</f>
        <v>5.5444932998324958E-3</v>
      </c>
      <c r="C84" s="164">
        <f>('El Producto'!$AK$13+'El Producto'!$AK$28+'El Producto'!$AK$43+'El Producto'!$AK$58)/4</f>
        <v>5.5444932998324958E-3</v>
      </c>
      <c r="D84" s="164">
        <f>('El Producto'!$AK$13+'El Producto'!$AK$28+'El Producto'!$AK$43+'El Producto'!$AK$58)/4</f>
        <v>5.5444932998324958E-3</v>
      </c>
      <c r="E84" s="164">
        <f>('El Producto'!$AK$13+'El Producto'!$AK$28+'El Producto'!$AK$43+'El Producto'!$AK$58)/4</f>
        <v>5.5444932998324958E-3</v>
      </c>
      <c r="F84" s="164">
        <f>('El Producto'!$AK$13+'El Producto'!$AK$28+'El Producto'!$AK$43+'El Producto'!$AK$58)/4</f>
        <v>5.5444932998324958E-3</v>
      </c>
      <c r="G84" s="164">
        <f>('El Producto'!$AK$13+'El Producto'!$AK$28+'El Producto'!$AK$43+'El Producto'!$AK$58)/4</f>
        <v>5.5444932998324958E-3</v>
      </c>
      <c r="H84" s="164">
        <f>('El Producto'!$AK$13+'El Producto'!$AK$28+'El Producto'!$AK$43+'El Producto'!$AK$58)/4</f>
        <v>5.5444932998324958E-3</v>
      </c>
      <c r="I84" s="164">
        <f>('El Producto'!$AK$13+'El Producto'!$AK$28+'El Producto'!$AK$43+'El Producto'!$AK$58)/4</f>
        <v>5.5444932998324958E-3</v>
      </c>
      <c r="J84" s="164">
        <f>('El Producto'!$AK$13+'El Producto'!$AK$28+'El Producto'!$AK$43+'El Producto'!$AK$58)/4</f>
        <v>5.5444932998324958E-3</v>
      </c>
      <c r="K84" s="164">
        <f>('El Producto'!$AK$13+'El Producto'!$AK$28+'El Producto'!$AK$43+'El Producto'!$AK$58)/4</f>
        <v>5.5444932998324958E-3</v>
      </c>
      <c r="L84" s="164">
        <f>('El Producto'!$AK$13+'El Producto'!$AK$28+'El Producto'!$AK$43+'El Producto'!$AK$58)/4</f>
        <v>5.5444932998324958E-3</v>
      </c>
      <c r="M84" s="164">
        <f>('El Producto'!$AK$13+'El Producto'!$AK$28+'El Producto'!$AK$43+'El Producto'!$AK$58)/4</f>
        <v>5.5444932998324958E-3</v>
      </c>
    </row>
    <row r="85" spans="1:13" x14ac:dyDescent="0.2">
      <c r="A85" s="18" t="s">
        <v>1655</v>
      </c>
      <c r="B85" s="164">
        <f>('El Producto'!$AK$14+'El Producto'!$AK$29+'El Producto'!$AK$44+'El Producto'!$AK$59)/4</f>
        <v>5.4031323283082067E-3</v>
      </c>
      <c r="C85" s="164">
        <f>('El Producto'!$AK$14+'El Producto'!$AK$29+'El Producto'!$AK$44+'El Producto'!$AK$59)/4</f>
        <v>5.4031323283082067E-3</v>
      </c>
      <c r="D85" s="164">
        <f>('El Producto'!$AK$14+'El Producto'!$AK$29+'El Producto'!$AK$44+'El Producto'!$AK$59)/4</f>
        <v>5.4031323283082067E-3</v>
      </c>
      <c r="E85" s="164">
        <f>('El Producto'!$AK$14+'El Producto'!$AK$29+'El Producto'!$AK$44+'El Producto'!$AK$59)/4</f>
        <v>5.4031323283082067E-3</v>
      </c>
      <c r="F85" s="164">
        <f>('El Producto'!$AK$14+'El Producto'!$AK$29+'El Producto'!$AK$44+'El Producto'!$AK$59)/4</f>
        <v>5.4031323283082067E-3</v>
      </c>
      <c r="G85" s="164">
        <f>('El Producto'!$AK$14+'El Producto'!$AK$29+'El Producto'!$AK$44+'El Producto'!$AK$59)/4</f>
        <v>5.4031323283082067E-3</v>
      </c>
      <c r="H85" s="164">
        <f>('El Producto'!$AK$14+'El Producto'!$AK$29+'El Producto'!$AK$44+'El Producto'!$AK$59)/4</f>
        <v>5.4031323283082067E-3</v>
      </c>
      <c r="I85" s="164">
        <f>('El Producto'!$AK$14+'El Producto'!$AK$29+'El Producto'!$AK$44+'El Producto'!$AK$59)/4</f>
        <v>5.4031323283082067E-3</v>
      </c>
      <c r="J85" s="164">
        <f>('El Producto'!$AK$14+'El Producto'!$AK$29+'El Producto'!$AK$44+'El Producto'!$AK$59)/4</f>
        <v>5.4031323283082067E-3</v>
      </c>
      <c r="K85" s="164">
        <f>('El Producto'!$AK$14+'El Producto'!$AK$29+'El Producto'!$AK$44+'El Producto'!$AK$59)/4</f>
        <v>5.4031323283082067E-3</v>
      </c>
      <c r="L85" s="164">
        <f>('El Producto'!$AK$14+'El Producto'!$AK$29+'El Producto'!$AK$44+'El Producto'!$AK$59)/4</f>
        <v>5.4031323283082067E-3</v>
      </c>
      <c r="M85" s="164">
        <f>('El Producto'!$AK$14+'El Producto'!$AK$29+'El Producto'!$AK$44+'El Producto'!$AK$59)/4</f>
        <v>5.4031323283082067E-3</v>
      </c>
    </row>
    <row r="86" spans="1:13" x14ac:dyDescent="0.2">
      <c r="A86" s="18" t="s">
        <v>1656</v>
      </c>
      <c r="B86" s="164">
        <f>('El Producto'!$AK$15+'El Producto'!$AK$30+'El Producto'!$AK$45+'El Producto'!$AK$60)/4</f>
        <v>9.9942211055276398E-3</v>
      </c>
      <c r="C86" s="164">
        <f>('El Producto'!$AK$15+'El Producto'!$AK$30+'El Producto'!$AK$45+'El Producto'!$AK$60)/4</f>
        <v>9.9942211055276398E-3</v>
      </c>
      <c r="D86" s="164">
        <f>('El Producto'!$AK$15+'El Producto'!$AK$30+'El Producto'!$AK$45+'El Producto'!$AK$60)/4</f>
        <v>9.9942211055276398E-3</v>
      </c>
      <c r="E86" s="164">
        <f>('El Producto'!$AK$15+'El Producto'!$AK$30+'El Producto'!$AK$45+'El Producto'!$AK$60)/4</f>
        <v>9.9942211055276398E-3</v>
      </c>
      <c r="F86" s="164">
        <f>('El Producto'!$AK$15+'El Producto'!$AK$30+'El Producto'!$AK$45+'El Producto'!$AK$60)/4</f>
        <v>9.9942211055276398E-3</v>
      </c>
      <c r="G86" s="164">
        <f>('El Producto'!$AK$15+'El Producto'!$AK$30+'El Producto'!$AK$45+'El Producto'!$AK$60)/4</f>
        <v>9.9942211055276398E-3</v>
      </c>
      <c r="H86" s="164">
        <f>('El Producto'!$AK$15+'El Producto'!$AK$30+'El Producto'!$AK$45+'El Producto'!$AK$60)/4</f>
        <v>9.9942211055276398E-3</v>
      </c>
      <c r="I86" s="164">
        <f>('El Producto'!$AK$15+'El Producto'!$AK$30+'El Producto'!$AK$45+'El Producto'!$AK$60)/4</f>
        <v>9.9942211055276398E-3</v>
      </c>
      <c r="J86" s="164">
        <f>('El Producto'!$AK$15+'El Producto'!$AK$30+'El Producto'!$AK$45+'El Producto'!$AK$60)/4</f>
        <v>9.9942211055276398E-3</v>
      </c>
      <c r="K86" s="164">
        <f>('El Producto'!$AK$15+'El Producto'!$AK$30+'El Producto'!$AK$45+'El Producto'!$AK$60)/4</f>
        <v>9.9942211055276398E-3</v>
      </c>
      <c r="L86" s="164">
        <f>('El Producto'!$AK$15+'El Producto'!$AK$30+'El Producto'!$AK$45+'El Producto'!$AK$60)/4</f>
        <v>9.9942211055276398E-3</v>
      </c>
      <c r="M86" s="164">
        <f>('El Producto'!$AK$15+'El Producto'!$AK$30+'El Producto'!$AK$45+'El Producto'!$AK$60)/4</f>
        <v>9.9942211055276398E-3</v>
      </c>
    </row>
    <row r="87" spans="1:13" x14ac:dyDescent="0.2">
      <c r="A87" s="18" t="s">
        <v>1657</v>
      </c>
      <c r="B87" s="164">
        <f>('El Producto'!$AK$16+'El Producto'!$AK$31+'El Producto'!$AK$46+'El Producto'!$AK$61)/4</f>
        <v>4.3403576214405361E-2</v>
      </c>
      <c r="C87" s="164">
        <f>('El Producto'!$AK$16+'El Producto'!$AK$31+'El Producto'!$AK$46+'El Producto'!$AK$61)/4</f>
        <v>4.3403576214405361E-2</v>
      </c>
      <c r="D87" s="164">
        <f>('El Producto'!$AK$16+'El Producto'!$AK$31+'El Producto'!$AK$46+'El Producto'!$AK$61)/4</f>
        <v>4.3403576214405361E-2</v>
      </c>
      <c r="E87" s="164">
        <f>('El Producto'!$AK$16+'El Producto'!$AK$31+'El Producto'!$AK$46+'El Producto'!$AK$61)/4</f>
        <v>4.3403576214405361E-2</v>
      </c>
      <c r="F87" s="164">
        <f>('El Producto'!$AK$16+'El Producto'!$AK$31+'El Producto'!$AK$46+'El Producto'!$AK$61)/4</f>
        <v>4.3403576214405361E-2</v>
      </c>
      <c r="G87" s="164">
        <f>('El Producto'!$AK$16+'El Producto'!$AK$31+'El Producto'!$AK$46+'El Producto'!$AK$61)/4</f>
        <v>4.3403576214405361E-2</v>
      </c>
      <c r="H87" s="164">
        <f>('El Producto'!$AK$16+'El Producto'!$AK$31+'El Producto'!$AK$46+'El Producto'!$AK$61)/4</f>
        <v>4.3403576214405361E-2</v>
      </c>
      <c r="I87" s="164">
        <f>('El Producto'!$AK$16+'El Producto'!$AK$31+'El Producto'!$AK$46+'El Producto'!$AK$61)/4</f>
        <v>4.3403576214405361E-2</v>
      </c>
      <c r="J87" s="164">
        <f>('El Producto'!$AK$16+'El Producto'!$AK$31+'El Producto'!$AK$46+'El Producto'!$AK$61)/4</f>
        <v>4.3403576214405361E-2</v>
      </c>
      <c r="K87" s="164">
        <f>('El Producto'!$AK$16+'El Producto'!$AK$31+'El Producto'!$AK$46+'El Producto'!$AK$61)/4</f>
        <v>4.3403576214405361E-2</v>
      </c>
      <c r="L87" s="164">
        <f>('El Producto'!$AK$16+'El Producto'!$AK$31+'El Producto'!$AK$46+'El Producto'!$AK$61)/4</f>
        <v>4.3403576214405361E-2</v>
      </c>
      <c r="M87" s="164">
        <f>('El Producto'!$AK$16+'El Producto'!$AK$31+'El Producto'!$AK$46+'El Producto'!$AK$61)/4</f>
        <v>4.3403576214405361E-2</v>
      </c>
    </row>
    <row r="88" spans="1:13" x14ac:dyDescent="0.2">
      <c r="A88" s="18" t="s">
        <v>1659</v>
      </c>
      <c r="B88" s="319">
        <f>573*26</f>
        <v>14898</v>
      </c>
      <c r="C88" s="319">
        <f t="shared" ref="C88:M88" si="44">573*26</f>
        <v>14898</v>
      </c>
      <c r="D88" s="319">
        <f t="shared" si="44"/>
        <v>14898</v>
      </c>
      <c r="E88" s="319">
        <f t="shared" si="44"/>
        <v>14898</v>
      </c>
      <c r="F88" s="319">
        <f t="shared" si="44"/>
        <v>14898</v>
      </c>
      <c r="G88" s="319">
        <f t="shared" si="44"/>
        <v>14898</v>
      </c>
      <c r="H88" s="319">
        <f t="shared" si="44"/>
        <v>14898</v>
      </c>
      <c r="I88" s="319">
        <f t="shared" si="44"/>
        <v>14898</v>
      </c>
      <c r="J88" s="319">
        <f t="shared" si="44"/>
        <v>14898</v>
      </c>
      <c r="K88" s="319">
        <f t="shared" si="44"/>
        <v>14898</v>
      </c>
      <c r="L88" s="319">
        <f t="shared" si="44"/>
        <v>14898</v>
      </c>
      <c r="M88" s="319">
        <f t="shared" si="44"/>
        <v>14898</v>
      </c>
    </row>
    <row r="89" spans="1:13" x14ac:dyDescent="0.2">
      <c r="A89" s="18" t="s">
        <v>1660</v>
      </c>
      <c r="B89" s="319">
        <f t="shared" ref="B89:M91" si="45">573*26</f>
        <v>14898</v>
      </c>
      <c r="C89" s="319">
        <f t="shared" si="45"/>
        <v>14898</v>
      </c>
      <c r="D89" s="319">
        <f t="shared" si="45"/>
        <v>14898</v>
      </c>
      <c r="E89" s="319">
        <f t="shared" si="45"/>
        <v>14898</v>
      </c>
      <c r="F89" s="319">
        <f t="shared" si="45"/>
        <v>14898</v>
      </c>
      <c r="G89" s="319">
        <f t="shared" si="45"/>
        <v>14898</v>
      </c>
      <c r="H89" s="319">
        <f t="shared" si="45"/>
        <v>14898</v>
      </c>
      <c r="I89" s="319">
        <f t="shared" si="45"/>
        <v>14898</v>
      </c>
      <c r="J89" s="319">
        <f t="shared" si="45"/>
        <v>14898</v>
      </c>
      <c r="K89" s="319">
        <f t="shared" si="45"/>
        <v>14898</v>
      </c>
      <c r="L89" s="319">
        <f t="shared" si="45"/>
        <v>14898</v>
      </c>
      <c r="M89" s="319">
        <f t="shared" si="45"/>
        <v>14898</v>
      </c>
    </row>
    <row r="90" spans="1:13" x14ac:dyDescent="0.2">
      <c r="A90" s="18" t="s">
        <v>1661</v>
      </c>
      <c r="B90" s="319">
        <f t="shared" si="45"/>
        <v>14898</v>
      </c>
      <c r="C90" s="319">
        <f t="shared" si="45"/>
        <v>14898</v>
      </c>
      <c r="D90" s="319">
        <f t="shared" si="45"/>
        <v>14898</v>
      </c>
      <c r="E90" s="319">
        <f t="shared" si="45"/>
        <v>14898</v>
      </c>
      <c r="F90" s="319">
        <f t="shared" si="45"/>
        <v>14898</v>
      </c>
      <c r="G90" s="319">
        <f t="shared" si="45"/>
        <v>14898</v>
      </c>
      <c r="H90" s="319">
        <f t="shared" si="45"/>
        <v>14898</v>
      </c>
      <c r="I90" s="319">
        <f t="shared" si="45"/>
        <v>14898</v>
      </c>
      <c r="J90" s="319">
        <f t="shared" si="45"/>
        <v>14898</v>
      </c>
      <c r="K90" s="319">
        <f t="shared" si="45"/>
        <v>14898</v>
      </c>
      <c r="L90" s="319">
        <f t="shared" si="45"/>
        <v>14898</v>
      </c>
      <c r="M90" s="319">
        <f t="shared" si="45"/>
        <v>14898</v>
      </c>
    </row>
    <row r="91" spans="1:13" x14ac:dyDescent="0.2">
      <c r="A91" s="18" t="s">
        <v>1662</v>
      </c>
      <c r="B91" s="319">
        <f t="shared" si="45"/>
        <v>14898</v>
      </c>
      <c r="C91" s="319">
        <f t="shared" si="45"/>
        <v>14898</v>
      </c>
      <c r="D91" s="319">
        <f t="shared" si="45"/>
        <v>14898</v>
      </c>
      <c r="E91" s="319">
        <f t="shared" si="45"/>
        <v>14898</v>
      </c>
      <c r="F91" s="319">
        <f t="shared" si="45"/>
        <v>14898</v>
      </c>
      <c r="G91" s="319">
        <f t="shared" si="45"/>
        <v>14898</v>
      </c>
      <c r="H91" s="319">
        <f t="shared" si="45"/>
        <v>14898</v>
      </c>
      <c r="I91" s="319">
        <f t="shared" si="45"/>
        <v>14898</v>
      </c>
      <c r="J91" s="319">
        <f t="shared" si="45"/>
        <v>14898</v>
      </c>
      <c r="K91" s="319">
        <f t="shared" si="45"/>
        <v>14898</v>
      </c>
      <c r="L91" s="319">
        <f t="shared" si="45"/>
        <v>14898</v>
      </c>
      <c r="M91" s="319">
        <f t="shared" si="45"/>
        <v>14898</v>
      </c>
    </row>
    <row r="92" spans="1:13" x14ac:dyDescent="0.2">
      <c r="A92" s="350" t="s">
        <v>1663</v>
      </c>
      <c r="B92" s="342">
        <f>(SUM(B74:B78)+SUM(B82:B87))*B88</f>
        <v>20711.557279893215</v>
      </c>
      <c r="C92" s="342">
        <f t="shared" ref="C92:M92" si="46">(SUM(C74:C78)+SUM(C82:C87))*C88</f>
        <v>20711.557279893215</v>
      </c>
      <c r="D92" s="342">
        <f t="shared" si="46"/>
        <v>20711.557279893215</v>
      </c>
      <c r="E92" s="342">
        <f t="shared" si="46"/>
        <v>20711.557279893215</v>
      </c>
      <c r="F92" s="342">
        <f t="shared" si="46"/>
        <v>20711.557279893215</v>
      </c>
      <c r="G92" s="342">
        <f t="shared" si="46"/>
        <v>20711.557279893215</v>
      </c>
      <c r="H92" s="342">
        <f t="shared" si="46"/>
        <v>20711.557279893215</v>
      </c>
      <c r="I92" s="342">
        <f t="shared" si="46"/>
        <v>20711.557279893215</v>
      </c>
      <c r="J92" s="342">
        <f t="shared" si="46"/>
        <v>20711.557279893215</v>
      </c>
      <c r="K92" s="342">
        <f t="shared" si="46"/>
        <v>20711.557279893215</v>
      </c>
      <c r="L92" s="342">
        <f t="shared" si="46"/>
        <v>20711.557279893215</v>
      </c>
      <c r="M92" s="342">
        <f t="shared" si="46"/>
        <v>20711.557279893215</v>
      </c>
    </row>
    <row r="93" spans="1:13" x14ac:dyDescent="0.2">
      <c r="A93" s="350" t="s">
        <v>1664</v>
      </c>
      <c r="B93" s="342">
        <f>(SUM(B74:B77)+B79+SUM(B82:B87))*B89</f>
        <v>19258.690345219846</v>
      </c>
      <c r="C93" s="342">
        <f t="shared" ref="C93:M93" si="47">(SUM(C74:C77)+C79+SUM(C82:C87))*C89</f>
        <v>19258.690345219846</v>
      </c>
      <c r="D93" s="342">
        <f t="shared" si="47"/>
        <v>19258.690345219846</v>
      </c>
      <c r="E93" s="342">
        <f t="shared" si="47"/>
        <v>19258.690345219846</v>
      </c>
      <c r="F93" s="342">
        <f t="shared" si="47"/>
        <v>19258.690345219846</v>
      </c>
      <c r="G93" s="342">
        <f t="shared" si="47"/>
        <v>19258.690345219846</v>
      </c>
      <c r="H93" s="342">
        <f t="shared" si="47"/>
        <v>19258.690345219846</v>
      </c>
      <c r="I93" s="342">
        <f t="shared" si="47"/>
        <v>19258.690345219846</v>
      </c>
      <c r="J93" s="342">
        <f t="shared" si="47"/>
        <v>19258.690345219846</v>
      </c>
      <c r="K93" s="342">
        <f t="shared" si="47"/>
        <v>19258.690345219846</v>
      </c>
      <c r="L93" s="342">
        <f t="shared" si="47"/>
        <v>19258.690345219846</v>
      </c>
      <c r="M93" s="342">
        <f t="shared" si="47"/>
        <v>19258.690345219846</v>
      </c>
    </row>
    <row r="94" spans="1:13" x14ac:dyDescent="0.2">
      <c r="A94" s="350" t="s">
        <v>1665</v>
      </c>
      <c r="B94" s="342">
        <f>(SUM(B74:B77)+B80+SUM(B82:B87))*B90</f>
        <v>17159.494767330401</v>
      </c>
      <c r="C94" s="342">
        <f t="shared" ref="C94:M94" si="48">(SUM(C74:C77)+C80+SUM(C82:C87))*C90</f>
        <v>17159.494767330401</v>
      </c>
      <c r="D94" s="342">
        <f t="shared" si="48"/>
        <v>17159.494767330401</v>
      </c>
      <c r="E94" s="342">
        <f t="shared" si="48"/>
        <v>17159.494767330401</v>
      </c>
      <c r="F94" s="342">
        <f t="shared" si="48"/>
        <v>17159.494767330401</v>
      </c>
      <c r="G94" s="342">
        <f t="shared" si="48"/>
        <v>17159.494767330401</v>
      </c>
      <c r="H94" s="342">
        <f t="shared" si="48"/>
        <v>17159.494767330401</v>
      </c>
      <c r="I94" s="342">
        <f t="shared" si="48"/>
        <v>17159.494767330401</v>
      </c>
      <c r="J94" s="342">
        <f t="shared" si="48"/>
        <v>17159.494767330401</v>
      </c>
      <c r="K94" s="342">
        <f t="shared" si="48"/>
        <v>17159.494767330401</v>
      </c>
      <c r="L94" s="342">
        <f t="shared" si="48"/>
        <v>17159.494767330401</v>
      </c>
      <c r="M94" s="342">
        <f t="shared" si="48"/>
        <v>17159.494767330401</v>
      </c>
    </row>
    <row r="95" spans="1:13" x14ac:dyDescent="0.2">
      <c r="A95" s="350" t="s">
        <v>1666</v>
      </c>
      <c r="B95" s="342">
        <f>(SUM(B74:B77)+SUM(B81:B87))*B91</f>
        <v>16968.266335169599</v>
      </c>
      <c r="C95" s="342">
        <f t="shared" ref="C95:M95" si="49">(SUM(C74:C77)+SUM(C81:C87))*C91</f>
        <v>16968.266335169599</v>
      </c>
      <c r="D95" s="342">
        <f t="shared" si="49"/>
        <v>16968.266335169599</v>
      </c>
      <c r="E95" s="342">
        <f t="shared" si="49"/>
        <v>16968.266335169599</v>
      </c>
      <c r="F95" s="342">
        <f t="shared" si="49"/>
        <v>16968.266335169599</v>
      </c>
      <c r="G95" s="342">
        <f t="shared" si="49"/>
        <v>16968.266335169599</v>
      </c>
      <c r="H95" s="342">
        <f t="shared" si="49"/>
        <v>16968.266335169599</v>
      </c>
      <c r="I95" s="342">
        <f t="shared" si="49"/>
        <v>16968.266335169599</v>
      </c>
      <c r="J95" s="342">
        <f t="shared" si="49"/>
        <v>16968.266335169599</v>
      </c>
      <c r="K95" s="342">
        <f t="shared" si="49"/>
        <v>16968.266335169599</v>
      </c>
      <c r="L95" s="342">
        <f t="shared" si="49"/>
        <v>16968.266335169599</v>
      </c>
      <c r="M95" s="342">
        <f t="shared" si="49"/>
        <v>16968.266335169599</v>
      </c>
    </row>
    <row r="96" spans="1:13" x14ac:dyDescent="0.2">
      <c r="A96" s="203" t="s">
        <v>1658</v>
      </c>
      <c r="B96" s="293">
        <f>SUM(B92:B95)</f>
        <v>74098.008727613051</v>
      </c>
      <c r="C96" s="293">
        <f t="shared" ref="C96:M96" si="50">SUM(C92:C95)</f>
        <v>74098.008727613051</v>
      </c>
      <c r="D96" s="293">
        <f t="shared" si="50"/>
        <v>74098.008727613051</v>
      </c>
      <c r="E96" s="293">
        <f t="shared" si="50"/>
        <v>74098.008727613051</v>
      </c>
      <c r="F96" s="293">
        <f t="shared" si="50"/>
        <v>74098.008727613051</v>
      </c>
      <c r="G96" s="293">
        <f t="shared" si="50"/>
        <v>74098.008727613051</v>
      </c>
      <c r="H96" s="293">
        <f t="shared" si="50"/>
        <v>74098.008727613051</v>
      </c>
      <c r="I96" s="293">
        <f t="shared" si="50"/>
        <v>74098.008727613051</v>
      </c>
      <c r="J96" s="293">
        <f t="shared" si="50"/>
        <v>74098.008727613051</v>
      </c>
      <c r="K96" s="293">
        <f t="shared" si="50"/>
        <v>74098.008727613051</v>
      </c>
      <c r="L96" s="293">
        <f t="shared" si="50"/>
        <v>74098.008727613051</v>
      </c>
      <c r="M96" s="293">
        <f t="shared" si="50"/>
        <v>74098.008727613051</v>
      </c>
    </row>
    <row r="97" spans="1:13" x14ac:dyDescent="0.2">
      <c r="A97" s="203" t="s">
        <v>1333</v>
      </c>
      <c r="B97" s="293">
        <f>B96*18%</f>
        <v>13337.641570970349</v>
      </c>
      <c r="C97" s="293">
        <f t="shared" ref="C97" si="51">C96*18%</f>
        <v>13337.641570970349</v>
      </c>
      <c r="D97" s="293">
        <f t="shared" ref="D97" si="52">D96*18%</f>
        <v>13337.641570970349</v>
      </c>
      <c r="E97" s="293">
        <f t="shared" ref="E97" si="53">E96*18%</f>
        <v>13337.641570970349</v>
      </c>
      <c r="F97" s="293">
        <f t="shared" ref="F97" si="54">F96*18%</f>
        <v>13337.641570970349</v>
      </c>
      <c r="G97" s="293">
        <f t="shared" ref="G97" si="55">G96*18%</f>
        <v>13337.641570970349</v>
      </c>
      <c r="H97" s="293">
        <f t="shared" ref="H97" si="56">H96*18%</f>
        <v>13337.641570970349</v>
      </c>
      <c r="I97" s="293">
        <f t="shared" ref="I97" si="57">I96*18%</f>
        <v>13337.641570970349</v>
      </c>
      <c r="J97" s="293">
        <f t="shared" ref="J97" si="58">J96*18%</f>
        <v>13337.641570970349</v>
      </c>
      <c r="K97" s="293">
        <f t="shared" ref="K97" si="59">K96*18%</f>
        <v>13337.641570970349</v>
      </c>
      <c r="L97" s="293">
        <f t="shared" ref="L97" si="60">L96*18%</f>
        <v>13337.641570970349</v>
      </c>
      <c r="M97" s="293">
        <f t="shared" ref="M97" si="61">M96*18%</f>
        <v>13337.641570970349</v>
      </c>
    </row>
    <row r="98" spans="1:13" x14ac:dyDescent="0.2">
      <c r="A98" s="203" t="s">
        <v>1643</v>
      </c>
      <c r="B98" s="293">
        <f>B96-B97</f>
        <v>60760.3671566427</v>
      </c>
      <c r="C98" s="293">
        <f t="shared" ref="C98" si="62">C96-C97</f>
        <v>60760.3671566427</v>
      </c>
      <c r="D98" s="293">
        <f t="shared" ref="D98" si="63">D96-D97</f>
        <v>60760.3671566427</v>
      </c>
      <c r="E98" s="293">
        <f t="shared" ref="E98" si="64">E96-E97</f>
        <v>60760.3671566427</v>
      </c>
      <c r="F98" s="293">
        <f t="shared" ref="F98" si="65">F96-F97</f>
        <v>60760.3671566427</v>
      </c>
      <c r="G98" s="293">
        <f t="shared" ref="G98" si="66">G96-G97</f>
        <v>60760.3671566427</v>
      </c>
      <c r="H98" s="293">
        <f t="shared" ref="H98" si="67">H96-H97</f>
        <v>60760.3671566427</v>
      </c>
      <c r="I98" s="293">
        <f t="shared" ref="I98" si="68">I96-I97</f>
        <v>60760.3671566427</v>
      </c>
      <c r="J98" s="293">
        <f t="shared" ref="J98" si="69">J96-J97</f>
        <v>60760.3671566427</v>
      </c>
      <c r="K98" s="293">
        <f t="shared" ref="K98" si="70">K96-K97</f>
        <v>60760.3671566427</v>
      </c>
      <c r="L98" s="293">
        <f t="shared" ref="L98" si="71">L96-L97</f>
        <v>60760.3671566427</v>
      </c>
      <c r="M98" s="293">
        <f t="shared" ref="M98" si="72">M96-M97</f>
        <v>60760.3671566427</v>
      </c>
    </row>
    <row r="99" spans="1:13" x14ac:dyDescent="0.2">
      <c r="B99" s="9">
        <f>B96-(6%*B96)</f>
        <v>69652.128203956265</v>
      </c>
      <c r="C99" s="9">
        <f t="shared" ref="C99:M99" si="73">C96-(6%*C96)</f>
        <v>69652.128203956265</v>
      </c>
      <c r="D99" s="9">
        <f t="shared" si="73"/>
        <v>69652.128203956265</v>
      </c>
      <c r="E99" s="9">
        <f t="shared" si="73"/>
        <v>69652.128203956265</v>
      </c>
      <c r="F99" s="9">
        <f t="shared" si="73"/>
        <v>69652.128203956265</v>
      </c>
      <c r="G99" s="9">
        <f t="shared" si="73"/>
        <v>69652.128203956265</v>
      </c>
      <c r="H99" s="9">
        <f t="shared" si="73"/>
        <v>69652.128203956265</v>
      </c>
      <c r="I99" s="9">
        <f t="shared" si="73"/>
        <v>69652.128203956265</v>
      </c>
      <c r="J99" s="9">
        <f t="shared" si="73"/>
        <v>69652.128203956265</v>
      </c>
      <c r="K99" s="9">
        <f t="shared" si="73"/>
        <v>69652.128203956265</v>
      </c>
      <c r="L99" s="9">
        <f t="shared" si="73"/>
        <v>69652.128203956265</v>
      </c>
      <c r="M99" s="9">
        <f t="shared" si="73"/>
        <v>69652.128203956265</v>
      </c>
    </row>
    <row r="101" spans="1:13" x14ac:dyDescent="0.2">
      <c r="A101" s="327" t="s">
        <v>1670</v>
      </c>
    </row>
    <row r="102" spans="1:13" x14ac:dyDescent="0.2">
      <c r="A102" s="15"/>
      <c r="B102" s="315" t="s">
        <v>1492</v>
      </c>
      <c r="C102" s="315" t="s">
        <v>1493</v>
      </c>
      <c r="D102" s="315" t="s">
        <v>1494</v>
      </c>
      <c r="E102" s="315" t="s">
        <v>1495</v>
      </c>
      <c r="F102" s="315" t="s">
        <v>1496</v>
      </c>
      <c r="G102" s="315" t="s">
        <v>1497</v>
      </c>
      <c r="H102" s="315" t="s">
        <v>1498</v>
      </c>
      <c r="I102" s="315" t="s">
        <v>1499</v>
      </c>
      <c r="J102" s="315" t="s">
        <v>1500</v>
      </c>
      <c r="K102" s="315" t="s">
        <v>1501</v>
      </c>
      <c r="L102" s="315" t="s">
        <v>1502</v>
      </c>
      <c r="M102" s="315" t="s">
        <v>1503</v>
      </c>
    </row>
    <row r="103" spans="1:13" x14ac:dyDescent="0.2">
      <c r="A103" s="18" t="s">
        <v>1644</v>
      </c>
      <c r="B103" s="164">
        <v>0.125</v>
      </c>
      <c r="C103" s="164">
        <v>0.125</v>
      </c>
      <c r="D103" s="164">
        <v>0.125</v>
      </c>
      <c r="E103" s="164">
        <v>0.125</v>
      </c>
      <c r="F103" s="164">
        <v>0.125</v>
      </c>
      <c r="G103" s="164">
        <v>0.125</v>
      </c>
      <c r="H103" s="164">
        <v>0.125</v>
      </c>
      <c r="I103" s="164">
        <v>0.125</v>
      </c>
      <c r="J103" s="164">
        <v>0.125</v>
      </c>
      <c r="K103" s="164">
        <v>0.125</v>
      </c>
      <c r="L103" s="164">
        <v>0.125</v>
      </c>
      <c r="M103" s="164">
        <v>0.125</v>
      </c>
    </row>
    <row r="104" spans="1:13" x14ac:dyDescent="0.2">
      <c r="A104" s="18" t="s">
        <v>1645</v>
      </c>
      <c r="B104" s="164">
        <v>0.38350000000000001</v>
      </c>
      <c r="C104" s="164">
        <v>0.38350000000000001</v>
      </c>
      <c r="D104" s="164">
        <v>0.38350000000000001</v>
      </c>
      <c r="E104" s="164">
        <v>0.38350000000000001</v>
      </c>
      <c r="F104" s="164">
        <v>0.38350000000000001</v>
      </c>
      <c r="G104" s="164">
        <v>0.38350000000000001</v>
      </c>
      <c r="H104" s="164">
        <v>0.38350000000000001</v>
      </c>
      <c r="I104" s="164">
        <v>0.38350000000000001</v>
      </c>
      <c r="J104" s="164">
        <v>0.38350000000000001</v>
      </c>
      <c r="K104" s="164">
        <v>0.38350000000000001</v>
      </c>
      <c r="L104" s="164">
        <v>0.38350000000000001</v>
      </c>
      <c r="M104" s="164">
        <v>0.38350000000000001</v>
      </c>
    </row>
    <row r="105" spans="1:13" x14ac:dyDescent="0.2">
      <c r="A105" s="18" t="s">
        <v>1646</v>
      </c>
      <c r="B105" s="310">
        <v>0.25</v>
      </c>
      <c r="C105" s="310">
        <v>0.25</v>
      </c>
      <c r="D105" s="310">
        <v>0.25</v>
      </c>
      <c r="E105" s="310">
        <v>0.25</v>
      </c>
      <c r="F105" s="310">
        <v>0.25</v>
      </c>
      <c r="G105" s="310">
        <v>0.25</v>
      </c>
      <c r="H105" s="310">
        <v>0.25</v>
      </c>
      <c r="I105" s="310">
        <v>0.25</v>
      </c>
      <c r="J105" s="310">
        <v>0.25</v>
      </c>
      <c r="K105" s="310">
        <v>0.25</v>
      </c>
      <c r="L105" s="310">
        <v>0.25</v>
      </c>
      <c r="M105" s="310">
        <v>0.25</v>
      </c>
    </row>
    <row r="106" spans="1:13" x14ac:dyDescent="0.2">
      <c r="A106" s="18" t="s">
        <v>1647</v>
      </c>
      <c r="B106" s="164">
        <f>('El Producto'!$AK$9+'El Producto'!$AK$24+'El Producto'!$AK$39+'El Producto'!$AK$54)/4</f>
        <v>0.12805527638190956</v>
      </c>
      <c r="C106" s="164">
        <f>('El Producto'!$AK$9+'El Producto'!$AK$24+'El Producto'!$AK$39+'El Producto'!$AK$54)/4</f>
        <v>0.12805527638190956</v>
      </c>
      <c r="D106" s="164">
        <f>('El Producto'!$AK$9+'El Producto'!$AK$24+'El Producto'!$AK$39+'El Producto'!$AK$54)/4</f>
        <v>0.12805527638190956</v>
      </c>
      <c r="E106" s="164">
        <f>('El Producto'!$AK$9+'El Producto'!$AK$24+'El Producto'!$AK$39+'El Producto'!$AK$54)/4</f>
        <v>0.12805527638190956</v>
      </c>
      <c r="F106" s="164">
        <f>('El Producto'!$AK$9+'El Producto'!$AK$24+'El Producto'!$AK$39+'El Producto'!$AK$54)/4</f>
        <v>0.12805527638190956</v>
      </c>
      <c r="G106" s="164">
        <f>('El Producto'!$AK$9+'El Producto'!$AK$24+'El Producto'!$AK$39+'El Producto'!$AK$54)/4</f>
        <v>0.12805527638190956</v>
      </c>
      <c r="H106" s="164">
        <f>('El Producto'!$AK$9+'El Producto'!$AK$24+'El Producto'!$AK$39+'El Producto'!$AK$54)/4</f>
        <v>0.12805527638190956</v>
      </c>
      <c r="I106" s="164">
        <f>('El Producto'!$AK$9+'El Producto'!$AK$24+'El Producto'!$AK$39+'El Producto'!$AK$54)/4</f>
        <v>0.12805527638190956</v>
      </c>
      <c r="J106" s="164">
        <f>('El Producto'!$AK$9+'El Producto'!$AK$24+'El Producto'!$AK$39+'El Producto'!$AK$54)/4</f>
        <v>0.12805527638190956</v>
      </c>
      <c r="K106" s="164">
        <f>('El Producto'!$AK$9+'El Producto'!$AK$24+'El Producto'!$AK$39+'El Producto'!$AK$54)/4</f>
        <v>0.12805527638190956</v>
      </c>
      <c r="L106" s="164">
        <f>('El Producto'!$AK$9+'El Producto'!$AK$24+'El Producto'!$AK$39+'El Producto'!$AK$54)/4</f>
        <v>0.12805527638190956</v>
      </c>
      <c r="M106" s="164">
        <f>('El Producto'!$AK$9+'El Producto'!$AK$24+'El Producto'!$AK$39+'El Producto'!$AK$54)/4</f>
        <v>0.12805527638190956</v>
      </c>
    </row>
    <row r="107" spans="1:13" x14ac:dyDescent="0.2">
      <c r="A107" s="18" t="s">
        <v>1648</v>
      </c>
      <c r="B107" s="164">
        <v>0.37989949748743712</v>
      </c>
      <c r="C107" s="164">
        <v>0.37989949748743712</v>
      </c>
      <c r="D107" s="164">
        <v>0.37989949748743712</v>
      </c>
      <c r="E107" s="164">
        <v>0.37989949748743712</v>
      </c>
      <c r="F107" s="164">
        <v>0.37989949748743712</v>
      </c>
      <c r="G107" s="164">
        <v>0.37989949748743712</v>
      </c>
      <c r="H107" s="164">
        <v>0.37989949748743712</v>
      </c>
      <c r="I107" s="164">
        <v>0.37989949748743712</v>
      </c>
      <c r="J107" s="164">
        <v>0.37989949748743712</v>
      </c>
      <c r="K107" s="164">
        <v>0.37989949748743712</v>
      </c>
      <c r="L107" s="164">
        <v>0.37989949748743712</v>
      </c>
      <c r="M107" s="164">
        <v>0.37989949748743712</v>
      </c>
    </row>
    <row r="108" spans="1:13" x14ac:dyDescent="0.2">
      <c r="A108" s="18" t="s">
        <v>1649</v>
      </c>
      <c r="B108" s="164">
        <v>0.2823785594639866</v>
      </c>
      <c r="C108" s="164">
        <v>0.2823785594639866</v>
      </c>
      <c r="D108" s="164">
        <v>0.2823785594639866</v>
      </c>
      <c r="E108" s="164">
        <v>0.2823785594639866</v>
      </c>
      <c r="F108" s="164">
        <v>0.2823785594639866</v>
      </c>
      <c r="G108" s="164">
        <v>0.2823785594639866</v>
      </c>
      <c r="H108" s="164">
        <v>0.2823785594639866</v>
      </c>
      <c r="I108" s="164">
        <v>0.2823785594639866</v>
      </c>
      <c r="J108" s="164">
        <v>0.2823785594639866</v>
      </c>
      <c r="K108" s="164">
        <v>0.2823785594639866</v>
      </c>
      <c r="L108" s="164">
        <v>0.2823785594639866</v>
      </c>
      <c r="M108" s="164">
        <v>0.2823785594639866</v>
      </c>
    </row>
    <row r="109" spans="1:13" x14ac:dyDescent="0.2">
      <c r="A109" s="18" t="s">
        <v>1650</v>
      </c>
      <c r="B109" s="164">
        <v>0.14147403685092128</v>
      </c>
      <c r="C109" s="164">
        <v>0.14147403685092128</v>
      </c>
      <c r="D109" s="164">
        <v>0.14147403685092128</v>
      </c>
      <c r="E109" s="164">
        <v>0.14147403685092128</v>
      </c>
      <c r="F109" s="164">
        <v>0.14147403685092128</v>
      </c>
      <c r="G109" s="164">
        <v>0.14147403685092128</v>
      </c>
      <c r="H109" s="164">
        <v>0.14147403685092128</v>
      </c>
      <c r="I109" s="164">
        <v>0.14147403685092128</v>
      </c>
      <c r="J109" s="164">
        <v>0.14147403685092128</v>
      </c>
      <c r="K109" s="164">
        <v>0.14147403685092128</v>
      </c>
      <c r="L109" s="164">
        <v>0.14147403685092128</v>
      </c>
      <c r="M109" s="164">
        <v>0.14147403685092128</v>
      </c>
    </row>
    <row r="110" spans="1:13" x14ac:dyDescent="0.2">
      <c r="A110" s="18" t="s">
        <v>1651</v>
      </c>
      <c r="B110" s="164">
        <v>0.12863819095477388</v>
      </c>
      <c r="C110" s="164">
        <v>0.12863819095477388</v>
      </c>
      <c r="D110" s="164">
        <v>0.12863819095477388</v>
      </c>
      <c r="E110" s="164">
        <v>0.12863819095477388</v>
      </c>
      <c r="F110" s="164">
        <v>0.12863819095477388</v>
      </c>
      <c r="G110" s="164">
        <v>0.12863819095477388</v>
      </c>
      <c r="H110" s="164">
        <v>0.12863819095477388</v>
      </c>
      <c r="I110" s="164">
        <v>0.12863819095477388</v>
      </c>
      <c r="J110" s="164">
        <v>0.12863819095477388</v>
      </c>
      <c r="K110" s="164">
        <v>0.12863819095477388</v>
      </c>
      <c r="L110" s="164">
        <v>0.12863819095477388</v>
      </c>
      <c r="M110" s="164">
        <v>0.12863819095477388</v>
      </c>
    </row>
    <row r="111" spans="1:13" x14ac:dyDescent="0.2">
      <c r="A111" s="18" t="s">
        <v>1652</v>
      </c>
      <c r="B111" s="164">
        <f>('El Producto'!$AK$11+'El Producto'!$AK$26+'El Producto'!$AK$41+'El Producto'!$AK$56)/4</f>
        <v>4.3786641541038521E-2</v>
      </c>
      <c r="C111" s="164">
        <f>('El Producto'!$AK$11+'El Producto'!$AK$26+'El Producto'!$AK$41+'El Producto'!$AK$56)/4</f>
        <v>4.3786641541038521E-2</v>
      </c>
      <c r="D111" s="164">
        <f>('El Producto'!$AK$11+'El Producto'!$AK$26+'El Producto'!$AK$41+'El Producto'!$AK$56)/4</f>
        <v>4.3786641541038521E-2</v>
      </c>
      <c r="E111" s="164">
        <f>('El Producto'!$AK$11+'El Producto'!$AK$26+'El Producto'!$AK$41+'El Producto'!$AK$56)/4</f>
        <v>4.3786641541038521E-2</v>
      </c>
      <c r="F111" s="164">
        <f>('El Producto'!$AK$11+'El Producto'!$AK$26+'El Producto'!$AK$41+'El Producto'!$AK$56)/4</f>
        <v>4.3786641541038521E-2</v>
      </c>
      <c r="G111" s="164">
        <f>('El Producto'!$AK$11+'El Producto'!$AK$26+'El Producto'!$AK$41+'El Producto'!$AK$56)/4</f>
        <v>4.3786641541038521E-2</v>
      </c>
      <c r="H111" s="164">
        <f>('El Producto'!$AK$11+'El Producto'!$AK$26+'El Producto'!$AK$41+'El Producto'!$AK$56)/4</f>
        <v>4.3786641541038521E-2</v>
      </c>
      <c r="I111" s="164">
        <f>('El Producto'!$AK$11+'El Producto'!$AK$26+'El Producto'!$AK$41+'El Producto'!$AK$56)/4</f>
        <v>4.3786641541038521E-2</v>
      </c>
      <c r="J111" s="164">
        <f>('El Producto'!$AK$11+'El Producto'!$AK$26+'El Producto'!$AK$41+'El Producto'!$AK$56)/4</f>
        <v>4.3786641541038521E-2</v>
      </c>
      <c r="K111" s="164">
        <f>('El Producto'!$AK$11+'El Producto'!$AK$26+'El Producto'!$AK$41+'El Producto'!$AK$56)/4</f>
        <v>4.3786641541038521E-2</v>
      </c>
      <c r="L111" s="164">
        <f>('El Producto'!$AK$11+'El Producto'!$AK$26+'El Producto'!$AK$41+'El Producto'!$AK$56)/4</f>
        <v>4.3786641541038521E-2</v>
      </c>
      <c r="M111" s="164">
        <f>('El Producto'!$AK$11+'El Producto'!$AK$26+'El Producto'!$AK$41+'El Producto'!$AK$56)/4</f>
        <v>4.3786641541038521E-2</v>
      </c>
    </row>
    <row r="112" spans="1:13" x14ac:dyDescent="0.2">
      <c r="A112" s="18" t="s">
        <v>1653</v>
      </c>
      <c r="B112" s="164">
        <f>('El Producto'!$AK$12+'El Producto'!$AK$27+'El Producto'!$AK$42+'El Producto'!$AK$57)/4</f>
        <v>1.5637170226130651E-2</v>
      </c>
      <c r="C112" s="164">
        <f>('El Producto'!$AK$12+'El Producto'!$AK$27+'El Producto'!$AK$42+'El Producto'!$AK$57)/4</f>
        <v>1.5637170226130651E-2</v>
      </c>
      <c r="D112" s="164">
        <f>('El Producto'!$AK$12+'El Producto'!$AK$27+'El Producto'!$AK$42+'El Producto'!$AK$57)/4</f>
        <v>1.5637170226130651E-2</v>
      </c>
      <c r="E112" s="164">
        <f>('El Producto'!$AK$12+'El Producto'!$AK$27+'El Producto'!$AK$42+'El Producto'!$AK$57)/4</f>
        <v>1.5637170226130651E-2</v>
      </c>
      <c r="F112" s="164">
        <f>('El Producto'!$AK$12+'El Producto'!$AK$27+'El Producto'!$AK$42+'El Producto'!$AK$57)/4</f>
        <v>1.5637170226130651E-2</v>
      </c>
      <c r="G112" s="164">
        <f>('El Producto'!$AK$12+'El Producto'!$AK$27+'El Producto'!$AK$42+'El Producto'!$AK$57)/4</f>
        <v>1.5637170226130651E-2</v>
      </c>
      <c r="H112" s="164">
        <f>('El Producto'!$AK$12+'El Producto'!$AK$27+'El Producto'!$AK$42+'El Producto'!$AK$57)/4</f>
        <v>1.5637170226130651E-2</v>
      </c>
      <c r="I112" s="164">
        <f>('El Producto'!$AK$12+'El Producto'!$AK$27+'El Producto'!$AK$42+'El Producto'!$AK$57)/4</f>
        <v>1.5637170226130651E-2</v>
      </c>
      <c r="J112" s="164">
        <f>('El Producto'!$AK$12+'El Producto'!$AK$27+'El Producto'!$AK$42+'El Producto'!$AK$57)/4</f>
        <v>1.5637170226130651E-2</v>
      </c>
      <c r="K112" s="164">
        <f>('El Producto'!$AK$12+'El Producto'!$AK$27+'El Producto'!$AK$42+'El Producto'!$AK$57)/4</f>
        <v>1.5637170226130651E-2</v>
      </c>
      <c r="L112" s="164">
        <f>('El Producto'!$AK$12+'El Producto'!$AK$27+'El Producto'!$AK$42+'El Producto'!$AK$57)/4</f>
        <v>1.5637170226130651E-2</v>
      </c>
      <c r="M112" s="164">
        <f>('El Producto'!$AK$12+'El Producto'!$AK$27+'El Producto'!$AK$42+'El Producto'!$AK$57)/4</f>
        <v>1.5637170226130651E-2</v>
      </c>
    </row>
    <row r="113" spans="1:13" x14ac:dyDescent="0.2">
      <c r="A113" s="18" t="s">
        <v>1654</v>
      </c>
      <c r="B113" s="164">
        <f>('El Producto'!$AK$13+'El Producto'!$AK$28+'El Producto'!$AK$43+'El Producto'!$AK$58)/4</f>
        <v>5.5444932998324958E-3</v>
      </c>
      <c r="C113" s="164">
        <f>('El Producto'!$AK$13+'El Producto'!$AK$28+'El Producto'!$AK$43+'El Producto'!$AK$58)/4</f>
        <v>5.5444932998324958E-3</v>
      </c>
      <c r="D113" s="164">
        <f>('El Producto'!$AK$13+'El Producto'!$AK$28+'El Producto'!$AK$43+'El Producto'!$AK$58)/4</f>
        <v>5.5444932998324958E-3</v>
      </c>
      <c r="E113" s="164">
        <f>('El Producto'!$AK$13+'El Producto'!$AK$28+'El Producto'!$AK$43+'El Producto'!$AK$58)/4</f>
        <v>5.5444932998324958E-3</v>
      </c>
      <c r="F113" s="164">
        <f>('El Producto'!$AK$13+'El Producto'!$AK$28+'El Producto'!$AK$43+'El Producto'!$AK$58)/4</f>
        <v>5.5444932998324958E-3</v>
      </c>
      <c r="G113" s="164">
        <f>('El Producto'!$AK$13+'El Producto'!$AK$28+'El Producto'!$AK$43+'El Producto'!$AK$58)/4</f>
        <v>5.5444932998324958E-3</v>
      </c>
      <c r="H113" s="164">
        <f>('El Producto'!$AK$13+'El Producto'!$AK$28+'El Producto'!$AK$43+'El Producto'!$AK$58)/4</f>
        <v>5.5444932998324958E-3</v>
      </c>
      <c r="I113" s="164">
        <f>('El Producto'!$AK$13+'El Producto'!$AK$28+'El Producto'!$AK$43+'El Producto'!$AK$58)/4</f>
        <v>5.5444932998324958E-3</v>
      </c>
      <c r="J113" s="164">
        <f>('El Producto'!$AK$13+'El Producto'!$AK$28+'El Producto'!$AK$43+'El Producto'!$AK$58)/4</f>
        <v>5.5444932998324958E-3</v>
      </c>
      <c r="K113" s="164">
        <f>('El Producto'!$AK$13+'El Producto'!$AK$28+'El Producto'!$AK$43+'El Producto'!$AK$58)/4</f>
        <v>5.5444932998324958E-3</v>
      </c>
      <c r="L113" s="164">
        <f>('El Producto'!$AK$13+'El Producto'!$AK$28+'El Producto'!$AK$43+'El Producto'!$AK$58)/4</f>
        <v>5.5444932998324958E-3</v>
      </c>
      <c r="M113" s="164">
        <f>('El Producto'!$AK$13+'El Producto'!$AK$28+'El Producto'!$AK$43+'El Producto'!$AK$58)/4</f>
        <v>5.5444932998324958E-3</v>
      </c>
    </row>
    <row r="114" spans="1:13" x14ac:dyDescent="0.2">
      <c r="A114" s="18" t="s">
        <v>1655</v>
      </c>
      <c r="B114" s="164">
        <f>('El Producto'!$AK$14+'El Producto'!$AK$29+'El Producto'!$AK$44+'El Producto'!$AK$59)/4</f>
        <v>5.4031323283082067E-3</v>
      </c>
      <c r="C114" s="164">
        <f>('El Producto'!$AK$14+'El Producto'!$AK$29+'El Producto'!$AK$44+'El Producto'!$AK$59)/4</f>
        <v>5.4031323283082067E-3</v>
      </c>
      <c r="D114" s="164">
        <f>('El Producto'!$AK$14+'El Producto'!$AK$29+'El Producto'!$AK$44+'El Producto'!$AK$59)/4</f>
        <v>5.4031323283082067E-3</v>
      </c>
      <c r="E114" s="164">
        <f>('El Producto'!$AK$14+'El Producto'!$AK$29+'El Producto'!$AK$44+'El Producto'!$AK$59)/4</f>
        <v>5.4031323283082067E-3</v>
      </c>
      <c r="F114" s="164">
        <f>('El Producto'!$AK$14+'El Producto'!$AK$29+'El Producto'!$AK$44+'El Producto'!$AK$59)/4</f>
        <v>5.4031323283082067E-3</v>
      </c>
      <c r="G114" s="164">
        <f>('El Producto'!$AK$14+'El Producto'!$AK$29+'El Producto'!$AK$44+'El Producto'!$AK$59)/4</f>
        <v>5.4031323283082067E-3</v>
      </c>
      <c r="H114" s="164">
        <f>('El Producto'!$AK$14+'El Producto'!$AK$29+'El Producto'!$AK$44+'El Producto'!$AK$59)/4</f>
        <v>5.4031323283082067E-3</v>
      </c>
      <c r="I114" s="164">
        <f>('El Producto'!$AK$14+'El Producto'!$AK$29+'El Producto'!$AK$44+'El Producto'!$AK$59)/4</f>
        <v>5.4031323283082067E-3</v>
      </c>
      <c r="J114" s="164">
        <f>('El Producto'!$AK$14+'El Producto'!$AK$29+'El Producto'!$AK$44+'El Producto'!$AK$59)/4</f>
        <v>5.4031323283082067E-3</v>
      </c>
      <c r="K114" s="164">
        <f>('El Producto'!$AK$14+'El Producto'!$AK$29+'El Producto'!$AK$44+'El Producto'!$AK$59)/4</f>
        <v>5.4031323283082067E-3</v>
      </c>
      <c r="L114" s="164">
        <f>('El Producto'!$AK$14+'El Producto'!$AK$29+'El Producto'!$AK$44+'El Producto'!$AK$59)/4</f>
        <v>5.4031323283082067E-3</v>
      </c>
      <c r="M114" s="164">
        <f>('El Producto'!$AK$14+'El Producto'!$AK$29+'El Producto'!$AK$44+'El Producto'!$AK$59)/4</f>
        <v>5.4031323283082067E-3</v>
      </c>
    </row>
    <row r="115" spans="1:13" x14ac:dyDescent="0.2">
      <c r="A115" s="18" t="s">
        <v>1656</v>
      </c>
      <c r="B115" s="164">
        <f>('El Producto'!$AK$15+'El Producto'!$AK$30+'El Producto'!$AK$45+'El Producto'!$AK$60)/4</f>
        <v>9.9942211055276398E-3</v>
      </c>
      <c r="C115" s="164">
        <f>('El Producto'!$AK$15+'El Producto'!$AK$30+'El Producto'!$AK$45+'El Producto'!$AK$60)/4</f>
        <v>9.9942211055276398E-3</v>
      </c>
      <c r="D115" s="164">
        <f>('El Producto'!$AK$15+'El Producto'!$AK$30+'El Producto'!$AK$45+'El Producto'!$AK$60)/4</f>
        <v>9.9942211055276398E-3</v>
      </c>
      <c r="E115" s="164">
        <f>('El Producto'!$AK$15+'El Producto'!$AK$30+'El Producto'!$AK$45+'El Producto'!$AK$60)/4</f>
        <v>9.9942211055276398E-3</v>
      </c>
      <c r="F115" s="164">
        <f>('El Producto'!$AK$15+'El Producto'!$AK$30+'El Producto'!$AK$45+'El Producto'!$AK$60)/4</f>
        <v>9.9942211055276398E-3</v>
      </c>
      <c r="G115" s="164">
        <f>('El Producto'!$AK$15+'El Producto'!$AK$30+'El Producto'!$AK$45+'El Producto'!$AK$60)/4</f>
        <v>9.9942211055276398E-3</v>
      </c>
      <c r="H115" s="164">
        <f>('El Producto'!$AK$15+'El Producto'!$AK$30+'El Producto'!$AK$45+'El Producto'!$AK$60)/4</f>
        <v>9.9942211055276398E-3</v>
      </c>
      <c r="I115" s="164">
        <f>('El Producto'!$AK$15+'El Producto'!$AK$30+'El Producto'!$AK$45+'El Producto'!$AK$60)/4</f>
        <v>9.9942211055276398E-3</v>
      </c>
      <c r="J115" s="164">
        <f>('El Producto'!$AK$15+'El Producto'!$AK$30+'El Producto'!$AK$45+'El Producto'!$AK$60)/4</f>
        <v>9.9942211055276398E-3</v>
      </c>
      <c r="K115" s="164">
        <f>('El Producto'!$AK$15+'El Producto'!$AK$30+'El Producto'!$AK$45+'El Producto'!$AK$60)/4</f>
        <v>9.9942211055276398E-3</v>
      </c>
      <c r="L115" s="164">
        <f>('El Producto'!$AK$15+'El Producto'!$AK$30+'El Producto'!$AK$45+'El Producto'!$AK$60)/4</f>
        <v>9.9942211055276398E-3</v>
      </c>
      <c r="M115" s="164">
        <f>('El Producto'!$AK$15+'El Producto'!$AK$30+'El Producto'!$AK$45+'El Producto'!$AK$60)/4</f>
        <v>9.9942211055276398E-3</v>
      </c>
    </row>
    <row r="116" spans="1:13" x14ac:dyDescent="0.2">
      <c r="A116" s="18" t="s">
        <v>1657</v>
      </c>
      <c r="B116" s="164">
        <f>('El Producto'!$AK$16+'El Producto'!$AK$31+'El Producto'!$AK$46+'El Producto'!$AK$61)/4</f>
        <v>4.3403576214405361E-2</v>
      </c>
      <c r="C116" s="164">
        <f>('El Producto'!$AK$16+'El Producto'!$AK$31+'El Producto'!$AK$46+'El Producto'!$AK$61)/4</f>
        <v>4.3403576214405361E-2</v>
      </c>
      <c r="D116" s="164">
        <f>('El Producto'!$AK$16+'El Producto'!$AK$31+'El Producto'!$AK$46+'El Producto'!$AK$61)/4</f>
        <v>4.3403576214405361E-2</v>
      </c>
      <c r="E116" s="164">
        <f>('El Producto'!$AK$16+'El Producto'!$AK$31+'El Producto'!$AK$46+'El Producto'!$AK$61)/4</f>
        <v>4.3403576214405361E-2</v>
      </c>
      <c r="F116" s="164">
        <f>('El Producto'!$AK$16+'El Producto'!$AK$31+'El Producto'!$AK$46+'El Producto'!$AK$61)/4</f>
        <v>4.3403576214405361E-2</v>
      </c>
      <c r="G116" s="164">
        <f>('El Producto'!$AK$16+'El Producto'!$AK$31+'El Producto'!$AK$46+'El Producto'!$AK$61)/4</f>
        <v>4.3403576214405361E-2</v>
      </c>
      <c r="H116" s="164">
        <f>('El Producto'!$AK$16+'El Producto'!$AK$31+'El Producto'!$AK$46+'El Producto'!$AK$61)/4</f>
        <v>4.3403576214405361E-2</v>
      </c>
      <c r="I116" s="164">
        <f>('El Producto'!$AK$16+'El Producto'!$AK$31+'El Producto'!$AK$46+'El Producto'!$AK$61)/4</f>
        <v>4.3403576214405361E-2</v>
      </c>
      <c r="J116" s="164">
        <f>('El Producto'!$AK$16+'El Producto'!$AK$31+'El Producto'!$AK$46+'El Producto'!$AK$61)/4</f>
        <v>4.3403576214405361E-2</v>
      </c>
      <c r="K116" s="164">
        <f>('El Producto'!$AK$16+'El Producto'!$AK$31+'El Producto'!$AK$46+'El Producto'!$AK$61)/4</f>
        <v>4.3403576214405361E-2</v>
      </c>
      <c r="L116" s="164">
        <f>('El Producto'!$AK$16+'El Producto'!$AK$31+'El Producto'!$AK$46+'El Producto'!$AK$61)/4</f>
        <v>4.3403576214405361E-2</v>
      </c>
      <c r="M116" s="164">
        <f>('El Producto'!$AK$16+'El Producto'!$AK$31+'El Producto'!$AK$46+'El Producto'!$AK$61)/4</f>
        <v>4.3403576214405361E-2</v>
      </c>
    </row>
    <row r="117" spans="1:13" x14ac:dyDescent="0.2">
      <c r="A117" s="18" t="s">
        <v>1659</v>
      </c>
      <c r="B117" s="319">
        <f>851*26</f>
        <v>22126</v>
      </c>
      <c r="C117" s="319">
        <f t="shared" ref="C117:M117" si="74">851*26</f>
        <v>22126</v>
      </c>
      <c r="D117" s="319">
        <f t="shared" si="74"/>
        <v>22126</v>
      </c>
      <c r="E117" s="319">
        <f t="shared" si="74"/>
        <v>22126</v>
      </c>
      <c r="F117" s="319">
        <f t="shared" si="74"/>
        <v>22126</v>
      </c>
      <c r="G117" s="319">
        <f t="shared" si="74"/>
        <v>22126</v>
      </c>
      <c r="H117" s="319">
        <f t="shared" si="74"/>
        <v>22126</v>
      </c>
      <c r="I117" s="319">
        <f t="shared" si="74"/>
        <v>22126</v>
      </c>
      <c r="J117" s="319">
        <f t="shared" si="74"/>
        <v>22126</v>
      </c>
      <c r="K117" s="319">
        <f t="shared" si="74"/>
        <v>22126</v>
      </c>
      <c r="L117" s="319">
        <f t="shared" si="74"/>
        <v>22126</v>
      </c>
      <c r="M117" s="319">
        <f t="shared" si="74"/>
        <v>22126</v>
      </c>
    </row>
    <row r="118" spans="1:13" x14ac:dyDescent="0.2">
      <c r="A118" s="18" t="s">
        <v>1660</v>
      </c>
      <c r="B118" s="319">
        <f t="shared" ref="B118:M120" si="75">851*26</f>
        <v>22126</v>
      </c>
      <c r="C118" s="319">
        <f t="shared" si="75"/>
        <v>22126</v>
      </c>
      <c r="D118" s="319">
        <f t="shared" si="75"/>
        <v>22126</v>
      </c>
      <c r="E118" s="319">
        <f t="shared" si="75"/>
        <v>22126</v>
      </c>
      <c r="F118" s="319">
        <f t="shared" si="75"/>
        <v>22126</v>
      </c>
      <c r="G118" s="319">
        <f t="shared" si="75"/>
        <v>22126</v>
      </c>
      <c r="H118" s="319">
        <f t="shared" si="75"/>
        <v>22126</v>
      </c>
      <c r="I118" s="319">
        <f t="shared" si="75"/>
        <v>22126</v>
      </c>
      <c r="J118" s="319">
        <f t="shared" si="75"/>
        <v>22126</v>
      </c>
      <c r="K118" s="319">
        <f t="shared" si="75"/>
        <v>22126</v>
      </c>
      <c r="L118" s="319">
        <f t="shared" si="75"/>
        <v>22126</v>
      </c>
      <c r="M118" s="319">
        <f t="shared" si="75"/>
        <v>22126</v>
      </c>
    </row>
    <row r="119" spans="1:13" x14ac:dyDescent="0.2">
      <c r="A119" s="18" t="s">
        <v>1661</v>
      </c>
      <c r="B119" s="319">
        <f t="shared" si="75"/>
        <v>22126</v>
      </c>
      <c r="C119" s="319">
        <f t="shared" si="75"/>
        <v>22126</v>
      </c>
      <c r="D119" s="319">
        <f t="shared" si="75"/>
        <v>22126</v>
      </c>
      <c r="E119" s="319">
        <f t="shared" si="75"/>
        <v>22126</v>
      </c>
      <c r="F119" s="319">
        <f t="shared" si="75"/>
        <v>22126</v>
      </c>
      <c r="G119" s="319">
        <f t="shared" si="75"/>
        <v>22126</v>
      </c>
      <c r="H119" s="319">
        <f t="shared" si="75"/>
        <v>22126</v>
      </c>
      <c r="I119" s="319">
        <f t="shared" si="75"/>
        <v>22126</v>
      </c>
      <c r="J119" s="319">
        <f t="shared" si="75"/>
        <v>22126</v>
      </c>
      <c r="K119" s="319">
        <f t="shared" si="75"/>
        <v>22126</v>
      </c>
      <c r="L119" s="319">
        <f t="shared" si="75"/>
        <v>22126</v>
      </c>
      <c r="M119" s="319">
        <f t="shared" si="75"/>
        <v>22126</v>
      </c>
    </row>
    <row r="120" spans="1:13" x14ac:dyDescent="0.2">
      <c r="A120" s="18" t="s">
        <v>1662</v>
      </c>
      <c r="B120" s="319">
        <f t="shared" si="75"/>
        <v>22126</v>
      </c>
      <c r="C120" s="319">
        <f t="shared" si="75"/>
        <v>22126</v>
      </c>
      <c r="D120" s="319">
        <f t="shared" si="75"/>
        <v>22126</v>
      </c>
      <c r="E120" s="319">
        <f t="shared" si="75"/>
        <v>22126</v>
      </c>
      <c r="F120" s="319">
        <f t="shared" si="75"/>
        <v>22126</v>
      </c>
      <c r="G120" s="319">
        <f t="shared" si="75"/>
        <v>22126</v>
      </c>
      <c r="H120" s="319">
        <f t="shared" si="75"/>
        <v>22126</v>
      </c>
      <c r="I120" s="319">
        <f t="shared" si="75"/>
        <v>22126</v>
      </c>
      <c r="J120" s="319">
        <f t="shared" si="75"/>
        <v>22126</v>
      </c>
      <c r="K120" s="319">
        <f t="shared" si="75"/>
        <v>22126</v>
      </c>
      <c r="L120" s="319">
        <f t="shared" si="75"/>
        <v>22126</v>
      </c>
      <c r="M120" s="319">
        <f t="shared" si="75"/>
        <v>22126</v>
      </c>
    </row>
    <row r="121" spans="1:13" x14ac:dyDescent="0.2">
      <c r="A121" s="350" t="s">
        <v>1663</v>
      </c>
      <c r="B121" s="342">
        <f>(SUM(B103:B107)+SUM(B111:B116))*B117</f>
        <v>30760.096413942629</v>
      </c>
      <c r="C121" s="342">
        <f t="shared" ref="C121:M121" si="76">(SUM(C103:C107)+SUM(C111:C116))*C117</f>
        <v>30760.096413942629</v>
      </c>
      <c r="D121" s="342">
        <f t="shared" si="76"/>
        <v>30760.096413942629</v>
      </c>
      <c r="E121" s="342">
        <f t="shared" si="76"/>
        <v>30760.096413942629</v>
      </c>
      <c r="F121" s="342">
        <f t="shared" si="76"/>
        <v>30760.096413942629</v>
      </c>
      <c r="G121" s="342">
        <f t="shared" si="76"/>
        <v>30760.096413942629</v>
      </c>
      <c r="H121" s="342">
        <f t="shared" si="76"/>
        <v>30760.096413942629</v>
      </c>
      <c r="I121" s="342">
        <f t="shared" si="76"/>
        <v>30760.096413942629</v>
      </c>
      <c r="J121" s="342">
        <f t="shared" si="76"/>
        <v>30760.096413942629</v>
      </c>
      <c r="K121" s="342">
        <f t="shared" si="76"/>
        <v>30760.096413942629</v>
      </c>
      <c r="L121" s="342">
        <f t="shared" si="76"/>
        <v>30760.096413942629</v>
      </c>
      <c r="M121" s="342">
        <f t="shared" si="76"/>
        <v>30760.096413942629</v>
      </c>
    </row>
    <row r="122" spans="1:13" x14ac:dyDescent="0.2">
      <c r="A122" s="350" t="s">
        <v>1664</v>
      </c>
      <c r="B122" s="342">
        <f>(SUM(B103:B106)+B108+SUM(B111:B116))*B118</f>
        <v>28602.348139235757</v>
      </c>
      <c r="C122" s="342">
        <f t="shared" ref="C122:M122" si="77">(SUM(C103:C106)+C108+SUM(C111:C116))*C118</f>
        <v>28602.348139235757</v>
      </c>
      <c r="D122" s="342">
        <f t="shared" si="77"/>
        <v>28602.348139235757</v>
      </c>
      <c r="E122" s="342">
        <f t="shared" si="77"/>
        <v>28602.348139235757</v>
      </c>
      <c r="F122" s="342">
        <f t="shared" si="77"/>
        <v>28602.348139235757</v>
      </c>
      <c r="G122" s="342">
        <f t="shared" si="77"/>
        <v>28602.348139235757</v>
      </c>
      <c r="H122" s="342">
        <f t="shared" si="77"/>
        <v>28602.348139235757</v>
      </c>
      <c r="I122" s="342">
        <f t="shared" si="77"/>
        <v>28602.348139235757</v>
      </c>
      <c r="J122" s="342">
        <f t="shared" si="77"/>
        <v>28602.348139235757</v>
      </c>
      <c r="K122" s="342">
        <f t="shared" si="77"/>
        <v>28602.348139235757</v>
      </c>
      <c r="L122" s="342">
        <f t="shared" si="77"/>
        <v>28602.348139235757</v>
      </c>
      <c r="M122" s="342">
        <f t="shared" si="77"/>
        <v>28602.348139235757</v>
      </c>
    </row>
    <row r="123" spans="1:13" x14ac:dyDescent="0.2">
      <c r="A123" s="350" t="s">
        <v>1665</v>
      </c>
      <c r="B123" s="342">
        <f>(SUM(B103:B106)+B109+SUM(B111:B116))*B119</f>
        <v>25484.694671899077</v>
      </c>
      <c r="C123" s="342">
        <f t="shared" ref="C123:M123" si="78">(SUM(C103:C106)+C109+SUM(C111:C116))*C119</f>
        <v>25484.694671899077</v>
      </c>
      <c r="D123" s="342">
        <f t="shared" si="78"/>
        <v>25484.694671899077</v>
      </c>
      <c r="E123" s="342">
        <f t="shared" si="78"/>
        <v>25484.694671899077</v>
      </c>
      <c r="F123" s="342">
        <f t="shared" si="78"/>
        <v>25484.694671899077</v>
      </c>
      <c r="G123" s="342">
        <f t="shared" si="78"/>
        <v>25484.694671899077</v>
      </c>
      <c r="H123" s="342">
        <f t="shared" si="78"/>
        <v>25484.694671899077</v>
      </c>
      <c r="I123" s="342">
        <f t="shared" si="78"/>
        <v>25484.694671899077</v>
      </c>
      <c r="J123" s="342">
        <f t="shared" si="78"/>
        <v>25484.694671899077</v>
      </c>
      <c r="K123" s="342">
        <f t="shared" si="78"/>
        <v>25484.694671899077</v>
      </c>
      <c r="L123" s="342">
        <f t="shared" si="78"/>
        <v>25484.694671899077</v>
      </c>
      <c r="M123" s="342">
        <f t="shared" si="78"/>
        <v>25484.694671899077</v>
      </c>
    </row>
    <row r="124" spans="1:13" x14ac:dyDescent="0.2">
      <c r="A124" s="350" t="s">
        <v>1666</v>
      </c>
      <c r="B124" s="342">
        <f>(SUM(B103:B106)+SUM(B110:B116))*B120</f>
        <v>25200.688745600924</v>
      </c>
      <c r="C124" s="342">
        <f t="shared" ref="C124:M124" si="79">(SUM(C103:C106)+SUM(C110:C116))*C120</f>
        <v>25200.688745600924</v>
      </c>
      <c r="D124" s="342">
        <f t="shared" si="79"/>
        <v>25200.688745600924</v>
      </c>
      <c r="E124" s="342">
        <f t="shared" si="79"/>
        <v>25200.688745600924</v>
      </c>
      <c r="F124" s="342">
        <f t="shared" si="79"/>
        <v>25200.688745600924</v>
      </c>
      <c r="G124" s="342">
        <f t="shared" si="79"/>
        <v>25200.688745600924</v>
      </c>
      <c r="H124" s="342">
        <f t="shared" si="79"/>
        <v>25200.688745600924</v>
      </c>
      <c r="I124" s="342">
        <f t="shared" si="79"/>
        <v>25200.688745600924</v>
      </c>
      <c r="J124" s="342">
        <f t="shared" si="79"/>
        <v>25200.688745600924</v>
      </c>
      <c r="K124" s="342">
        <f t="shared" si="79"/>
        <v>25200.688745600924</v>
      </c>
      <c r="L124" s="342">
        <f t="shared" si="79"/>
        <v>25200.688745600924</v>
      </c>
      <c r="M124" s="342">
        <f t="shared" si="79"/>
        <v>25200.688745600924</v>
      </c>
    </row>
    <row r="125" spans="1:13" x14ac:dyDescent="0.2">
      <c r="A125" s="203" t="s">
        <v>1658</v>
      </c>
      <c r="B125" s="293">
        <f>SUM(B121:B124)</f>
        <v>110047.82797067839</v>
      </c>
      <c r="C125" s="293">
        <f t="shared" ref="C125:M125" si="80">SUM(C121:C124)</f>
        <v>110047.82797067839</v>
      </c>
      <c r="D125" s="293">
        <f t="shared" si="80"/>
        <v>110047.82797067839</v>
      </c>
      <c r="E125" s="293">
        <f t="shared" si="80"/>
        <v>110047.82797067839</v>
      </c>
      <c r="F125" s="293">
        <f t="shared" si="80"/>
        <v>110047.82797067839</v>
      </c>
      <c r="G125" s="293">
        <f t="shared" si="80"/>
        <v>110047.82797067839</v>
      </c>
      <c r="H125" s="293">
        <f t="shared" si="80"/>
        <v>110047.82797067839</v>
      </c>
      <c r="I125" s="293">
        <f t="shared" si="80"/>
        <v>110047.82797067839</v>
      </c>
      <c r="J125" s="293">
        <f t="shared" si="80"/>
        <v>110047.82797067839</v>
      </c>
      <c r="K125" s="293">
        <f t="shared" si="80"/>
        <v>110047.82797067839</v>
      </c>
      <c r="L125" s="293">
        <f t="shared" si="80"/>
        <v>110047.82797067839</v>
      </c>
      <c r="M125" s="293">
        <f t="shared" si="80"/>
        <v>110047.82797067839</v>
      </c>
    </row>
    <row r="126" spans="1:13" x14ac:dyDescent="0.2">
      <c r="A126" s="203" t="s">
        <v>1333</v>
      </c>
      <c r="B126" s="293">
        <f>B125*18%</f>
        <v>19808.609034722111</v>
      </c>
      <c r="C126" s="293">
        <f t="shared" ref="C126" si="81">C125*18%</f>
        <v>19808.609034722111</v>
      </c>
      <c r="D126" s="293">
        <f t="shared" ref="D126" si="82">D125*18%</f>
        <v>19808.609034722111</v>
      </c>
      <c r="E126" s="293">
        <f t="shared" ref="E126" si="83">E125*18%</f>
        <v>19808.609034722111</v>
      </c>
      <c r="F126" s="293">
        <f t="shared" ref="F126" si="84">F125*18%</f>
        <v>19808.609034722111</v>
      </c>
      <c r="G126" s="293">
        <f t="shared" ref="G126" si="85">G125*18%</f>
        <v>19808.609034722111</v>
      </c>
      <c r="H126" s="293">
        <f t="shared" ref="H126" si="86">H125*18%</f>
        <v>19808.609034722111</v>
      </c>
      <c r="I126" s="293">
        <f t="shared" ref="I126" si="87">I125*18%</f>
        <v>19808.609034722111</v>
      </c>
      <c r="J126" s="293">
        <f t="shared" ref="J126" si="88">J125*18%</f>
        <v>19808.609034722111</v>
      </c>
      <c r="K126" s="293">
        <f t="shared" ref="K126" si="89">K125*18%</f>
        <v>19808.609034722111</v>
      </c>
      <c r="L126" s="293">
        <f t="shared" ref="L126" si="90">L125*18%</f>
        <v>19808.609034722111</v>
      </c>
      <c r="M126" s="293">
        <f t="shared" ref="M126" si="91">M125*18%</f>
        <v>19808.609034722111</v>
      </c>
    </row>
    <row r="127" spans="1:13" x14ac:dyDescent="0.2">
      <c r="A127" s="203" t="s">
        <v>1643</v>
      </c>
      <c r="B127" s="293">
        <f>B125-B126</f>
        <v>90239.218935956276</v>
      </c>
      <c r="C127" s="293">
        <f t="shared" ref="C127" si="92">C125-C126</f>
        <v>90239.218935956276</v>
      </c>
      <c r="D127" s="293">
        <f t="shared" ref="D127" si="93">D125-D126</f>
        <v>90239.218935956276</v>
      </c>
      <c r="E127" s="293">
        <f t="shared" ref="E127" si="94">E125-E126</f>
        <v>90239.218935956276</v>
      </c>
      <c r="F127" s="293">
        <f t="shared" ref="F127" si="95">F125-F126</f>
        <v>90239.218935956276</v>
      </c>
      <c r="G127" s="293">
        <f t="shared" ref="G127" si="96">G125-G126</f>
        <v>90239.218935956276</v>
      </c>
      <c r="H127" s="293">
        <f t="shared" ref="H127" si="97">H125-H126</f>
        <v>90239.218935956276</v>
      </c>
      <c r="I127" s="293">
        <f t="shared" ref="I127" si="98">I125-I126</f>
        <v>90239.218935956276</v>
      </c>
      <c r="J127" s="293">
        <f t="shared" ref="J127" si="99">J125-J126</f>
        <v>90239.218935956276</v>
      </c>
      <c r="K127" s="293">
        <f t="shared" ref="K127" si="100">K125-K126</f>
        <v>90239.218935956276</v>
      </c>
      <c r="L127" s="293">
        <f t="shared" ref="L127" si="101">L125-L126</f>
        <v>90239.218935956276</v>
      </c>
      <c r="M127" s="293">
        <f t="shared" ref="M127" si="102">M125-M126</f>
        <v>90239.218935956276</v>
      </c>
    </row>
    <row r="128" spans="1:13" x14ac:dyDescent="0.2">
      <c r="B128" s="9">
        <f>B125-(6%*B125)</f>
        <v>103444.95829243769</v>
      </c>
      <c r="C128" s="9">
        <f t="shared" ref="C128:M128" si="103">C125-(6%*C125)</f>
        <v>103444.95829243769</v>
      </c>
      <c r="D128" s="9">
        <f t="shared" si="103"/>
        <v>103444.95829243769</v>
      </c>
      <c r="E128" s="9">
        <f t="shared" si="103"/>
        <v>103444.95829243769</v>
      </c>
      <c r="F128" s="9">
        <f t="shared" si="103"/>
        <v>103444.95829243769</v>
      </c>
      <c r="G128" s="9">
        <f t="shared" si="103"/>
        <v>103444.95829243769</v>
      </c>
      <c r="H128" s="9">
        <f t="shared" si="103"/>
        <v>103444.95829243769</v>
      </c>
      <c r="I128" s="9">
        <f t="shared" si="103"/>
        <v>103444.95829243769</v>
      </c>
      <c r="J128" s="9">
        <f t="shared" si="103"/>
        <v>103444.95829243769</v>
      </c>
      <c r="K128" s="9">
        <f t="shared" si="103"/>
        <v>103444.95829243769</v>
      </c>
      <c r="L128" s="9">
        <f t="shared" si="103"/>
        <v>103444.95829243769</v>
      </c>
      <c r="M128" s="9">
        <f t="shared" si="103"/>
        <v>103444.95829243769</v>
      </c>
    </row>
    <row r="130" spans="1:13" x14ac:dyDescent="0.2">
      <c r="A130" s="327" t="s">
        <v>1911</v>
      </c>
    </row>
    <row r="131" spans="1:13" x14ac:dyDescent="0.2">
      <c r="A131" s="15"/>
      <c r="B131" s="315" t="s">
        <v>1492</v>
      </c>
      <c r="C131" s="315" t="s">
        <v>1493</v>
      </c>
      <c r="D131" s="315" t="s">
        <v>1494</v>
      </c>
      <c r="E131" s="315" t="s">
        <v>1495</v>
      </c>
      <c r="F131" s="315" t="s">
        <v>1496</v>
      </c>
      <c r="G131" s="315" t="s">
        <v>1497</v>
      </c>
      <c r="H131" s="315" t="s">
        <v>1498</v>
      </c>
      <c r="I131" s="315" t="s">
        <v>1499</v>
      </c>
      <c r="J131" s="315" t="s">
        <v>1500</v>
      </c>
      <c r="K131" s="315" t="s">
        <v>1501</v>
      </c>
      <c r="L131" s="315" t="s">
        <v>1502</v>
      </c>
      <c r="M131" s="315" t="s">
        <v>1503</v>
      </c>
    </row>
    <row r="132" spans="1:13" x14ac:dyDescent="0.2">
      <c r="A132" s="18" t="s">
        <v>1644</v>
      </c>
      <c r="B132" s="164">
        <v>0.125</v>
      </c>
      <c r="C132" s="164">
        <v>0.125</v>
      </c>
      <c r="D132" s="164">
        <v>0.125</v>
      </c>
      <c r="E132" s="164">
        <v>0.125</v>
      </c>
      <c r="F132" s="164">
        <v>0.125</v>
      </c>
      <c r="G132" s="164">
        <v>0.125</v>
      </c>
      <c r="H132" s="164">
        <v>0.125</v>
      </c>
      <c r="I132" s="164">
        <v>0.125</v>
      </c>
      <c r="J132" s="164">
        <v>0.125</v>
      </c>
      <c r="K132" s="164">
        <v>0.125</v>
      </c>
      <c r="L132" s="164">
        <v>0.125</v>
      </c>
      <c r="M132" s="164">
        <v>0.125</v>
      </c>
    </row>
    <row r="133" spans="1:13" x14ac:dyDescent="0.2">
      <c r="A133" s="18" t="s">
        <v>1645</v>
      </c>
      <c r="B133" s="164">
        <v>0.38350000000000001</v>
      </c>
      <c r="C133" s="164">
        <v>0.38350000000000001</v>
      </c>
      <c r="D133" s="164">
        <v>0.38350000000000001</v>
      </c>
      <c r="E133" s="164">
        <v>0.38350000000000001</v>
      </c>
      <c r="F133" s="164">
        <v>0.38350000000000001</v>
      </c>
      <c r="G133" s="164">
        <v>0.38350000000000001</v>
      </c>
      <c r="H133" s="164">
        <v>0.38350000000000001</v>
      </c>
      <c r="I133" s="164">
        <v>0.38350000000000001</v>
      </c>
      <c r="J133" s="164">
        <v>0.38350000000000001</v>
      </c>
      <c r="K133" s="164">
        <v>0.38350000000000001</v>
      </c>
      <c r="L133" s="164">
        <v>0.38350000000000001</v>
      </c>
      <c r="M133" s="164">
        <v>0.38350000000000001</v>
      </c>
    </row>
    <row r="134" spans="1:13" x14ac:dyDescent="0.2">
      <c r="A134" s="18" t="s">
        <v>1646</v>
      </c>
      <c r="B134" s="310">
        <v>0.25</v>
      </c>
      <c r="C134" s="310">
        <v>0.25</v>
      </c>
      <c r="D134" s="310">
        <v>0.25</v>
      </c>
      <c r="E134" s="310">
        <v>0.25</v>
      </c>
      <c r="F134" s="310">
        <v>0.25</v>
      </c>
      <c r="G134" s="310">
        <v>0.25</v>
      </c>
      <c r="H134" s="310">
        <v>0.25</v>
      </c>
      <c r="I134" s="310">
        <v>0.25</v>
      </c>
      <c r="J134" s="310">
        <v>0.25</v>
      </c>
      <c r="K134" s="310">
        <v>0.25</v>
      </c>
      <c r="L134" s="310">
        <v>0.25</v>
      </c>
      <c r="M134" s="310">
        <v>0.25</v>
      </c>
    </row>
    <row r="135" spans="1:13" x14ac:dyDescent="0.2">
      <c r="A135" s="18" t="s">
        <v>1647</v>
      </c>
      <c r="B135" s="164">
        <f>('El Producto'!$AK$9+'El Producto'!$AK$24+'El Producto'!$AK$39+'El Producto'!$AK$54)/4</f>
        <v>0.12805527638190956</v>
      </c>
      <c r="C135" s="164">
        <f>('El Producto'!$AK$9+'El Producto'!$AK$24+'El Producto'!$AK$39+'El Producto'!$AK$54)/4</f>
        <v>0.12805527638190956</v>
      </c>
      <c r="D135" s="164">
        <f>('El Producto'!$AK$9+'El Producto'!$AK$24+'El Producto'!$AK$39+'El Producto'!$AK$54)/4</f>
        <v>0.12805527638190956</v>
      </c>
      <c r="E135" s="164">
        <f>('El Producto'!$AK$9+'El Producto'!$AK$24+'El Producto'!$AK$39+'El Producto'!$AK$54)/4</f>
        <v>0.12805527638190956</v>
      </c>
      <c r="F135" s="164">
        <f>('El Producto'!$AK$9+'El Producto'!$AK$24+'El Producto'!$AK$39+'El Producto'!$AK$54)/4</f>
        <v>0.12805527638190956</v>
      </c>
      <c r="G135" s="164">
        <f>('El Producto'!$AK$9+'El Producto'!$AK$24+'El Producto'!$AK$39+'El Producto'!$AK$54)/4</f>
        <v>0.12805527638190956</v>
      </c>
      <c r="H135" s="164">
        <f>('El Producto'!$AK$9+'El Producto'!$AK$24+'El Producto'!$AK$39+'El Producto'!$AK$54)/4</f>
        <v>0.12805527638190956</v>
      </c>
      <c r="I135" s="164">
        <f>('El Producto'!$AK$9+'El Producto'!$AK$24+'El Producto'!$AK$39+'El Producto'!$AK$54)/4</f>
        <v>0.12805527638190956</v>
      </c>
      <c r="J135" s="164">
        <f>('El Producto'!$AK$9+'El Producto'!$AK$24+'El Producto'!$AK$39+'El Producto'!$AK$54)/4</f>
        <v>0.12805527638190956</v>
      </c>
      <c r="K135" s="164">
        <f>('El Producto'!$AK$9+'El Producto'!$AK$24+'El Producto'!$AK$39+'El Producto'!$AK$54)/4</f>
        <v>0.12805527638190956</v>
      </c>
      <c r="L135" s="164">
        <f>('El Producto'!$AK$9+'El Producto'!$AK$24+'El Producto'!$AK$39+'El Producto'!$AK$54)/4</f>
        <v>0.12805527638190956</v>
      </c>
      <c r="M135" s="164">
        <f>('El Producto'!$AK$9+'El Producto'!$AK$24+'El Producto'!$AK$39+'El Producto'!$AK$54)/4</f>
        <v>0.12805527638190956</v>
      </c>
    </row>
    <row r="136" spans="1:13" x14ac:dyDescent="0.2">
      <c r="A136" s="18" t="s">
        <v>1648</v>
      </c>
      <c r="B136" s="164">
        <v>0.37989949748743712</v>
      </c>
      <c r="C136" s="164">
        <v>0.37989949748743712</v>
      </c>
      <c r="D136" s="164">
        <v>0.37989949748743712</v>
      </c>
      <c r="E136" s="164">
        <v>0.37989949748743712</v>
      </c>
      <c r="F136" s="164">
        <v>0.37989949748743712</v>
      </c>
      <c r="G136" s="164">
        <v>0.37989949748743712</v>
      </c>
      <c r="H136" s="164">
        <v>0.37989949748743712</v>
      </c>
      <c r="I136" s="164">
        <v>0.37989949748743712</v>
      </c>
      <c r="J136" s="164">
        <v>0.37989949748743712</v>
      </c>
      <c r="K136" s="164">
        <v>0.37989949748743712</v>
      </c>
      <c r="L136" s="164">
        <v>0.37989949748743712</v>
      </c>
      <c r="M136" s="164">
        <v>0.37989949748743712</v>
      </c>
    </row>
    <row r="137" spans="1:13" x14ac:dyDescent="0.2">
      <c r="A137" s="18" t="s">
        <v>1649</v>
      </c>
      <c r="B137" s="164">
        <v>0.2823785594639866</v>
      </c>
      <c r="C137" s="164">
        <v>0.2823785594639866</v>
      </c>
      <c r="D137" s="164">
        <v>0.2823785594639866</v>
      </c>
      <c r="E137" s="164">
        <v>0.2823785594639866</v>
      </c>
      <c r="F137" s="164">
        <v>0.2823785594639866</v>
      </c>
      <c r="G137" s="164">
        <v>0.2823785594639866</v>
      </c>
      <c r="H137" s="164">
        <v>0.2823785594639866</v>
      </c>
      <c r="I137" s="164">
        <v>0.2823785594639866</v>
      </c>
      <c r="J137" s="164">
        <v>0.2823785594639866</v>
      </c>
      <c r="K137" s="164">
        <v>0.2823785594639866</v>
      </c>
      <c r="L137" s="164">
        <v>0.2823785594639866</v>
      </c>
      <c r="M137" s="164">
        <v>0.2823785594639866</v>
      </c>
    </row>
    <row r="138" spans="1:13" x14ac:dyDescent="0.2">
      <c r="A138" s="18" t="s">
        <v>1650</v>
      </c>
      <c r="B138" s="164">
        <v>0.14147403685092128</v>
      </c>
      <c r="C138" s="164">
        <v>0.14147403685092128</v>
      </c>
      <c r="D138" s="164">
        <v>0.14147403685092128</v>
      </c>
      <c r="E138" s="164">
        <v>0.14147403685092128</v>
      </c>
      <c r="F138" s="164">
        <v>0.14147403685092128</v>
      </c>
      <c r="G138" s="164">
        <v>0.14147403685092128</v>
      </c>
      <c r="H138" s="164">
        <v>0.14147403685092128</v>
      </c>
      <c r="I138" s="164">
        <v>0.14147403685092128</v>
      </c>
      <c r="J138" s="164">
        <v>0.14147403685092128</v>
      </c>
      <c r="K138" s="164">
        <v>0.14147403685092128</v>
      </c>
      <c r="L138" s="164">
        <v>0.14147403685092128</v>
      </c>
      <c r="M138" s="164">
        <v>0.14147403685092128</v>
      </c>
    </row>
    <row r="139" spans="1:13" x14ac:dyDescent="0.2">
      <c r="A139" s="18" t="s">
        <v>1651</v>
      </c>
      <c r="B139" s="164">
        <v>0.12863819095477388</v>
      </c>
      <c r="C139" s="164">
        <v>0.12863819095477388</v>
      </c>
      <c r="D139" s="164">
        <v>0.12863819095477388</v>
      </c>
      <c r="E139" s="164">
        <v>0.12863819095477388</v>
      </c>
      <c r="F139" s="164">
        <v>0.12863819095477388</v>
      </c>
      <c r="G139" s="164">
        <v>0.12863819095477388</v>
      </c>
      <c r="H139" s="164">
        <v>0.12863819095477388</v>
      </c>
      <c r="I139" s="164">
        <v>0.12863819095477388</v>
      </c>
      <c r="J139" s="164">
        <v>0.12863819095477388</v>
      </c>
      <c r="K139" s="164">
        <v>0.12863819095477388</v>
      </c>
      <c r="L139" s="164">
        <v>0.12863819095477388</v>
      </c>
      <c r="M139" s="164">
        <v>0.12863819095477388</v>
      </c>
    </row>
    <row r="140" spans="1:13" x14ac:dyDescent="0.2">
      <c r="A140" s="18" t="s">
        <v>1652</v>
      </c>
      <c r="B140" s="164">
        <f>('El Producto'!$AK$11+'El Producto'!$AK$26+'El Producto'!$AK$41+'El Producto'!$AK$56)/4</f>
        <v>4.3786641541038521E-2</v>
      </c>
      <c r="C140" s="164">
        <f>('El Producto'!$AK$11+'El Producto'!$AK$26+'El Producto'!$AK$41+'El Producto'!$AK$56)/4</f>
        <v>4.3786641541038521E-2</v>
      </c>
      <c r="D140" s="164">
        <f>('El Producto'!$AK$11+'El Producto'!$AK$26+'El Producto'!$AK$41+'El Producto'!$AK$56)/4</f>
        <v>4.3786641541038521E-2</v>
      </c>
      <c r="E140" s="164">
        <f>('El Producto'!$AK$11+'El Producto'!$AK$26+'El Producto'!$AK$41+'El Producto'!$AK$56)/4</f>
        <v>4.3786641541038521E-2</v>
      </c>
      <c r="F140" s="164">
        <f>('El Producto'!$AK$11+'El Producto'!$AK$26+'El Producto'!$AK$41+'El Producto'!$AK$56)/4</f>
        <v>4.3786641541038521E-2</v>
      </c>
      <c r="G140" s="164">
        <f>('El Producto'!$AK$11+'El Producto'!$AK$26+'El Producto'!$AK$41+'El Producto'!$AK$56)/4</f>
        <v>4.3786641541038521E-2</v>
      </c>
      <c r="H140" s="164">
        <f>('El Producto'!$AK$11+'El Producto'!$AK$26+'El Producto'!$AK$41+'El Producto'!$AK$56)/4</f>
        <v>4.3786641541038521E-2</v>
      </c>
      <c r="I140" s="164">
        <f>('El Producto'!$AK$11+'El Producto'!$AK$26+'El Producto'!$AK$41+'El Producto'!$AK$56)/4</f>
        <v>4.3786641541038521E-2</v>
      </c>
      <c r="J140" s="164">
        <f>('El Producto'!$AK$11+'El Producto'!$AK$26+'El Producto'!$AK$41+'El Producto'!$AK$56)/4</f>
        <v>4.3786641541038521E-2</v>
      </c>
      <c r="K140" s="164">
        <f>('El Producto'!$AK$11+'El Producto'!$AK$26+'El Producto'!$AK$41+'El Producto'!$AK$56)/4</f>
        <v>4.3786641541038521E-2</v>
      </c>
      <c r="L140" s="164">
        <f>('El Producto'!$AK$11+'El Producto'!$AK$26+'El Producto'!$AK$41+'El Producto'!$AK$56)/4</f>
        <v>4.3786641541038521E-2</v>
      </c>
      <c r="M140" s="164">
        <f>('El Producto'!$AK$11+'El Producto'!$AK$26+'El Producto'!$AK$41+'El Producto'!$AK$56)/4</f>
        <v>4.3786641541038521E-2</v>
      </c>
    </row>
    <row r="141" spans="1:13" x14ac:dyDescent="0.2">
      <c r="A141" s="18" t="s">
        <v>1653</v>
      </c>
      <c r="B141" s="164">
        <f>('El Producto'!$AK$12+'El Producto'!$AK$27+'El Producto'!$AK$42+'El Producto'!$AK$57)/4</f>
        <v>1.5637170226130651E-2</v>
      </c>
      <c r="C141" s="164">
        <f>('El Producto'!$AK$12+'El Producto'!$AK$27+'El Producto'!$AK$42+'El Producto'!$AK$57)/4</f>
        <v>1.5637170226130651E-2</v>
      </c>
      <c r="D141" s="164">
        <f>('El Producto'!$AK$12+'El Producto'!$AK$27+'El Producto'!$AK$42+'El Producto'!$AK$57)/4</f>
        <v>1.5637170226130651E-2</v>
      </c>
      <c r="E141" s="164">
        <f>('El Producto'!$AK$12+'El Producto'!$AK$27+'El Producto'!$AK$42+'El Producto'!$AK$57)/4</f>
        <v>1.5637170226130651E-2</v>
      </c>
      <c r="F141" s="164">
        <f>('El Producto'!$AK$12+'El Producto'!$AK$27+'El Producto'!$AK$42+'El Producto'!$AK$57)/4</f>
        <v>1.5637170226130651E-2</v>
      </c>
      <c r="G141" s="164">
        <f>('El Producto'!$AK$12+'El Producto'!$AK$27+'El Producto'!$AK$42+'El Producto'!$AK$57)/4</f>
        <v>1.5637170226130651E-2</v>
      </c>
      <c r="H141" s="164">
        <f>('El Producto'!$AK$12+'El Producto'!$AK$27+'El Producto'!$AK$42+'El Producto'!$AK$57)/4</f>
        <v>1.5637170226130651E-2</v>
      </c>
      <c r="I141" s="164">
        <f>('El Producto'!$AK$12+'El Producto'!$AK$27+'El Producto'!$AK$42+'El Producto'!$AK$57)/4</f>
        <v>1.5637170226130651E-2</v>
      </c>
      <c r="J141" s="164">
        <f>('El Producto'!$AK$12+'El Producto'!$AK$27+'El Producto'!$AK$42+'El Producto'!$AK$57)/4</f>
        <v>1.5637170226130651E-2</v>
      </c>
      <c r="K141" s="164">
        <f>('El Producto'!$AK$12+'El Producto'!$AK$27+'El Producto'!$AK$42+'El Producto'!$AK$57)/4</f>
        <v>1.5637170226130651E-2</v>
      </c>
      <c r="L141" s="164">
        <f>('El Producto'!$AK$12+'El Producto'!$AK$27+'El Producto'!$AK$42+'El Producto'!$AK$57)/4</f>
        <v>1.5637170226130651E-2</v>
      </c>
      <c r="M141" s="164">
        <f>('El Producto'!$AK$12+'El Producto'!$AK$27+'El Producto'!$AK$42+'El Producto'!$AK$57)/4</f>
        <v>1.5637170226130651E-2</v>
      </c>
    </row>
    <row r="142" spans="1:13" x14ac:dyDescent="0.2">
      <c r="A142" s="18" t="s">
        <v>1654</v>
      </c>
      <c r="B142" s="164">
        <f>('El Producto'!$AK$13+'El Producto'!$AK$28+'El Producto'!$AK$43+'El Producto'!$AK$58)/4</f>
        <v>5.5444932998324958E-3</v>
      </c>
      <c r="C142" s="164">
        <f>('El Producto'!$AK$13+'El Producto'!$AK$28+'El Producto'!$AK$43+'El Producto'!$AK$58)/4</f>
        <v>5.5444932998324958E-3</v>
      </c>
      <c r="D142" s="164">
        <f>('El Producto'!$AK$13+'El Producto'!$AK$28+'El Producto'!$AK$43+'El Producto'!$AK$58)/4</f>
        <v>5.5444932998324958E-3</v>
      </c>
      <c r="E142" s="164">
        <f>('El Producto'!$AK$13+'El Producto'!$AK$28+'El Producto'!$AK$43+'El Producto'!$AK$58)/4</f>
        <v>5.5444932998324958E-3</v>
      </c>
      <c r="F142" s="164">
        <f>('El Producto'!$AK$13+'El Producto'!$AK$28+'El Producto'!$AK$43+'El Producto'!$AK$58)/4</f>
        <v>5.5444932998324958E-3</v>
      </c>
      <c r="G142" s="164">
        <f>('El Producto'!$AK$13+'El Producto'!$AK$28+'El Producto'!$AK$43+'El Producto'!$AK$58)/4</f>
        <v>5.5444932998324958E-3</v>
      </c>
      <c r="H142" s="164">
        <f>('El Producto'!$AK$13+'El Producto'!$AK$28+'El Producto'!$AK$43+'El Producto'!$AK$58)/4</f>
        <v>5.5444932998324958E-3</v>
      </c>
      <c r="I142" s="164">
        <f>('El Producto'!$AK$13+'El Producto'!$AK$28+'El Producto'!$AK$43+'El Producto'!$AK$58)/4</f>
        <v>5.5444932998324958E-3</v>
      </c>
      <c r="J142" s="164">
        <f>('El Producto'!$AK$13+'El Producto'!$AK$28+'El Producto'!$AK$43+'El Producto'!$AK$58)/4</f>
        <v>5.5444932998324958E-3</v>
      </c>
      <c r="K142" s="164">
        <f>('El Producto'!$AK$13+'El Producto'!$AK$28+'El Producto'!$AK$43+'El Producto'!$AK$58)/4</f>
        <v>5.5444932998324958E-3</v>
      </c>
      <c r="L142" s="164">
        <f>('El Producto'!$AK$13+'El Producto'!$AK$28+'El Producto'!$AK$43+'El Producto'!$AK$58)/4</f>
        <v>5.5444932998324958E-3</v>
      </c>
      <c r="M142" s="164">
        <f>('El Producto'!$AK$13+'El Producto'!$AK$28+'El Producto'!$AK$43+'El Producto'!$AK$58)/4</f>
        <v>5.5444932998324958E-3</v>
      </c>
    </row>
    <row r="143" spans="1:13" x14ac:dyDescent="0.2">
      <c r="A143" s="18" t="s">
        <v>1655</v>
      </c>
      <c r="B143" s="164">
        <f>('El Producto'!$AK$14+'El Producto'!$AK$29+'El Producto'!$AK$44+'El Producto'!$AK$59)/4</f>
        <v>5.4031323283082067E-3</v>
      </c>
      <c r="C143" s="164">
        <f>('El Producto'!$AK$14+'El Producto'!$AK$29+'El Producto'!$AK$44+'El Producto'!$AK$59)/4</f>
        <v>5.4031323283082067E-3</v>
      </c>
      <c r="D143" s="164">
        <f>('El Producto'!$AK$14+'El Producto'!$AK$29+'El Producto'!$AK$44+'El Producto'!$AK$59)/4</f>
        <v>5.4031323283082067E-3</v>
      </c>
      <c r="E143" s="164">
        <f>('El Producto'!$AK$14+'El Producto'!$AK$29+'El Producto'!$AK$44+'El Producto'!$AK$59)/4</f>
        <v>5.4031323283082067E-3</v>
      </c>
      <c r="F143" s="164">
        <f>('El Producto'!$AK$14+'El Producto'!$AK$29+'El Producto'!$AK$44+'El Producto'!$AK$59)/4</f>
        <v>5.4031323283082067E-3</v>
      </c>
      <c r="G143" s="164">
        <f>('El Producto'!$AK$14+'El Producto'!$AK$29+'El Producto'!$AK$44+'El Producto'!$AK$59)/4</f>
        <v>5.4031323283082067E-3</v>
      </c>
      <c r="H143" s="164">
        <f>('El Producto'!$AK$14+'El Producto'!$AK$29+'El Producto'!$AK$44+'El Producto'!$AK$59)/4</f>
        <v>5.4031323283082067E-3</v>
      </c>
      <c r="I143" s="164">
        <f>('El Producto'!$AK$14+'El Producto'!$AK$29+'El Producto'!$AK$44+'El Producto'!$AK$59)/4</f>
        <v>5.4031323283082067E-3</v>
      </c>
      <c r="J143" s="164">
        <f>('El Producto'!$AK$14+'El Producto'!$AK$29+'El Producto'!$AK$44+'El Producto'!$AK$59)/4</f>
        <v>5.4031323283082067E-3</v>
      </c>
      <c r="K143" s="164">
        <f>('El Producto'!$AK$14+'El Producto'!$AK$29+'El Producto'!$AK$44+'El Producto'!$AK$59)/4</f>
        <v>5.4031323283082067E-3</v>
      </c>
      <c r="L143" s="164">
        <f>('El Producto'!$AK$14+'El Producto'!$AK$29+'El Producto'!$AK$44+'El Producto'!$AK$59)/4</f>
        <v>5.4031323283082067E-3</v>
      </c>
      <c r="M143" s="164">
        <f>('El Producto'!$AK$14+'El Producto'!$AK$29+'El Producto'!$AK$44+'El Producto'!$AK$59)/4</f>
        <v>5.4031323283082067E-3</v>
      </c>
    </row>
    <row r="144" spans="1:13" x14ac:dyDescent="0.2">
      <c r="A144" s="18" t="s">
        <v>1656</v>
      </c>
      <c r="B144" s="164">
        <f>('El Producto'!$AK$15+'El Producto'!$AK$30+'El Producto'!$AK$45+'El Producto'!$AK$60)/4</f>
        <v>9.9942211055276398E-3</v>
      </c>
      <c r="C144" s="164">
        <f>('El Producto'!$AK$15+'El Producto'!$AK$30+'El Producto'!$AK$45+'El Producto'!$AK$60)/4</f>
        <v>9.9942211055276398E-3</v>
      </c>
      <c r="D144" s="164">
        <f>('El Producto'!$AK$15+'El Producto'!$AK$30+'El Producto'!$AK$45+'El Producto'!$AK$60)/4</f>
        <v>9.9942211055276398E-3</v>
      </c>
      <c r="E144" s="164">
        <f>('El Producto'!$AK$15+'El Producto'!$AK$30+'El Producto'!$AK$45+'El Producto'!$AK$60)/4</f>
        <v>9.9942211055276398E-3</v>
      </c>
      <c r="F144" s="164">
        <f>('El Producto'!$AK$15+'El Producto'!$AK$30+'El Producto'!$AK$45+'El Producto'!$AK$60)/4</f>
        <v>9.9942211055276398E-3</v>
      </c>
      <c r="G144" s="164">
        <f>('El Producto'!$AK$15+'El Producto'!$AK$30+'El Producto'!$AK$45+'El Producto'!$AK$60)/4</f>
        <v>9.9942211055276398E-3</v>
      </c>
      <c r="H144" s="164">
        <f>('El Producto'!$AK$15+'El Producto'!$AK$30+'El Producto'!$AK$45+'El Producto'!$AK$60)/4</f>
        <v>9.9942211055276398E-3</v>
      </c>
      <c r="I144" s="164">
        <f>('El Producto'!$AK$15+'El Producto'!$AK$30+'El Producto'!$AK$45+'El Producto'!$AK$60)/4</f>
        <v>9.9942211055276398E-3</v>
      </c>
      <c r="J144" s="164">
        <f>('El Producto'!$AK$15+'El Producto'!$AK$30+'El Producto'!$AK$45+'El Producto'!$AK$60)/4</f>
        <v>9.9942211055276398E-3</v>
      </c>
      <c r="K144" s="164">
        <f>('El Producto'!$AK$15+'El Producto'!$AK$30+'El Producto'!$AK$45+'El Producto'!$AK$60)/4</f>
        <v>9.9942211055276398E-3</v>
      </c>
      <c r="L144" s="164">
        <f>('El Producto'!$AK$15+'El Producto'!$AK$30+'El Producto'!$AK$45+'El Producto'!$AK$60)/4</f>
        <v>9.9942211055276398E-3</v>
      </c>
      <c r="M144" s="164">
        <f>('El Producto'!$AK$15+'El Producto'!$AK$30+'El Producto'!$AK$45+'El Producto'!$AK$60)/4</f>
        <v>9.9942211055276398E-3</v>
      </c>
    </row>
    <row r="145" spans="1:13" x14ac:dyDescent="0.2">
      <c r="A145" s="18" t="s">
        <v>1657</v>
      </c>
      <c r="B145" s="164">
        <f>('El Producto'!$AK$16+'El Producto'!$AK$31+'El Producto'!$AK$46+'El Producto'!$AK$61)/4</f>
        <v>4.3403576214405361E-2</v>
      </c>
      <c r="C145" s="164">
        <f>('El Producto'!$AK$16+'El Producto'!$AK$31+'El Producto'!$AK$46+'El Producto'!$AK$61)/4</f>
        <v>4.3403576214405361E-2</v>
      </c>
      <c r="D145" s="164">
        <f>('El Producto'!$AK$16+'El Producto'!$AK$31+'El Producto'!$AK$46+'El Producto'!$AK$61)/4</f>
        <v>4.3403576214405361E-2</v>
      </c>
      <c r="E145" s="164">
        <f>('El Producto'!$AK$16+'El Producto'!$AK$31+'El Producto'!$AK$46+'El Producto'!$AK$61)/4</f>
        <v>4.3403576214405361E-2</v>
      </c>
      <c r="F145" s="164">
        <f>('El Producto'!$AK$16+'El Producto'!$AK$31+'El Producto'!$AK$46+'El Producto'!$AK$61)/4</f>
        <v>4.3403576214405361E-2</v>
      </c>
      <c r="G145" s="164">
        <f>('El Producto'!$AK$16+'El Producto'!$AK$31+'El Producto'!$AK$46+'El Producto'!$AK$61)/4</f>
        <v>4.3403576214405361E-2</v>
      </c>
      <c r="H145" s="164">
        <f>('El Producto'!$AK$16+'El Producto'!$AK$31+'El Producto'!$AK$46+'El Producto'!$AK$61)/4</f>
        <v>4.3403576214405361E-2</v>
      </c>
      <c r="I145" s="164">
        <f>('El Producto'!$AK$16+'El Producto'!$AK$31+'El Producto'!$AK$46+'El Producto'!$AK$61)/4</f>
        <v>4.3403576214405361E-2</v>
      </c>
      <c r="J145" s="164">
        <f>('El Producto'!$AK$16+'El Producto'!$AK$31+'El Producto'!$AK$46+'El Producto'!$AK$61)/4</f>
        <v>4.3403576214405361E-2</v>
      </c>
      <c r="K145" s="164">
        <f>('El Producto'!$AK$16+'El Producto'!$AK$31+'El Producto'!$AK$46+'El Producto'!$AK$61)/4</f>
        <v>4.3403576214405361E-2</v>
      </c>
      <c r="L145" s="164">
        <f>('El Producto'!$AK$16+'El Producto'!$AK$31+'El Producto'!$AK$46+'El Producto'!$AK$61)/4</f>
        <v>4.3403576214405361E-2</v>
      </c>
      <c r="M145" s="164">
        <f>('El Producto'!$AK$16+'El Producto'!$AK$31+'El Producto'!$AK$46+'El Producto'!$AK$61)/4</f>
        <v>4.3403576214405361E-2</v>
      </c>
    </row>
    <row r="146" spans="1:13" x14ac:dyDescent="0.2">
      <c r="A146" s="18" t="s">
        <v>1659</v>
      </c>
      <c r="B146" s="319">
        <f>1194*26</f>
        <v>31044</v>
      </c>
      <c r="C146" s="319">
        <f t="shared" ref="C146:M146" si="104">1194*26</f>
        <v>31044</v>
      </c>
      <c r="D146" s="319">
        <f t="shared" si="104"/>
        <v>31044</v>
      </c>
      <c r="E146" s="319">
        <f t="shared" si="104"/>
        <v>31044</v>
      </c>
      <c r="F146" s="319">
        <f t="shared" si="104"/>
        <v>31044</v>
      </c>
      <c r="G146" s="319">
        <f t="shared" si="104"/>
        <v>31044</v>
      </c>
      <c r="H146" s="319">
        <f t="shared" si="104"/>
        <v>31044</v>
      </c>
      <c r="I146" s="319">
        <f t="shared" si="104"/>
        <v>31044</v>
      </c>
      <c r="J146" s="319">
        <f t="shared" si="104"/>
        <v>31044</v>
      </c>
      <c r="K146" s="319">
        <f t="shared" si="104"/>
        <v>31044</v>
      </c>
      <c r="L146" s="319">
        <f t="shared" si="104"/>
        <v>31044</v>
      </c>
      <c r="M146" s="319">
        <f t="shared" si="104"/>
        <v>31044</v>
      </c>
    </row>
    <row r="147" spans="1:13" x14ac:dyDescent="0.2">
      <c r="A147" s="18" t="s">
        <v>1660</v>
      </c>
      <c r="B147" s="319">
        <f t="shared" ref="B147:M149" si="105">1194*26</f>
        <v>31044</v>
      </c>
      <c r="C147" s="319">
        <f t="shared" si="105"/>
        <v>31044</v>
      </c>
      <c r="D147" s="319">
        <f t="shared" si="105"/>
        <v>31044</v>
      </c>
      <c r="E147" s="319">
        <f t="shared" si="105"/>
        <v>31044</v>
      </c>
      <c r="F147" s="319">
        <f t="shared" si="105"/>
        <v>31044</v>
      </c>
      <c r="G147" s="319">
        <f t="shared" si="105"/>
        <v>31044</v>
      </c>
      <c r="H147" s="319">
        <f t="shared" si="105"/>
        <v>31044</v>
      </c>
      <c r="I147" s="319">
        <f t="shared" si="105"/>
        <v>31044</v>
      </c>
      <c r="J147" s="319">
        <f t="shared" si="105"/>
        <v>31044</v>
      </c>
      <c r="K147" s="319">
        <f t="shared" si="105"/>
        <v>31044</v>
      </c>
      <c r="L147" s="319">
        <f t="shared" si="105"/>
        <v>31044</v>
      </c>
      <c r="M147" s="319">
        <f t="shared" si="105"/>
        <v>31044</v>
      </c>
    </row>
    <row r="148" spans="1:13" x14ac:dyDescent="0.2">
      <c r="A148" s="18" t="s">
        <v>1661</v>
      </c>
      <c r="B148" s="319">
        <f t="shared" si="105"/>
        <v>31044</v>
      </c>
      <c r="C148" s="319">
        <f t="shared" si="105"/>
        <v>31044</v>
      </c>
      <c r="D148" s="319">
        <f t="shared" si="105"/>
        <v>31044</v>
      </c>
      <c r="E148" s="319">
        <f t="shared" si="105"/>
        <v>31044</v>
      </c>
      <c r="F148" s="319">
        <f t="shared" si="105"/>
        <v>31044</v>
      </c>
      <c r="G148" s="319">
        <f t="shared" si="105"/>
        <v>31044</v>
      </c>
      <c r="H148" s="319">
        <f t="shared" si="105"/>
        <v>31044</v>
      </c>
      <c r="I148" s="319">
        <f t="shared" si="105"/>
        <v>31044</v>
      </c>
      <c r="J148" s="319">
        <f t="shared" si="105"/>
        <v>31044</v>
      </c>
      <c r="K148" s="319">
        <f t="shared" si="105"/>
        <v>31044</v>
      </c>
      <c r="L148" s="319">
        <f t="shared" si="105"/>
        <v>31044</v>
      </c>
      <c r="M148" s="319">
        <f t="shared" si="105"/>
        <v>31044</v>
      </c>
    </row>
    <row r="149" spans="1:13" x14ac:dyDescent="0.2">
      <c r="A149" s="18" t="s">
        <v>1662</v>
      </c>
      <c r="B149" s="319">
        <f t="shared" si="105"/>
        <v>31044</v>
      </c>
      <c r="C149" s="319">
        <f t="shared" si="105"/>
        <v>31044</v>
      </c>
      <c r="D149" s="319">
        <f t="shared" si="105"/>
        <v>31044</v>
      </c>
      <c r="E149" s="319">
        <f t="shared" si="105"/>
        <v>31044</v>
      </c>
      <c r="F149" s="319">
        <f t="shared" si="105"/>
        <v>31044</v>
      </c>
      <c r="G149" s="319">
        <f t="shared" si="105"/>
        <v>31044</v>
      </c>
      <c r="H149" s="319">
        <f t="shared" si="105"/>
        <v>31044</v>
      </c>
      <c r="I149" s="319">
        <f t="shared" si="105"/>
        <v>31044</v>
      </c>
      <c r="J149" s="319">
        <f t="shared" si="105"/>
        <v>31044</v>
      </c>
      <c r="K149" s="319">
        <f t="shared" si="105"/>
        <v>31044</v>
      </c>
      <c r="L149" s="319">
        <f t="shared" si="105"/>
        <v>31044</v>
      </c>
      <c r="M149" s="319">
        <f t="shared" si="105"/>
        <v>31044</v>
      </c>
    </row>
    <row r="150" spans="1:13" x14ac:dyDescent="0.2">
      <c r="A150" s="350" t="s">
        <v>1663</v>
      </c>
      <c r="B150" s="342">
        <f>(SUM(B132:B136)+SUM(B140:B145))*B146</f>
        <v>43158.114122500003</v>
      </c>
      <c r="C150" s="342">
        <f t="shared" ref="C150:M150" si="106">(SUM(C132:C136)+SUM(C140:C145))*C146</f>
        <v>43158.114122500003</v>
      </c>
      <c r="D150" s="342">
        <f t="shared" si="106"/>
        <v>43158.114122500003</v>
      </c>
      <c r="E150" s="342">
        <f t="shared" si="106"/>
        <v>43158.114122500003</v>
      </c>
      <c r="F150" s="342">
        <f t="shared" si="106"/>
        <v>43158.114122500003</v>
      </c>
      <c r="G150" s="342">
        <f t="shared" si="106"/>
        <v>43158.114122500003</v>
      </c>
      <c r="H150" s="342">
        <f t="shared" si="106"/>
        <v>43158.114122500003</v>
      </c>
      <c r="I150" s="342">
        <f t="shared" si="106"/>
        <v>43158.114122500003</v>
      </c>
      <c r="J150" s="342">
        <f t="shared" si="106"/>
        <v>43158.114122500003</v>
      </c>
      <c r="K150" s="342">
        <f t="shared" si="106"/>
        <v>43158.114122500003</v>
      </c>
      <c r="L150" s="342">
        <f t="shared" si="106"/>
        <v>43158.114122500003</v>
      </c>
      <c r="M150" s="342">
        <f t="shared" si="106"/>
        <v>43158.114122500003</v>
      </c>
    </row>
    <row r="151" spans="1:13" x14ac:dyDescent="0.2">
      <c r="A151" s="350" t="s">
        <v>1664</v>
      </c>
      <c r="B151" s="342">
        <f>(SUM(B132:B135)+B137+SUM(B140:B145))*B147</f>
        <v>40130.674122499993</v>
      </c>
      <c r="C151" s="342">
        <f t="shared" ref="C151:M151" si="107">(SUM(C132:C135)+C137+SUM(C140:C145))*C147</f>
        <v>40130.674122499993</v>
      </c>
      <c r="D151" s="342">
        <f t="shared" si="107"/>
        <v>40130.674122499993</v>
      </c>
      <c r="E151" s="342">
        <f t="shared" si="107"/>
        <v>40130.674122499993</v>
      </c>
      <c r="F151" s="342">
        <f t="shared" si="107"/>
        <v>40130.674122499993</v>
      </c>
      <c r="G151" s="342">
        <f t="shared" si="107"/>
        <v>40130.674122499993</v>
      </c>
      <c r="H151" s="342">
        <f t="shared" si="107"/>
        <v>40130.674122499993</v>
      </c>
      <c r="I151" s="342">
        <f t="shared" si="107"/>
        <v>40130.674122499993</v>
      </c>
      <c r="J151" s="342">
        <f t="shared" si="107"/>
        <v>40130.674122499993</v>
      </c>
      <c r="K151" s="342">
        <f t="shared" si="107"/>
        <v>40130.674122499993</v>
      </c>
      <c r="L151" s="342">
        <f t="shared" si="107"/>
        <v>40130.674122499993</v>
      </c>
      <c r="M151" s="342">
        <f t="shared" si="107"/>
        <v>40130.674122499993</v>
      </c>
    </row>
    <row r="152" spans="1:13" x14ac:dyDescent="0.2">
      <c r="A152" s="350" t="s">
        <v>1665</v>
      </c>
      <c r="B152" s="342">
        <f>(SUM(B132:B135)+B138+SUM(B140:B145))*B148</f>
        <v>35756.434122500003</v>
      </c>
      <c r="C152" s="342">
        <f t="shared" ref="C152:M152" si="108">(SUM(C132:C135)+C138+SUM(C140:C145))*C148</f>
        <v>35756.434122500003</v>
      </c>
      <c r="D152" s="342">
        <f t="shared" si="108"/>
        <v>35756.434122500003</v>
      </c>
      <c r="E152" s="342">
        <f t="shared" si="108"/>
        <v>35756.434122500003</v>
      </c>
      <c r="F152" s="342">
        <f t="shared" si="108"/>
        <v>35756.434122500003</v>
      </c>
      <c r="G152" s="342">
        <f t="shared" si="108"/>
        <v>35756.434122500003</v>
      </c>
      <c r="H152" s="342">
        <f t="shared" si="108"/>
        <v>35756.434122500003</v>
      </c>
      <c r="I152" s="342">
        <f t="shared" si="108"/>
        <v>35756.434122500003</v>
      </c>
      <c r="J152" s="342">
        <f t="shared" si="108"/>
        <v>35756.434122500003</v>
      </c>
      <c r="K152" s="342">
        <f t="shared" si="108"/>
        <v>35756.434122500003</v>
      </c>
      <c r="L152" s="342">
        <f t="shared" si="108"/>
        <v>35756.434122500003</v>
      </c>
      <c r="M152" s="342">
        <f t="shared" si="108"/>
        <v>35756.434122500003</v>
      </c>
    </row>
    <row r="153" spans="1:13" x14ac:dyDescent="0.2">
      <c r="A153" s="350" t="s">
        <v>1666</v>
      </c>
      <c r="B153" s="342">
        <f>(SUM(B132:B135)+SUM(B139:B145))*B149</f>
        <v>35357.9581225</v>
      </c>
      <c r="C153" s="342">
        <f t="shared" ref="C153:M153" si="109">(SUM(C132:C135)+SUM(C139:C145))*C149</f>
        <v>35357.9581225</v>
      </c>
      <c r="D153" s="342">
        <f t="shared" si="109"/>
        <v>35357.9581225</v>
      </c>
      <c r="E153" s="342">
        <f t="shared" si="109"/>
        <v>35357.9581225</v>
      </c>
      <c r="F153" s="342">
        <f t="shared" si="109"/>
        <v>35357.9581225</v>
      </c>
      <c r="G153" s="342">
        <f t="shared" si="109"/>
        <v>35357.9581225</v>
      </c>
      <c r="H153" s="342">
        <f t="shared" si="109"/>
        <v>35357.9581225</v>
      </c>
      <c r="I153" s="342">
        <f t="shared" si="109"/>
        <v>35357.9581225</v>
      </c>
      <c r="J153" s="342">
        <f t="shared" si="109"/>
        <v>35357.9581225</v>
      </c>
      <c r="K153" s="342">
        <f t="shared" si="109"/>
        <v>35357.9581225</v>
      </c>
      <c r="L153" s="342">
        <f t="shared" si="109"/>
        <v>35357.9581225</v>
      </c>
      <c r="M153" s="342">
        <f t="shared" si="109"/>
        <v>35357.9581225</v>
      </c>
    </row>
    <row r="154" spans="1:13" x14ac:dyDescent="0.2">
      <c r="A154" s="203" t="s">
        <v>1658</v>
      </c>
      <c r="B154" s="293">
        <f>SUM(B150:B153)</f>
        <v>154403.18049</v>
      </c>
      <c r="C154" s="293">
        <f t="shared" ref="C154:M154" si="110">SUM(C150:C153)</f>
        <v>154403.18049</v>
      </c>
      <c r="D154" s="293">
        <f t="shared" si="110"/>
        <v>154403.18049</v>
      </c>
      <c r="E154" s="293">
        <f t="shared" si="110"/>
        <v>154403.18049</v>
      </c>
      <c r="F154" s="293">
        <f t="shared" si="110"/>
        <v>154403.18049</v>
      </c>
      <c r="G154" s="293">
        <f t="shared" si="110"/>
        <v>154403.18049</v>
      </c>
      <c r="H154" s="293">
        <f t="shared" si="110"/>
        <v>154403.18049</v>
      </c>
      <c r="I154" s="293">
        <f t="shared" si="110"/>
        <v>154403.18049</v>
      </c>
      <c r="J154" s="293">
        <f t="shared" si="110"/>
        <v>154403.18049</v>
      </c>
      <c r="K154" s="293">
        <f t="shared" si="110"/>
        <v>154403.18049</v>
      </c>
      <c r="L154" s="293">
        <f t="shared" si="110"/>
        <v>154403.18049</v>
      </c>
      <c r="M154" s="293">
        <f t="shared" si="110"/>
        <v>154403.18049</v>
      </c>
    </row>
    <row r="155" spans="1:13" x14ac:dyDescent="0.2">
      <c r="A155" s="203" t="s">
        <v>1333</v>
      </c>
      <c r="B155" s="293">
        <f>B154*18%</f>
        <v>27792.572488199999</v>
      </c>
      <c r="C155" s="293">
        <f t="shared" ref="C155" si="111">C154*18%</f>
        <v>27792.572488199999</v>
      </c>
      <c r="D155" s="293">
        <f t="shared" ref="D155" si="112">D154*18%</f>
        <v>27792.572488199999</v>
      </c>
      <c r="E155" s="293">
        <f t="shared" ref="E155" si="113">E154*18%</f>
        <v>27792.572488199999</v>
      </c>
      <c r="F155" s="293">
        <f t="shared" ref="F155" si="114">F154*18%</f>
        <v>27792.572488199999</v>
      </c>
      <c r="G155" s="293">
        <f t="shared" ref="G155" si="115">G154*18%</f>
        <v>27792.572488199999</v>
      </c>
      <c r="H155" s="293">
        <f t="shared" ref="H155" si="116">H154*18%</f>
        <v>27792.572488199999</v>
      </c>
      <c r="I155" s="293">
        <f t="shared" ref="I155" si="117">I154*18%</f>
        <v>27792.572488199999</v>
      </c>
      <c r="J155" s="293">
        <f t="shared" ref="J155" si="118">J154*18%</f>
        <v>27792.572488199999</v>
      </c>
      <c r="K155" s="293">
        <f t="shared" ref="K155" si="119">K154*18%</f>
        <v>27792.572488199999</v>
      </c>
      <c r="L155" s="293">
        <f t="shared" ref="L155" si="120">L154*18%</f>
        <v>27792.572488199999</v>
      </c>
      <c r="M155" s="293">
        <f t="shared" ref="M155" si="121">M154*18%</f>
        <v>27792.572488199999</v>
      </c>
    </row>
    <row r="156" spans="1:13" x14ac:dyDescent="0.2">
      <c r="A156" s="203" t="s">
        <v>1643</v>
      </c>
      <c r="B156" s="293">
        <f>B154-B155</f>
        <v>126610.60800179999</v>
      </c>
      <c r="C156" s="293">
        <f t="shared" ref="C156" si="122">C154-C155</f>
        <v>126610.60800179999</v>
      </c>
      <c r="D156" s="293">
        <f t="shared" ref="D156" si="123">D154-D155</f>
        <v>126610.60800179999</v>
      </c>
      <c r="E156" s="293">
        <f t="shared" ref="E156" si="124">E154-E155</f>
        <v>126610.60800179999</v>
      </c>
      <c r="F156" s="293">
        <f t="shared" ref="F156" si="125">F154-F155</f>
        <v>126610.60800179999</v>
      </c>
      <c r="G156" s="293">
        <f t="shared" ref="G156" si="126">G154-G155</f>
        <v>126610.60800179999</v>
      </c>
      <c r="H156" s="293">
        <f t="shared" ref="H156" si="127">H154-H155</f>
        <v>126610.60800179999</v>
      </c>
      <c r="I156" s="293">
        <f t="shared" ref="I156" si="128">I154-I155</f>
        <v>126610.60800179999</v>
      </c>
      <c r="J156" s="293">
        <f t="shared" ref="J156" si="129">J154-J155</f>
        <v>126610.60800179999</v>
      </c>
      <c r="K156" s="293">
        <f t="shared" ref="K156" si="130">K154-K155</f>
        <v>126610.60800179999</v>
      </c>
      <c r="L156" s="293">
        <f t="shared" ref="L156" si="131">L154-L155</f>
        <v>126610.60800179999</v>
      </c>
      <c r="M156" s="293">
        <f t="shared" ref="M156" si="132">M154-M155</f>
        <v>126610.60800179999</v>
      </c>
    </row>
    <row r="157" spans="1:13" x14ac:dyDescent="0.2">
      <c r="B157" s="9">
        <f>B154-(6%*B154)</f>
        <v>145138.9896606</v>
      </c>
      <c r="C157" s="9">
        <f t="shared" ref="C157:M157" si="133">C154-(6%*C154)</f>
        <v>145138.9896606</v>
      </c>
      <c r="D157" s="9">
        <f t="shared" si="133"/>
        <v>145138.9896606</v>
      </c>
      <c r="E157" s="9">
        <f t="shared" si="133"/>
        <v>145138.9896606</v>
      </c>
      <c r="F157" s="9">
        <f t="shared" si="133"/>
        <v>145138.9896606</v>
      </c>
      <c r="G157" s="9">
        <f t="shared" si="133"/>
        <v>145138.9896606</v>
      </c>
      <c r="H157" s="9">
        <f t="shared" si="133"/>
        <v>145138.9896606</v>
      </c>
      <c r="I157" s="9">
        <f t="shared" si="133"/>
        <v>145138.9896606</v>
      </c>
      <c r="J157" s="9">
        <f t="shared" si="133"/>
        <v>145138.9896606</v>
      </c>
      <c r="K157" s="9">
        <f t="shared" si="133"/>
        <v>145138.9896606</v>
      </c>
      <c r="L157" s="9">
        <f t="shared" si="133"/>
        <v>145138.9896606</v>
      </c>
      <c r="M157" s="9">
        <f t="shared" si="133"/>
        <v>145138.9896606</v>
      </c>
    </row>
    <row r="159" spans="1:13" x14ac:dyDescent="0.2">
      <c r="A159" s="315" t="s">
        <v>107</v>
      </c>
      <c r="B159" s="315">
        <v>2017</v>
      </c>
      <c r="C159" s="315">
        <v>2018</v>
      </c>
      <c r="D159" s="315">
        <v>2019</v>
      </c>
      <c r="E159" s="315">
        <v>2020</v>
      </c>
      <c r="F159" s="315">
        <v>2021</v>
      </c>
    </row>
    <row r="160" spans="1:13" x14ac:dyDescent="0.2">
      <c r="A160" s="203" t="s">
        <v>1658</v>
      </c>
      <c r="B160" s="319">
        <f>SUM(B38:M38)</f>
        <v>299495.61642783921</v>
      </c>
      <c r="C160" s="319">
        <f>SUM(B67:M67)</f>
        <v>552437.51009487431</v>
      </c>
      <c r="D160" s="319">
        <f>SUM(B96:M96)</f>
        <v>889176.10473135638</v>
      </c>
      <c r="E160" s="319">
        <f>SUM(B125:M125)</f>
        <v>1320573.9356481412</v>
      </c>
      <c r="F160" s="319">
        <f>SUM(B154:M154)</f>
        <v>1852838.1658799995</v>
      </c>
    </row>
    <row r="161" spans="1:25" x14ac:dyDescent="0.2">
      <c r="A161" s="203" t="s">
        <v>1333</v>
      </c>
      <c r="B161" s="319">
        <f>B160*18%</f>
        <v>53909.210957011055</v>
      </c>
      <c r="C161" s="319">
        <f t="shared" ref="C161:F161" si="134">C160*18%</f>
        <v>99438.751817077369</v>
      </c>
      <c r="D161" s="319">
        <f t="shared" si="134"/>
        <v>160051.69885164415</v>
      </c>
      <c r="E161" s="319">
        <f t="shared" si="134"/>
        <v>237703.30841666542</v>
      </c>
      <c r="F161" s="319">
        <f t="shared" si="134"/>
        <v>333510.86985839991</v>
      </c>
    </row>
    <row r="162" spans="1:25" x14ac:dyDescent="0.2">
      <c r="A162" s="203" t="s">
        <v>1643</v>
      </c>
      <c r="B162" s="319">
        <f>B160-B161</f>
        <v>245586.40547082815</v>
      </c>
      <c r="C162" s="319">
        <f t="shared" ref="C162:F162" si="135">C160-C161</f>
        <v>452998.75827779691</v>
      </c>
      <c r="D162" s="319">
        <f t="shared" si="135"/>
        <v>729124.4058797122</v>
      </c>
      <c r="E162" s="319">
        <f t="shared" si="135"/>
        <v>1082870.6272314759</v>
      </c>
      <c r="F162" s="319">
        <f t="shared" si="135"/>
        <v>1519327.2960215996</v>
      </c>
    </row>
    <row r="164" spans="1:25" x14ac:dyDescent="0.2">
      <c r="A164" s="368" t="s">
        <v>1729</v>
      </c>
    </row>
    <row r="165" spans="1:25" x14ac:dyDescent="0.2">
      <c r="A165" s="327"/>
    </row>
    <row r="166" spans="1:25" x14ac:dyDescent="0.2">
      <c r="A166" s="315" t="s">
        <v>107</v>
      </c>
      <c r="B166" s="410">
        <v>2017</v>
      </c>
      <c r="C166" s="410">
        <v>2018</v>
      </c>
      <c r="D166" s="410">
        <v>2019</v>
      </c>
      <c r="E166" s="410">
        <v>2020</v>
      </c>
      <c r="F166" s="410">
        <v>2021</v>
      </c>
    </row>
    <row r="167" spans="1:25" x14ac:dyDescent="0.2">
      <c r="A167" s="276" t="s">
        <v>1671</v>
      </c>
      <c r="B167" s="310">
        <v>15</v>
      </c>
      <c r="C167" s="310">
        <v>17</v>
      </c>
      <c r="D167" s="310">
        <v>19</v>
      </c>
      <c r="E167" s="310">
        <v>21</v>
      </c>
      <c r="F167" s="310">
        <v>23</v>
      </c>
    </row>
    <row r="168" spans="1:25" x14ac:dyDescent="0.2">
      <c r="A168" s="203" t="s">
        <v>1334</v>
      </c>
      <c r="B168" s="293">
        <f>'Estudio Organizacional'!Y77+'Estudio Organizacional'!Y79+'Estudio Organizacional'!Y80</f>
        <v>214617.3</v>
      </c>
      <c r="C168" s="293">
        <f>'Estudio Organizacional'!Y97+'Estudio Organizacional'!Y99+'Estudio Organizacional'!Y100</f>
        <v>241742.3</v>
      </c>
      <c r="D168" s="293">
        <f>'Estudio Organizacional'!Y117+'Estudio Organizacional'!Y119+'Estudio Organizacional'!Y120</f>
        <v>268867.3</v>
      </c>
      <c r="E168" s="293">
        <f>'Estudio Organizacional'!Y137+'Estudio Organizacional'!Y139+'Estudio Organizacional'!Y140</f>
        <v>295992.30000000005</v>
      </c>
      <c r="F168" s="293">
        <f>'Estudio Organizacional'!Y157+'Estudio Organizacional'!Y159+'Estudio Organizacional'!Y160</f>
        <v>323117.30000000005</v>
      </c>
    </row>
    <row r="170" spans="1:25" x14ac:dyDescent="0.2">
      <c r="A170" s="368" t="s">
        <v>1672</v>
      </c>
    </row>
    <row r="171" spans="1:25" x14ac:dyDescent="0.2">
      <c r="A171" s="327"/>
    </row>
    <row r="172" spans="1:25" x14ac:dyDescent="0.2">
      <c r="A172" s="380" t="s">
        <v>1730</v>
      </c>
    </row>
    <row r="173" spans="1:25" x14ac:dyDescent="0.2">
      <c r="A173" s="315" t="s">
        <v>107</v>
      </c>
      <c r="B173" s="410">
        <v>2017</v>
      </c>
      <c r="C173" s="410">
        <v>2018</v>
      </c>
      <c r="D173" s="410">
        <v>2019</v>
      </c>
      <c r="E173" s="410">
        <v>2020</v>
      </c>
      <c r="F173" s="410">
        <v>2021</v>
      </c>
    </row>
    <row r="174" spans="1:25" x14ac:dyDescent="0.2">
      <c r="A174" s="18" t="s">
        <v>1671</v>
      </c>
      <c r="B174" s="310">
        <v>5</v>
      </c>
      <c r="C174" s="310">
        <v>5</v>
      </c>
      <c r="D174" s="310">
        <v>5</v>
      </c>
      <c r="E174" s="310">
        <v>5</v>
      </c>
      <c r="F174" s="310">
        <v>5</v>
      </c>
    </row>
    <row r="175" spans="1:25" x14ac:dyDescent="0.2">
      <c r="A175" s="203" t="s">
        <v>1334</v>
      </c>
      <c r="B175" s="293">
        <f>'Estudio Organizacional'!Y68+'Estudio Organizacional'!Y71+'Estudio Organizacional'!Y72+'Estudio Organizacional'!Y73</f>
        <v>173269.33333333331</v>
      </c>
      <c r="C175" s="293">
        <f>'Estudio Organizacional'!Y88+'Estudio Organizacional'!Y91+'Estudio Organizacional'!Y92+'Estudio Organizacional'!Y93</f>
        <v>173269.33333333331</v>
      </c>
      <c r="D175" s="293">
        <f>'Estudio Organizacional'!Y108+'Estudio Organizacional'!Y111+'Estudio Organizacional'!Y112+'Estudio Organizacional'!Y113</f>
        <v>173269.33333333331</v>
      </c>
      <c r="E175" s="293">
        <f>'Estudio Organizacional'!Y128+'Estudio Organizacional'!Y131+'Estudio Organizacional'!Y132+'Estudio Organizacional'!Y133</f>
        <v>173269.33333333331</v>
      </c>
      <c r="F175" s="293">
        <f>'Estudio Organizacional'!Y148+'Estudio Organizacional'!Y151+'Estudio Organizacional'!Y152+'Estudio Organizacional'!Y153</f>
        <v>173269.33333333331</v>
      </c>
    </row>
    <row r="176" spans="1:25" ht="15" customHeight="1" x14ac:dyDescent="0.2">
      <c r="O176" s="15"/>
      <c r="P176" s="510" t="s">
        <v>1676</v>
      </c>
      <c r="Q176" s="510" t="s">
        <v>1684</v>
      </c>
      <c r="R176" s="510" t="s">
        <v>1675</v>
      </c>
      <c r="S176" s="510" t="s">
        <v>1677</v>
      </c>
      <c r="T176" s="510" t="s">
        <v>1678</v>
      </c>
      <c r="U176" s="510" t="s">
        <v>1679</v>
      </c>
      <c r="V176" s="510" t="s">
        <v>1680</v>
      </c>
      <c r="W176" s="510" t="s">
        <v>1681</v>
      </c>
      <c r="X176" s="510" t="s">
        <v>1682</v>
      </c>
      <c r="Y176" s="510" t="s">
        <v>1683</v>
      </c>
    </row>
    <row r="177" spans="1:25" ht="15" customHeight="1" x14ac:dyDescent="0.2">
      <c r="A177" s="380" t="s">
        <v>1674</v>
      </c>
      <c r="O177" s="15"/>
      <c r="P177" s="510"/>
      <c r="Q177" s="510"/>
      <c r="R177" s="510"/>
      <c r="S177" s="510"/>
      <c r="T177" s="510"/>
      <c r="U177" s="510"/>
      <c r="V177" s="510"/>
      <c r="W177" s="510"/>
      <c r="X177" s="510"/>
      <c r="Y177" s="510"/>
    </row>
    <row r="178" spans="1:25" x14ac:dyDescent="0.2">
      <c r="A178" s="315" t="s">
        <v>107</v>
      </c>
      <c r="B178" s="410">
        <v>2017</v>
      </c>
      <c r="C178" s="410">
        <v>2018</v>
      </c>
      <c r="D178" s="410">
        <v>2019</v>
      </c>
      <c r="E178" s="410">
        <v>2020</v>
      </c>
      <c r="F178" s="410">
        <v>2021</v>
      </c>
      <c r="O178" s="351" t="s">
        <v>368</v>
      </c>
      <c r="P178" s="510"/>
      <c r="Q178" s="510"/>
      <c r="R178" s="510"/>
      <c r="S178" s="510"/>
      <c r="T178" s="510"/>
      <c r="U178" s="510"/>
      <c r="V178" s="510"/>
      <c r="W178" s="510"/>
      <c r="X178" s="510"/>
      <c r="Y178" s="510"/>
    </row>
    <row r="179" spans="1:25" x14ac:dyDescent="0.2">
      <c r="A179" s="276" t="s">
        <v>1326</v>
      </c>
      <c r="B179" s="319">
        <f>(('Estudio Organizacional'!$AG$160+'Estudio Organizacional'!$AG$161)*252+'Estudio Organizacional'!$AF$160)*12</f>
        <v>21380.856</v>
      </c>
      <c r="C179" s="319">
        <f>(('Estudio Organizacional'!$AG$160+'Estudio Organizacional'!$AG$161)*252+'Estudio Organizacional'!$AF$160)*12</f>
        <v>21380.856</v>
      </c>
      <c r="D179" s="319">
        <f>(('Estudio Organizacional'!$AG$160+'Estudio Organizacional'!$AG$161)*252+'Estudio Organizacional'!$AF$160)*12</f>
        <v>21380.856</v>
      </c>
      <c r="E179" s="319">
        <f>(('Estudio Organizacional'!$AG$160+'Estudio Organizacional'!$AG$161)*252+'Estudio Organizacional'!$AF$160)*12</f>
        <v>21380.856</v>
      </c>
      <c r="F179" s="319">
        <f>(('Estudio Organizacional'!$AG$160+'Estudio Organizacional'!$AG$161)*252+'Estudio Organizacional'!$AF$160)*12</f>
        <v>21380.856</v>
      </c>
      <c r="O179" s="18" t="s">
        <v>543</v>
      </c>
      <c r="P179" s="310">
        <v>1</v>
      </c>
      <c r="Q179" s="310">
        <v>4</v>
      </c>
      <c r="R179" s="164">
        <f>(36/60)*4</f>
        <v>2.4</v>
      </c>
      <c r="S179" s="164">
        <f>P179*Q179*R179</f>
        <v>9.6</v>
      </c>
      <c r="T179" s="164">
        <f>S179*26</f>
        <v>249.6</v>
      </c>
      <c r="U179" s="164">
        <f>T179*12</f>
        <v>2995.2</v>
      </c>
      <c r="V179" s="656">
        <v>0.31709999999999999</v>
      </c>
      <c r="W179" s="656">
        <v>2.86</v>
      </c>
      <c r="X179" s="164">
        <f>(T179*$V$179)+W179</f>
        <v>82.00815999999999</v>
      </c>
      <c r="Y179" s="164">
        <f>(U179*$V$179)+($W$179*12)</f>
        <v>984.09791999999993</v>
      </c>
    </row>
    <row r="180" spans="1:25" x14ac:dyDescent="0.2">
      <c r="A180" s="276" t="s">
        <v>1325</v>
      </c>
      <c r="B180" s="319">
        <f>$Y$184</f>
        <v>2018.3904</v>
      </c>
      <c r="C180" s="319">
        <f t="shared" ref="C180:F180" si="136">$Y$184</f>
        <v>2018.3904</v>
      </c>
      <c r="D180" s="319">
        <f t="shared" si="136"/>
        <v>2018.3904</v>
      </c>
      <c r="E180" s="319">
        <f t="shared" si="136"/>
        <v>2018.3904</v>
      </c>
      <c r="F180" s="319">
        <f t="shared" si="136"/>
        <v>2018.3904</v>
      </c>
      <c r="O180" s="18" t="s">
        <v>628</v>
      </c>
      <c r="P180" s="310">
        <v>0.6</v>
      </c>
      <c r="Q180" s="310">
        <v>4</v>
      </c>
      <c r="R180" s="164">
        <f>(16/60)*4</f>
        <v>1.0666666666666667</v>
      </c>
      <c r="S180" s="310">
        <f t="shared" ref="S180:S183" si="137">P180*Q180*R180</f>
        <v>2.56</v>
      </c>
      <c r="T180" s="310">
        <f t="shared" ref="T180:T183" si="138">S180*26</f>
        <v>66.56</v>
      </c>
      <c r="U180" s="164">
        <f t="shared" ref="U180:U183" si="139">T180*12</f>
        <v>798.72</v>
      </c>
      <c r="V180" s="657"/>
      <c r="W180" s="657"/>
      <c r="X180" s="164">
        <f t="shared" ref="X180:X183" si="140">(T180*$V$179)+W180</f>
        <v>21.106176000000001</v>
      </c>
      <c r="Y180" s="164">
        <f t="shared" ref="Y180:Y183" si="141">(U180*$V$179)+($W$179*12)</f>
        <v>287.594112</v>
      </c>
    </row>
    <row r="181" spans="1:25" x14ac:dyDescent="0.2">
      <c r="A181" s="276" t="s">
        <v>1328</v>
      </c>
      <c r="B181" s="319">
        <f>('Estudio Organizacional'!AF154*4)*12</f>
        <v>26400</v>
      </c>
      <c r="C181" s="319">
        <f>('Estudio Organizacional'!AF155*4)*12</f>
        <v>31200</v>
      </c>
      <c r="D181" s="319">
        <f>('Estudio Organizacional'!$AF$156*4)*12</f>
        <v>45600</v>
      </c>
      <c r="E181" s="319">
        <f>('Estudio Organizacional'!$AF$156*4)*12</f>
        <v>45600</v>
      </c>
      <c r="F181" s="319">
        <f>('Estudio Organizacional'!$AF$156*4)*12</f>
        <v>45600</v>
      </c>
      <c r="O181" s="18" t="s">
        <v>1079</v>
      </c>
      <c r="P181" s="310">
        <v>1.2</v>
      </c>
      <c r="Q181" s="310">
        <v>4</v>
      </c>
      <c r="R181" s="164">
        <f>(13/60)*4</f>
        <v>0.8666666666666667</v>
      </c>
      <c r="S181" s="310">
        <f t="shared" si="137"/>
        <v>4.16</v>
      </c>
      <c r="T181" s="310">
        <f t="shared" si="138"/>
        <v>108.16</v>
      </c>
      <c r="U181" s="164">
        <f t="shared" si="139"/>
        <v>1297.92</v>
      </c>
      <c r="V181" s="657"/>
      <c r="W181" s="657"/>
      <c r="X181" s="164">
        <f t="shared" si="140"/>
        <v>34.297536000000001</v>
      </c>
      <c r="Y181" s="164">
        <f t="shared" si="141"/>
        <v>445.89043200000003</v>
      </c>
    </row>
    <row r="182" spans="1:25" x14ac:dyDescent="0.2">
      <c r="A182" s="276" t="s">
        <v>1547</v>
      </c>
      <c r="B182" s="319">
        <f>'Estudio Organizacional'!$AF$149*12*4</f>
        <v>17280</v>
      </c>
      <c r="C182" s="319">
        <f>'Estudio Organizacional'!$AF$149*12*4</f>
        <v>17280</v>
      </c>
      <c r="D182" s="319">
        <f>'Estudio Organizacional'!$AF$149*12*4</f>
        <v>17280</v>
      </c>
      <c r="E182" s="319">
        <f>'Estudio Organizacional'!$AF$149*12*4</f>
        <v>17280</v>
      </c>
      <c r="F182" s="319">
        <f>'Estudio Organizacional'!$AF$149*12*4</f>
        <v>17280</v>
      </c>
      <c r="O182" s="18" t="s">
        <v>585</v>
      </c>
      <c r="P182" s="310">
        <v>1.5</v>
      </c>
      <c r="Q182" s="310">
        <v>4</v>
      </c>
      <c r="R182" s="164">
        <f>(0.0833333333333333*4)</f>
        <v>0.3333333333333332</v>
      </c>
      <c r="S182" s="164">
        <f t="shared" si="137"/>
        <v>1.9999999999999991</v>
      </c>
      <c r="T182" s="164">
        <f t="shared" si="138"/>
        <v>51.999999999999979</v>
      </c>
      <c r="U182" s="164">
        <f t="shared" si="139"/>
        <v>623.99999999999977</v>
      </c>
      <c r="V182" s="657"/>
      <c r="W182" s="657"/>
      <c r="X182" s="164">
        <f t="shared" si="140"/>
        <v>16.489199999999993</v>
      </c>
      <c r="Y182" s="164">
        <f t="shared" si="141"/>
        <v>232.19039999999993</v>
      </c>
    </row>
    <row r="183" spans="1:25" x14ac:dyDescent="0.2">
      <c r="A183" s="203" t="s">
        <v>1685</v>
      </c>
      <c r="B183" s="293">
        <f>SUM(B179:B182)</f>
        <v>67079.246400000004</v>
      </c>
      <c r="C183" s="293">
        <f>SUM(C179:C182)</f>
        <v>71879.246400000004</v>
      </c>
      <c r="D183" s="293">
        <f>SUM(D179:D182)</f>
        <v>86279.246400000004</v>
      </c>
      <c r="E183" s="293">
        <f>SUM(E179:E182)</f>
        <v>86279.246400000004</v>
      </c>
      <c r="F183" s="293">
        <f>SUM(F179:F182)</f>
        <v>86279.246400000004</v>
      </c>
      <c r="O183" s="18" t="s">
        <v>586</v>
      </c>
      <c r="P183" s="310">
        <v>1</v>
      </c>
      <c r="Q183" s="310">
        <v>4</v>
      </c>
      <c r="R183" s="164">
        <f>(1.3/60)*4</f>
        <v>8.666666666666667E-2</v>
      </c>
      <c r="S183" s="164">
        <f t="shared" si="137"/>
        <v>0.34666666666666668</v>
      </c>
      <c r="T183" s="164">
        <f t="shared" si="138"/>
        <v>9.0133333333333336</v>
      </c>
      <c r="U183" s="164">
        <f t="shared" si="139"/>
        <v>108.16</v>
      </c>
      <c r="V183" s="657"/>
      <c r="W183" s="657"/>
      <c r="X183" s="164">
        <f t="shared" si="140"/>
        <v>2.8581280000000002</v>
      </c>
      <c r="Y183" s="164">
        <f t="shared" si="141"/>
        <v>68.617536000000001</v>
      </c>
    </row>
    <row r="184" spans="1:25" x14ac:dyDescent="0.2">
      <c r="A184" s="203" t="s">
        <v>1686</v>
      </c>
      <c r="B184" s="293">
        <f>B185-B183</f>
        <v>14724.712624390246</v>
      </c>
      <c r="C184" s="293">
        <f t="shared" ref="C184:F184" si="142">C185-C183</f>
        <v>15778.371160975614</v>
      </c>
      <c r="D184" s="293">
        <f t="shared" si="142"/>
        <v>18939.346770731718</v>
      </c>
      <c r="E184" s="293">
        <f t="shared" si="142"/>
        <v>18939.346770731718</v>
      </c>
      <c r="F184" s="293">
        <f t="shared" si="142"/>
        <v>18939.346770731718</v>
      </c>
      <c r="O184" s="203" t="s">
        <v>10</v>
      </c>
      <c r="P184" s="204">
        <f>SUM(P179:P183)</f>
        <v>5.3</v>
      </c>
      <c r="Q184" s="204">
        <f t="shared" ref="Q184:U184" si="143">SUM(Q179:Q183)</f>
        <v>20</v>
      </c>
      <c r="R184" s="352">
        <f t="shared" si="143"/>
        <v>4.7533333333333339</v>
      </c>
      <c r="S184" s="352">
        <f t="shared" si="143"/>
        <v>18.666666666666668</v>
      </c>
      <c r="T184" s="352">
        <f t="shared" si="143"/>
        <v>485.33333333333326</v>
      </c>
      <c r="U184" s="293">
        <f t="shared" si="143"/>
        <v>5824</v>
      </c>
      <c r="V184" s="658"/>
      <c r="W184" s="658"/>
      <c r="X184" s="293">
        <f>SUM(X179:X183)</f>
        <v>156.75919999999996</v>
      </c>
      <c r="Y184" s="293">
        <f>SUM(Y179:Y183)</f>
        <v>2018.3904</v>
      </c>
    </row>
    <row r="185" spans="1:25" x14ac:dyDescent="0.2">
      <c r="A185" s="203" t="s">
        <v>1687</v>
      </c>
      <c r="B185" s="293">
        <f>(B183*100)/82</f>
        <v>81803.959024390249</v>
      </c>
      <c r="C185" s="293">
        <f t="shared" ref="C185:F185" si="144">(C183*100)/82</f>
        <v>87657.617560975617</v>
      </c>
      <c r="D185" s="293">
        <f t="shared" si="144"/>
        <v>105218.59317073172</v>
      </c>
      <c r="E185" s="293">
        <f t="shared" si="144"/>
        <v>105218.59317073172</v>
      </c>
      <c r="F185" s="293">
        <f t="shared" si="144"/>
        <v>105218.59317073172</v>
      </c>
    </row>
    <row r="186" spans="1:25" x14ac:dyDescent="0.2">
      <c r="O186" s="15"/>
      <c r="P186" s="510" t="s">
        <v>1676</v>
      </c>
      <c r="Q186" s="510" t="s">
        <v>1710</v>
      </c>
      <c r="R186" s="510" t="s">
        <v>1675</v>
      </c>
      <c r="S186" s="510" t="s">
        <v>1677</v>
      </c>
      <c r="T186" s="510" t="s">
        <v>1678</v>
      </c>
      <c r="U186" s="510" t="s">
        <v>1679</v>
      </c>
      <c r="V186" s="510" t="s">
        <v>1680</v>
      </c>
      <c r="W186" s="510" t="s">
        <v>1681</v>
      </c>
      <c r="X186" s="510" t="s">
        <v>1682</v>
      </c>
      <c r="Y186" s="510" t="s">
        <v>1683</v>
      </c>
    </row>
    <row r="187" spans="1:25" x14ac:dyDescent="0.2">
      <c r="O187" s="15"/>
      <c r="P187" s="510"/>
      <c r="Q187" s="510"/>
      <c r="R187" s="510"/>
      <c r="S187" s="510"/>
      <c r="T187" s="510"/>
      <c r="U187" s="510"/>
      <c r="V187" s="510"/>
      <c r="W187" s="510"/>
      <c r="X187" s="510"/>
      <c r="Y187" s="510"/>
    </row>
    <row r="188" spans="1:25" ht="12.75" customHeight="1" x14ac:dyDescent="0.2">
      <c r="A188" s="380" t="s">
        <v>1699</v>
      </c>
      <c r="O188" s="351" t="s">
        <v>377</v>
      </c>
      <c r="P188" s="510"/>
      <c r="Q188" s="510"/>
      <c r="R188" s="510"/>
      <c r="S188" s="510"/>
      <c r="T188" s="510"/>
      <c r="U188" s="510"/>
      <c r="V188" s="510"/>
      <c r="W188" s="510"/>
      <c r="X188" s="510"/>
      <c r="Y188" s="510"/>
    </row>
    <row r="189" spans="1:25" x14ac:dyDescent="0.2">
      <c r="A189" s="315" t="s">
        <v>107</v>
      </c>
      <c r="B189" s="315" t="s">
        <v>1692</v>
      </c>
      <c r="C189" s="315" t="s">
        <v>1690</v>
      </c>
      <c r="D189" s="410">
        <v>2017</v>
      </c>
      <c r="E189" s="410">
        <v>2018</v>
      </c>
      <c r="F189" s="410">
        <v>2019</v>
      </c>
      <c r="G189" s="410">
        <v>2020</v>
      </c>
      <c r="H189" s="410">
        <v>2021</v>
      </c>
      <c r="O189" s="276" t="s">
        <v>1709</v>
      </c>
      <c r="P189" s="164">
        <v>8.3000000000000004E-2</v>
      </c>
      <c r="Q189" s="310">
        <v>6</v>
      </c>
      <c r="R189" s="310">
        <v>8</v>
      </c>
      <c r="S189" s="319">
        <f t="shared" ref="S189:S195" si="145">R189*P189*Q189</f>
        <v>3.984</v>
      </c>
      <c r="T189" s="319">
        <f t="shared" ref="T189:T195" si="146">S189*26</f>
        <v>103.584</v>
      </c>
      <c r="U189" s="319">
        <f t="shared" ref="U189:U195" si="147">T189*12</f>
        <v>1243.008</v>
      </c>
      <c r="V189" s="659">
        <v>0.31709999999999999</v>
      </c>
      <c r="W189" s="659">
        <v>2.86</v>
      </c>
      <c r="X189" s="355">
        <f>(T189*$V$189)+$W$189</f>
        <v>35.706486400000003</v>
      </c>
      <c r="Y189" s="279">
        <f>(U189*$V$189)+$W$189*12</f>
        <v>428.47783679999998</v>
      </c>
    </row>
    <row r="190" spans="1:25" x14ac:dyDescent="0.2">
      <c r="A190" s="18" t="s">
        <v>1084</v>
      </c>
      <c r="B190" s="172">
        <v>0.1</v>
      </c>
      <c r="C190" s="319">
        <f>'Características Físicas'!E24</f>
        <v>43853.599999999999</v>
      </c>
      <c r="D190" s="319">
        <f>$C$190*$B$190</f>
        <v>4385.3599999999997</v>
      </c>
      <c r="E190" s="319">
        <f>$C$190*$B$190</f>
        <v>4385.3599999999997</v>
      </c>
      <c r="F190" s="319">
        <f>$C$190*$B$190</f>
        <v>4385.3599999999997</v>
      </c>
      <c r="G190" s="319">
        <f>$C$190*$B$190</f>
        <v>4385.3599999999997</v>
      </c>
      <c r="H190" s="319">
        <f>$C$190*$B$190</f>
        <v>4385.3599999999997</v>
      </c>
      <c r="O190" s="276" t="s">
        <v>379</v>
      </c>
      <c r="P190" s="164">
        <v>8.3000000000000004E-2</v>
      </c>
      <c r="Q190" s="310">
        <v>13</v>
      </c>
      <c r="R190" s="310">
        <v>8</v>
      </c>
      <c r="S190" s="319">
        <f t="shared" si="145"/>
        <v>8.6319999999999997</v>
      </c>
      <c r="T190" s="319">
        <f t="shared" si="146"/>
        <v>224.43199999999999</v>
      </c>
      <c r="U190" s="319">
        <f t="shared" si="147"/>
        <v>2693.1839999999997</v>
      </c>
      <c r="V190" s="659"/>
      <c r="W190" s="659"/>
      <c r="X190" s="355">
        <f t="shared" ref="X190:X195" si="148">(T190*$V$189)+$W$189</f>
        <v>74.027387199999993</v>
      </c>
      <c r="Y190" s="279">
        <f t="shared" ref="Y190:Y195" si="149">(U190*$V$189)+$W$189*12</f>
        <v>888.32864639999991</v>
      </c>
    </row>
    <row r="191" spans="1:25" x14ac:dyDescent="0.2">
      <c r="A191" s="18" t="s">
        <v>1689</v>
      </c>
      <c r="B191" s="172">
        <v>0.1</v>
      </c>
      <c r="C191" s="319">
        <f>'Características Físicas'!E63</f>
        <v>48885.599999999999</v>
      </c>
      <c r="D191" s="319">
        <f>$C$191*$B$191</f>
        <v>4888.5600000000004</v>
      </c>
      <c r="E191" s="319">
        <f>$C$191*$B$191</f>
        <v>4888.5600000000004</v>
      </c>
      <c r="F191" s="319">
        <f>$C$191*$B$191</f>
        <v>4888.5600000000004</v>
      </c>
      <c r="G191" s="319">
        <f>$C$191*$B$191</f>
        <v>4888.5600000000004</v>
      </c>
      <c r="H191" s="319">
        <f>$C$191*$B$191</f>
        <v>4888.5600000000004</v>
      </c>
      <c r="O191" s="276" t="s">
        <v>1711</v>
      </c>
      <c r="P191" s="164">
        <v>0.04</v>
      </c>
      <c r="Q191" s="310">
        <v>4</v>
      </c>
      <c r="R191" s="310">
        <v>8</v>
      </c>
      <c r="S191" s="319">
        <f t="shared" si="145"/>
        <v>1.28</v>
      </c>
      <c r="T191" s="319">
        <f t="shared" si="146"/>
        <v>33.28</v>
      </c>
      <c r="U191" s="319">
        <f t="shared" si="147"/>
        <v>399.36</v>
      </c>
      <c r="V191" s="659"/>
      <c r="W191" s="659"/>
      <c r="X191" s="355">
        <f t="shared" si="148"/>
        <v>13.413088</v>
      </c>
      <c r="Y191" s="279">
        <f t="shared" si="149"/>
        <v>160.95705599999999</v>
      </c>
    </row>
    <row r="192" spans="1:25" x14ac:dyDescent="0.2">
      <c r="A192" s="654" t="s">
        <v>1693</v>
      </c>
      <c r="B192" s="655"/>
      <c r="C192" s="293">
        <f>SUM(C190:C191)</f>
        <v>92739.199999999997</v>
      </c>
      <c r="D192" s="293">
        <f>SUM(D190:D191)</f>
        <v>9273.92</v>
      </c>
      <c r="E192" s="293">
        <f>SUM(E190:E191)</f>
        <v>9273.92</v>
      </c>
      <c r="F192" s="293">
        <f>SUM(F190:F191)</f>
        <v>9273.92</v>
      </c>
      <c r="G192" s="293">
        <f t="shared" ref="G192:H192" si="150">SUM(G190:G191)</f>
        <v>9273.92</v>
      </c>
      <c r="H192" s="293">
        <f t="shared" si="150"/>
        <v>9273.92</v>
      </c>
      <c r="O192" s="276" t="s">
        <v>1712</v>
      </c>
      <c r="P192" s="164">
        <v>0.8</v>
      </c>
      <c r="Q192" s="310">
        <v>1</v>
      </c>
      <c r="R192" s="310">
        <v>8</v>
      </c>
      <c r="S192" s="319">
        <f t="shared" si="145"/>
        <v>6.4</v>
      </c>
      <c r="T192" s="319">
        <f t="shared" si="146"/>
        <v>166.4</v>
      </c>
      <c r="U192" s="319">
        <f t="shared" si="147"/>
        <v>1996.8000000000002</v>
      </c>
      <c r="V192" s="659"/>
      <c r="W192" s="659"/>
      <c r="X192" s="355">
        <f t="shared" si="148"/>
        <v>55.625439999999998</v>
      </c>
      <c r="Y192" s="279">
        <f t="shared" si="149"/>
        <v>667.50528000000008</v>
      </c>
    </row>
    <row r="193" spans="1:25" x14ac:dyDescent="0.2">
      <c r="O193" s="276" t="s">
        <v>661</v>
      </c>
      <c r="P193" s="310">
        <v>0.04</v>
      </c>
      <c r="Q193" s="310">
        <v>4</v>
      </c>
      <c r="R193" s="310">
        <v>8</v>
      </c>
      <c r="S193" s="319">
        <f t="shared" si="145"/>
        <v>1.28</v>
      </c>
      <c r="T193" s="319">
        <f t="shared" si="146"/>
        <v>33.28</v>
      </c>
      <c r="U193" s="319">
        <f t="shared" si="147"/>
        <v>399.36</v>
      </c>
      <c r="V193" s="659"/>
      <c r="W193" s="659"/>
      <c r="X193" s="355">
        <f t="shared" si="148"/>
        <v>13.413088</v>
      </c>
      <c r="Y193" s="279">
        <f t="shared" si="149"/>
        <v>160.95705599999999</v>
      </c>
    </row>
    <row r="194" spans="1:25" x14ac:dyDescent="0.2">
      <c r="A194" s="315" t="s">
        <v>107</v>
      </c>
      <c r="B194" s="410">
        <v>2017</v>
      </c>
      <c r="C194" s="410">
        <v>2018</v>
      </c>
      <c r="D194" s="410">
        <v>2019</v>
      </c>
      <c r="E194" s="410">
        <v>2020</v>
      </c>
      <c r="F194" s="410">
        <v>2021</v>
      </c>
      <c r="O194" s="276" t="s">
        <v>1713</v>
      </c>
      <c r="P194" s="310">
        <v>1.2</v>
      </c>
      <c r="Q194" s="310">
        <v>1</v>
      </c>
      <c r="R194" s="310">
        <v>2</v>
      </c>
      <c r="S194" s="319">
        <f t="shared" si="145"/>
        <v>2.4</v>
      </c>
      <c r="T194" s="319">
        <f t="shared" si="146"/>
        <v>62.4</v>
      </c>
      <c r="U194" s="319">
        <f t="shared" si="147"/>
        <v>748.8</v>
      </c>
      <c r="V194" s="659"/>
      <c r="W194" s="659"/>
      <c r="X194" s="355">
        <f t="shared" si="148"/>
        <v>22.647039999999997</v>
      </c>
      <c r="Y194" s="279">
        <f t="shared" si="149"/>
        <v>271.76447999999999</v>
      </c>
    </row>
    <row r="195" spans="1:25" x14ac:dyDescent="0.2">
      <c r="A195" s="18" t="s">
        <v>1304</v>
      </c>
      <c r="B195" s="319">
        <f>B175</f>
        <v>173269.33333333331</v>
      </c>
      <c r="C195" s="319">
        <f>C175</f>
        <v>173269.33333333331</v>
      </c>
      <c r="D195" s="319">
        <f>D175</f>
        <v>173269.33333333331</v>
      </c>
      <c r="E195" s="319">
        <f>E175</f>
        <v>173269.33333333331</v>
      </c>
      <c r="F195" s="319">
        <f>F175</f>
        <v>173269.33333333331</v>
      </c>
      <c r="O195" s="276" t="s">
        <v>1714</v>
      </c>
      <c r="P195" s="310">
        <v>0.64</v>
      </c>
      <c r="Q195" s="310">
        <v>1</v>
      </c>
      <c r="R195" s="310">
        <v>1</v>
      </c>
      <c r="S195" s="319">
        <f t="shared" si="145"/>
        <v>0.64</v>
      </c>
      <c r="T195" s="319">
        <f t="shared" si="146"/>
        <v>16.64</v>
      </c>
      <c r="U195" s="319">
        <f t="shared" si="147"/>
        <v>199.68</v>
      </c>
      <c r="V195" s="659"/>
      <c r="W195" s="659"/>
      <c r="X195" s="355">
        <f t="shared" si="148"/>
        <v>8.1365440000000007</v>
      </c>
      <c r="Y195" s="279">
        <f t="shared" si="149"/>
        <v>97.638528000000008</v>
      </c>
    </row>
    <row r="196" spans="1:25" x14ac:dyDescent="0.2">
      <c r="A196" s="18" t="s">
        <v>1674</v>
      </c>
      <c r="B196" s="319">
        <f>B183</f>
        <v>67079.246400000004</v>
      </c>
      <c r="C196" s="319">
        <f>C183</f>
        <v>71879.246400000004</v>
      </c>
      <c r="D196" s="319">
        <f>D183</f>
        <v>86279.246400000004</v>
      </c>
      <c r="E196" s="319">
        <f>E183</f>
        <v>86279.246400000004</v>
      </c>
      <c r="F196" s="319">
        <f>F183</f>
        <v>86279.246400000004</v>
      </c>
      <c r="O196" s="203" t="s">
        <v>10</v>
      </c>
      <c r="P196" s="293">
        <f>SUM(P189:P195)</f>
        <v>2.8860000000000001</v>
      </c>
      <c r="Q196" s="293">
        <f t="shared" ref="Q196:U196" si="151">SUM(Q189:Q195)</f>
        <v>30</v>
      </c>
      <c r="R196" s="293">
        <f t="shared" si="151"/>
        <v>43</v>
      </c>
      <c r="S196" s="293">
        <f t="shared" si="151"/>
        <v>24.616</v>
      </c>
      <c r="T196" s="293">
        <f t="shared" si="151"/>
        <v>640.01599999999985</v>
      </c>
      <c r="U196" s="293">
        <f t="shared" si="151"/>
        <v>7680.192</v>
      </c>
      <c r="V196" s="659"/>
      <c r="W196" s="659"/>
      <c r="X196" s="293">
        <f>SUM(X189:X195)</f>
        <v>222.9690736</v>
      </c>
      <c r="Y196" s="293">
        <f>SUM(Y189:Y195)</f>
        <v>2675.6288832</v>
      </c>
    </row>
    <row r="197" spans="1:25" x14ac:dyDescent="0.2">
      <c r="A197" s="276" t="s">
        <v>1688</v>
      </c>
      <c r="B197" s="319">
        <f>D192</f>
        <v>9273.92</v>
      </c>
      <c r="C197" s="319">
        <f t="shared" ref="C197:F197" si="152">E192</f>
        <v>9273.92</v>
      </c>
      <c r="D197" s="319">
        <f t="shared" si="152"/>
        <v>9273.92</v>
      </c>
      <c r="E197" s="319">
        <f t="shared" si="152"/>
        <v>9273.92</v>
      </c>
      <c r="F197" s="319">
        <f t="shared" si="152"/>
        <v>9273.92</v>
      </c>
    </row>
    <row r="198" spans="1:25" x14ac:dyDescent="0.2">
      <c r="A198" s="354" t="s">
        <v>1685</v>
      </c>
      <c r="B198" s="293">
        <f>B195+B196+B197</f>
        <v>249622.49973333333</v>
      </c>
      <c r="C198" s="293">
        <f t="shared" ref="C198:F198" si="153">C195+C196+C197</f>
        <v>254422.49973333333</v>
      </c>
      <c r="D198" s="293">
        <f t="shared" si="153"/>
        <v>268822.4997333333</v>
      </c>
      <c r="E198" s="293">
        <f t="shared" si="153"/>
        <v>268822.4997333333</v>
      </c>
      <c r="F198" s="293">
        <f t="shared" si="153"/>
        <v>268822.4997333333</v>
      </c>
    </row>
    <row r="199" spans="1:25" x14ac:dyDescent="0.2">
      <c r="A199" s="203" t="s">
        <v>1686</v>
      </c>
      <c r="B199" s="293">
        <f>B184</f>
        <v>14724.712624390246</v>
      </c>
      <c r="C199" s="293">
        <f t="shared" ref="C199:F199" si="154">C184</f>
        <v>15778.371160975614</v>
      </c>
      <c r="D199" s="293">
        <f t="shared" si="154"/>
        <v>18939.346770731718</v>
      </c>
      <c r="E199" s="293">
        <f t="shared" si="154"/>
        <v>18939.346770731718</v>
      </c>
      <c r="F199" s="293">
        <f t="shared" si="154"/>
        <v>18939.346770731718</v>
      </c>
    </row>
    <row r="200" spans="1:25" x14ac:dyDescent="0.2">
      <c r="A200" s="203" t="s">
        <v>1687</v>
      </c>
      <c r="B200" s="293">
        <f>B198+B199</f>
        <v>264347.21235772356</v>
      </c>
      <c r="C200" s="293">
        <f t="shared" ref="C200:F200" si="155">C198+C199</f>
        <v>270200.87089430896</v>
      </c>
      <c r="D200" s="293">
        <f t="shared" si="155"/>
        <v>287761.84650406503</v>
      </c>
      <c r="E200" s="293">
        <f t="shared" si="155"/>
        <v>287761.84650406503</v>
      </c>
      <c r="F200" s="293">
        <f t="shared" si="155"/>
        <v>287761.84650406503</v>
      </c>
    </row>
    <row r="201" spans="1:25" x14ac:dyDescent="0.2">
      <c r="B201" s="446">
        <f>B195+B196+B199</f>
        <v>255073.29235772358</v>
      </c>
      <c r="C201" s="446">
        <f t="shared" ref="C201:F201" si="156">C195+C196+C199</f>
        <v>260926.95089430892</v>
      </c>
      <c r="D201" s="446">
        <f t="shared" si="156"/>
        <v>278487.92650406505</v>
      </c>
      <c r="E201" s="446">
        <f t="shared" si="156"/>
        <v>278487.92650406505</v>
      </c>
      <c r="F201" s="446">
        <f t="shared" si="156"/>
        <v>278487.92650406505</v>
      </c>
    </row>
    <row r="202" spans="1:25" x14ac:dyDescent="0.2">
      <c r="A202" s="368" t="s">
        <v>1809</v>
      </c>
    </row>
    <row r="203" spans="1:25" x14ac:dyDescent="0.2">
      <c r="A203" s="315" t="s">
        <v>107</v>
      </c>
      <c r="B203" s="410">
        <v>2017</v>
      </c>
      <c r="C203" s="410">
        <v>2018</v>
      </c>
      <c r="D203" s="410">
        <v>2019</v>
      </c>
      <c r="E203" s="410">
        <v>2020</v>
      </c>
      <c r="F203" s="410">
        <v>2021</v>
      </c>
    </row>
    <row r="204" spans="1:25" x14ac:dyDescent="0.2">
      <c r="A204" s="18" t="s">
        <v>1694</v>
      </c>
      <c r="B204" s="319">
        <f>B162</f>
        <v>245586.40547082815</v>
      </c>
      <c r="C204" s="319">
        <f>C162</f>
        <v>452998.75827779691</v>
      </c>
      <c r="D204" s="319">
        <f>D162</f>
        <v>729124.4058797122</v>
      </c>
      <c r="E204" s="319">
        <f>E162</f>
        <v>1082870.6272314759</v>
      </c>
      <c r="F204" s="319">
        <f>F162</f>
        <v>1519327.2960215996</v>
      </c>
    </row>
    <row r="205" spans="1:25" x14ac:dyDescent="0.2">
      <c r="A205" s="18" t="s">
        <v>1695</v>
      </c>
      <c r="B205" s="319">
        <f>B168</f>
        <v>214617.3</v>
      </c>
      <c r="C205" s="319">
        <f>C168</f>
        <v>241742.3</v>
      </c>
      <c r="D205" s="319">
        <f>D168</f>
        <v>268867.3</v>
      </c>
      <c r="E205" s="319">
        <f>E168</f>
        <v>295992.30000000005</v>
      </c>
      <c r="F205" s="319">
        <f>F168</f>
        <v>323117.30000000005</v>
      </c>
    </row>
    <row r="206" spans="1:25" x14ac:dyDescent="0.2">
      <c r="A206" s="18" t="s">
        <v>1696</v>
      </c>
      <c r="B206" s="319">
        <f>B198</f>
        <v>249622.49973333333</v>
      </c>
      <c r="C206" s="319">
        <f>C198</f>
        <v>254422.49973333333</v>
      </c>
      <c r="D206" s="319">
        <f>D198</f>
        <v>268822.4997333333</v>
      </c>
      <c r="E206" s="319">
        <f>E198</f>
        <v>268822.4997333333</v>
      </c>
      <c r="F206" s="319">
        <f>F198</f>
        <v>268822.4997333333</v>
      </c>
    </row>
    <row r="207" spans="1:25" x14ac:dyDescent="0.2">
      <c r="A207" s="203" t="s">
        <v>1685</v>
      </c>
      <c r="B207" s="293">
        <f>SUM(B204:B206)</f>
        <v>709826.20520416147</v>
      </c>
      <c r="C207" s="293">
        <f>SUM(C204:C206)</f>
        <v>949163.55801113031</v>
      </c>
      <c r="D207" s="293">
        <f>SUM(D204:D206)</f>
        <v>1266814.2056130455</v>
      </c>
      <c r="E207" s="293">
        <f>SUM(E204:E206)</f>
        <v>1647685.4269648092</v>
      </c>
      <c r="F207" s="293">
        <f>SUM(F204:F206)</f>
        <v>2111267.0957549331</v>
      </c>
    </row>
    <row r="208" spans="1:25" x14ac:dyDescent="0.2">
      <c r="A208" s="203" t="s">
        <v>1686</v>
      </c>
      <c r="B208" s="293">
        <f>B161+B199</f>
        <v>68633.923581401294</v>
      </c>
      <c r="C208" s="293">
        <f t="shared" ref="C208:F208" si="157">C161+C199</f>
        <v>115217.12297805298</v>
      </c>
      <c r="D208" s="293">
        <f t="shared" si="157"/>
        <v>178991.04562237585</v>
      </c>
      <c r="E208" s="293">
        <f t="shared" si="157"/>
        <v>256642.65518739715</v>
      </c>
      <c r="F208" s="293">
        <f t="shared" si="157"/>
        <v>352450.21662913164</v>
      </c>
    </row>
    <row r="209" spans="1:8" x14ac:dyDescent="0.2">
      <c r="A209" s="203" t="s">
        <v>1687</v>
      </c>
      <c r="B209" s="293">
        <f>B207+B208</f>
        <v>778460.1287855627</v>
      </c>
      <c r="C209" s="293">
        <f>C207+C208</f>
        <v>1064380.6809891833</v>
      </c>
      <c r="D209" s="293">
        <f>D207+D208</f>
        <v>1445805.2512354213</v>
      </c>
      <c r="E209" s="293">
        <f>E207+E208</f>
        <v>1904328.0821522065</v>
      </c>
      <c r="F209" s="293">
        <f>F207+F208</f>
        <v>2463717.3123840648</v>
      </c>
    </row>
    <row r="211" spans="1:8" x14ac:dyDescent="0.2">
      <c r="A211" s="368" t="s">
        <v>1697</v>
      </c>
    </row>
    <row r="213" spans="1:8" x14ac:dyDescent="0.2">
      <c r="A213" s="327" t="s">
        <v>1698</v>
      </c>
    </row>
    <row r="214" spans="1:8" x14ac:dyDescent="0.2">
      <c r="A214" s="315" t="s">
        <v>107</v>
      </c>
      <c r="B214" s="410">
        <v>2017</v>
      </c>
      <c r="C214" s="410">
        <v>2018</v>
      </c>
      <c r="D214" s="410">
        <v>2019</v>
      </c>
      <c r="E214" s="410">
        <v>2020</v>
      </c>
      <c r="F214" s="410">
        <v>2021</v>
      </c>
    </row>
    <row r="215" spans="1:8" x14ac:dyDescent="0.2">
      <c r="A215" s="18" t="s">
        <v>1182</v>
      </c>
      <c r="B215" s="319">
        <f>'Estudio Organizacional'!Y65</f>
        <v>70485</v>
      </c>
      <c r="C215" s="319">
        <f>'Estudio Organizacional'!Y85</f>
        <v>70485</v>
      </c>
      <c r="D215" s="319">
        <f>'Estudio Organizacional'!Y105</f>
        <v>70485</v>
      </c>
      <c r="E215" s="319">
        <f>'Estudio Organizacional'!Y125</f>
        <v>70485</v>
      </c>
      <c r="F215" s="319">
        <f>'Estudio Organizacional'!Y145</f>
        <v>70485</v>
      </c>
    </row>
    <row r="216" spans="1:8" x14ac:dyDescent="0.2">
      <c r="A216" s="18" t="s">
        <v>1184</v>
      </c>
      <c r="B216" s="319">
        <f>'Estudio Organizacional'!Y66</f>
        <v>50122.666666666664</v>
      </c>
      <c r="C216" s="319">
        <f>'Estudio Organizacional'!Y86</f>
        <v>50122.666666666664</v>
      </c>
      <c r="D216" s="319">
        <f>'Estudio Organizacional'!Y106</f>
        <v>50122.666666666664</v>
      </c>
      <c r="E216" s="319">
        <f>'Estudio Organizacional'!Y126</f>
        <v>50122.666666666664</v>
      </c>
      <c r="F216" s="319">
        <f>'Estudio Organizacional'!Y146</f>
        <v>50122.666666666664</v>
      </c>
    </row>
    <row r="217" spans="1:8" x14ac:dyDescent="0.2">
      <c r="A217" s="18" t="s">
        <v>1482</v>
      </c>
      <c r="B217" s="319">
        <f>'Estudio Organizacional'!Y74</f>
        <v>18796</v>
      </c>
      <c r="C217" s="319">
        <f>'Estudio Organizacional'!Y94</f>
        <v>18796</v>
      </c>
      <c r="D217" s="319">
        <f>'Estudio Organizacional'!Y114</f>
        <v>18796</v>
      </c>
      <c r="E217" s="319">
        <f>'Estudio Organizacional'!Y134</f>
        <v>18796</v>
      </c>
      <c r="F217" s="319">
        <f>'Estudio Organizacional'!Y154</f>
        <v>18796</v>
      </c>
    </row>
    <row r="218" spans="1:8" x14ac:dyDescent="0.2">
      <c r="A218" s="18" t="s">
        <v>1187</v>
      </c>
      <c r="B218" s="319">
        <f>'Estudio Organizacional'!Y75</f>
        <v>23495</v>
      </c>
      <c r="C218" s="319">
        <f>'Estudio Organizacional'!Y95</f>
        <v>23495</v>
      </c>
      <c r="D218" s="319">
        <f>'Estudio Organizacional'!Y115</f>
        <v>23495</v>
      </c>
      <c r="E218" s="319">
        <f>'Estudio Organizacional'!Y135</f>
        <v>23495</v>
      </c>
      <c r="F218" s="319">
        <f>'Estudio Organizacional'!Y155</f>
        <v>23495</v>
      </c>
    </row>
    <row r="219" spans="1:8" x14ac:dyDescent="0.2">
      <c r="A219" s="18" t="s">
        <v>1183</v>
      </c>
      <c r="B219" s="319">
        <f>'Estudio Organizacional'!Y81</f>
        <v>14566.9</v>
      </c>
      <c r="C219" s="319">
        <f>'Estudio Organizacional'!Y101</f>
        <v>14566.9</v>
      </c>
      <c r="D219" s="319">
        <f>'Estudio Organizacional'!Y121</f>
        <v>14566.9</v>
      </c>
      <c r="E219" s="319">
        <f>'Estudio Organizacional'!Y141</f>
        <v>14566.9</v>
      </c>
      <c r="F219" s="319">
        <f>'Estudio Organizacional'!Y161</f>
        <v>14566.9</v>
      </c>
    </row>
    <row r="220" spans="1:8" x14ac:dyDescent="0.2">
      <c r="A220" s="203" t="s">
        <v>1334</v>
      </c>
      <c r="B220" s="293">
        <f>SUM(B215:B219)</f>
        <v>177465.56666666665</v>
      </c>
      <c r="C220" s="293">
        <f>SUM(C215:C219)</f>
        <v>177465.56666666665</v>
      </c>
      <c r="D220" s="293">
        <f>SUM(D215:D219)</f>
        <v>177465.56666666665</v>
      </c>
      <c r="E220" s="293">
        <f>SUM(E215:E219)</f>
        <v>177465.56666666665</v>
      </c>
      <c r="F220" s="293">
        <f>SUM(F215:F219)</f>
        <v>177465.56666666665</v>
      </c>
    </row>
    <row r="222" spans="1:8" x14ac:dyDescent="0.2">
      <c r="A222" s="327" t="s">
        <v>1700</v>
      </c>
    </row>
    <row r="223" spans="1:8" x14ac:dyDescent="0.2">
      <c r="A223" s="315" t="s">
        <v>107</v>
      </c>
      <c r="B223" s="315" t="s">
        <v>1692</v>
      </c>
      <c r="C223" s="315" t="s">
        <v>1690</v>
      </c>
      <c r="D223" s="410">
        <v>2017</v>
      </c>
      <c r="E223" s="410">
        <v>2018</v>
      </c>
      <c r="F223" s="410">
        <v>2019</v>
      </c>
      <c r="G223" s="410">
        <v>2020</v>
      </c>
      <c r="H223" s="410">
        <v>2021</v>
      </c>
    </row>
    <row r="224" spans="1:8" x14ac:dyDescent="0.2">
      <c r="A224" s="276" t="s">
        <v>1702</v>
      </c>
      <c r="B224" s="172">
        <v>0.25</v>
      </c>
      <c r="C224" s="319">
        <f>'Características Físicas'!E80</f>
        <v>31935.24</v>
      </c>
      <c r="D224" s="319">
        <f>$C$224*$B$224</f>
        <v>7983.81</v>
      </c>
      <c r="E224" s="319">
        <f t="shared" ref="E224:G224" si="158">$C$224*$B$224</f>
        <v>7983.81</v>
      </c>
      <c r="F224" s="319">
        <f t="shared" si="158"/>
        <v>7983.81</v>
      </c>
      <c r="G224" s="319">
        <f t="shared" si="158"/>
        <v>7983.81</v>
      </c>
      <c r="H224" s="319">
        <v>0</v>
      </c>
    </row>
    <row r="225" spans="1:8" x14ac:dyDescent="0.2">
      <c r="A225" s="276" t="s">
        <v>1673</v>
      </c>
      <c r="B225" s="172">
        <v>0.1</v>
      </c>
      <c r="C225" s="319">
        <f>'Características Físicas'!E104</f>
        <v>37979.300000000003</v>
      </c>
      <c r="D225" s="319">
        <f>$B$225*$C$225</f>
        <v>3797.9300000000003</v>
      </c>
      <c r="E225" s="319">
        <f t="shared" ref="E225:H225" si="159">$B$225*$C$225</f>
        <v>3797.9300000000003</v>
      </c>
      <c r="F225" s="319">
        <f t="shared" si="159"/>
        <v>3797.9300000000003</v>
      </c>
      <c r="G225" s="319">
        <f t="shared" si="159"/>
        <v>3797.9300000000003</v>
      </c>
      <c r="H225" s="319">
        <f t="shared" si="159"/>
        <v>3797.9300000000003</v>
      </c>
    </row>
    <row r="226" spans="1:8" x14ac:dyDescent="0.2">
      <c r="A226" s="654" t="s">
        <v>1693</v>
      </c>
      <c r="B226" s="655"/>
      <c r="C226" s="293">
        <f>SUM(C224:C225)</f>
        <v>69914.540000000008</v>
      </c>
      <c r="D226" s="293">
        <f t="shared" ref="D226:H226" si="160">SUM(D224:D225)</f>
        <v>11781.740000000002</v>
      </c>
      <c r="E226" s="293">
        <f t="shared" si="160"/>
        <v>11781.740000000002</v>
      </c>
      <c r="F226" s="293">
        <f t="shared" si="160"/>
        <v>11781.740000000002</v>
      </c>
      <c r="G226" s="293">
        <f t="shared" si="160"/>
        <v>11781.740000000002</v>
      </c>
      <c r="H226" s="293">
        <f t="shared" si="160"/>
        <v>3797.9300000000003</v>
      </c>
    </row>
    <row r="228" spans="1:8" x14ac:dyDescent="0.2">
      <c r="A228" s="327" t="s">
        <v>1703</v>
      </c>
    </row>
    <row r="229" spans="1:8" x14ac:dyDescent="0.2">
      <c r="A229" s="315" t="s">
        <v>107</v>
      </c>
      <c r="B229" s="315" t="s">
        <v>1692</v>
      </c>
      <c r="C229" s="315" t="s">
        <v>1690</v>
      </c>
      <c r="D229" s="410">
        <v>2017</v>
      </c>
      <c r="E229" s="410">
        <v>2018</v>
      </c>
      <c r="F229" s="410">
        <v>2019</v>
      </c>
      <c r="G229" s="410">
        <v>2020</v>
      </c>
      <c r="H229" s="410">
        <v>2021</v>
      </c>
    </row>
    <row r="230" spans="1:8" x14ac:dyDescent="0.2">
      <c r="A230" s="276" t="s">
        <v>1704</v>
      </c>
      <c r="B230" s="172">
        <v>1</v>
      </c>
      <c r="C230" s="319">
        <f>'Inversión del Proyecto'!I20</f>
        <v>2944.72</v>
      </c>
      <c r="D230" s="319">
        <f>C230*B230</f>
        <v>2944.72</v>
      </c>
      <c r="E230" s="310">
        <v>0</v>
      </c>
      <c r="F230" s="310">
        <v>0</v>
      </c>
      <c r="G230" s="310">
        <v>0</v>
      </c>
      <c r="H230" s="310">
        <v>0</v>
      </c>
    </row>
    <row r="231" spans="1:8" x14ac:dyDescent="0.2">
      <c r="A231" s="276" t="s">
        <v>1705</v>
      </c>
      <c r="B231" s="172">
        <v>0.2</v>
      </c>
      <c r="C231" s="319">
        <f>'Inversión del Proyecto'!I30</f>
        <v>18999.810000000001</v>
      </c>
      <c r="D231" s="319">
        <f>$C$231*$B$231</f>
        <v>3799.9620000000004</v>
      </c>
      <c r="E231" s="319">
        <f t="shared" ref="E231:H231" si="161">$C$231*$B$231</f>
        <v>3799.9620000000004</v>
      </c>
      <c r="F231" s="319">
        <f t="shared" si="161"/>
        <v>3799.9620000000004</v>
      </c>
      <c r="G231" s="319">
        <f t="shared" si="161"/>
        <v>3799.9620000000004</v>
      </c>
      <c r="H231" s="319">
        <f t="shared" si="161"/>
        <v>3799.9620000000004</v>
      </c>
    </row>
    <row r="232" spans="1:8" x14ac:dyDescent="0.2">
      <c r="A232" s="276" t="s">
        <v>1706</v>
      </c>
      <c r="B232" s="172">
        <v>0.2</v>
      </c>
      <c r="C232" s="319">
        <f>'Inversión del Proyecto'!I37</f>
        <v>799</v>
      </c>
      <c r="D232" s="319">
        <f>$C$232*$B$232</f>
        <v>159.80000000000001</v>
      </c>
      <c r="E232" s="319">
        <f t="shared" ref="E232:H232" si="162">$C$232*$B$232</f>
        <v>159.80000000000001</v>
      </c>
      <c r="F232" s="319">
        <f t="shared" si="162"/>
        <v>159.80000000000001</v>
      </c>
      <c r="G232" s="319">
        <f t="shared" si="162"/>
        <v>159.80000000000001</v>
      </c>
      <c r="H232" s="319">
        <f t="shared" si="162"/>
        <v>159.80000000000001</v>
      </c>
    </row>
    <row r="233" spans="1:8" x14ac:dyDescent="0.2">
      <c r="A233" s="654" t="s">
        <v>1707</v>
      </c>
      <c r="B233" s="655"/>
      <c r="C233" s="293">
        <f>SUM(C230:C232)</f>
        <v>22743.530000000002</v>
      </c>
      <c r="D233" s="293">
        <f t="shared" ref="D233:H233" si="163">SUM(D230:D232)</f>
        <v>6904.4820000000009</v>
      </c>
      <c r="E233" s="293">
        <f t="shared" si="163"/>
        <v>3959.7620000000006</v>
      </c>
      <c r="F233" s="293">
        <f t="shared" si="163"/>
        <v>3959.7620000000006</v>
      </c>
      <c r="G233" s="293">
        <f t="shared" si="163"/>
        <v>3959.7620000000006</v>
      </c>
      <c r="H233" s="293">
        <f t="shared" si="163"/>
        <v>3959.7620000000006</v>
      </c>
    </row>
    <row r="235" spans="1:8" x14ac:dyDescent="0.2">
      <c r="A235" s="327" t="s">
        <v>1708</v>
      </c>
    </row>
    <row r="236" spans="1:8" x14ac:dyDescent="0.2">
      <c r="A236" s="315" t="s">
        <v>107</v>
      </c>
      <c r="B236" s="410">
        <v>2017</v>
      </c>
      <c r="C236" s="410">
        <v>2018</v>
      </c>
      <c r="D236" s="410">
        <v>2019</v>
      </c>
      <c r="E236" s="410">
        <v>2020</v>
      </c>
      <c r="F236" s="410">
        <v>2021</v>
      </c>
    </row>
    <row r="237" spans="1:8" x14ac:dyDescent="0.2">
      <c r="A237" s="276" t="s">
        <v>1326</v>
      </c>
      <c r="B237" s="319">
        <f>(('Estudio Organizacional'!$AG$160+'Estudio Organizacional'!$AG$161)*297+'Estudio Organizacional'!$AF$160)*12</f>
        <v>25188.396000000001</v>
      </c>
      <c r="C237" s="319">
        <f>(('Estudio Organizacional'!$AG$160+'Estudio Organizacional'!$AG$161)*297+'Estudio Organizacional'!$AF$160)*12</f>
        <v>25188.396000000001</v>
      </c>
      <c r="D237" s="319">
        <f>(('Estudio Organizacional'!$AG$160+'Estudio Organizacional'!$AG$161)*297+'Estudio Organizacional'!$AF$160)*12</f>
        <v>25188.396000000001</v>
      </c>
      <c r="E237" s="319">
        <f>(('Estudio Organizacional'!$AG$160+'Estudio Organizacional'!$AG$161)*297+'Estudio Organizacional'!$AF$160)*12</f>
        <v>25188.396000000001</v>
      </c>
      <c r="F237" s="319">
        <f>(('Estudio Organizacional'!$AG$160+'Estudio Organizacional'!$AG$161)*297+'Estudio Organizacional'!$AF$160)*12</f>
        <v>25188.396000000001</v>
      </c>
    </row>
    <row r="238" spans="1:8" x14ac:dyDescent="0.2">
      <c r="A238" s="276" t="s">
        <v>1325</v>
      </c>
      <c r="B238" s="319">
        <f>$Y$196</f>
        <v>2675.6288832</v>
      </c>
      <c r="C238" s="319">
        <f t="shared" ref="C238:F238" si="164">$Y$196</f>
        <v>2675.6288832</v>
      </c>
      <c r="D238" s="319">
        <f t="shared" si="164"/>
        <v>2675.6288832</v>
      </c>
      <c r="E238" s="319">
        <f t="shared" si="164"/>
        <v>2675.6288832</v>
      </c>
      <c r="F238" s="319">
        <f t="shared" si="164"/>
        <v>2675.6288832</v>
      </c>
    </row>
    <row r="239" spans="1:8" x14ac:dyDescent="0.2">
      <c r="A239" s="18" t="s">
        <v>1327</v>
      </c>
      <c r="B239" s="319">
        <f>'Estudio Organizacional'!$AF$162*12</f>
        <v>1558.8000000000002</v>
      </c>
      <c r="C239" s="319">
        <f>'Estudio Organizacional'!$AF$162*12</f>
        <v>1558.8000000000002</v>
      </c>
      <c r="D239" s="319">
        <f>'Estudio Organizacional'!$AF$162*12</f>
        <v>1558.8000000000002</v>
      </c>
      <c r="E239" s="319">
        <f>'Estudio Organizacional'!$AF$162*12</f>
        <v>1558.8000000000002</v>
      </c>
      <c r="F239" s="319">
        <f>'Estudio Organizacional'!$AF$162*12</f>
        <v>1558.8000000000002</v>
      </c>
    </row>
    <row r="240" spans="1:8" x14ac:dyDescent="0.2">
      <c r="A240" s="18" t="s">
        <v>1330</v>
      </c>
      <c r="B240" s="319">
        <f>('Estudio Organizacional'!$AF$146*2*3)*12</f>
        <v>86400</v>
      </c>
      <c r="C240" s="319">
        <f>('Estudio Organizacional'!$AF$146*2*3)*12</f>
        <v>86400</v>
      </c>
      <c r="D240" s="319">
        <f>('Estudio Organizacional'!$AF$146*2*3)*12</f>
        <v>86400</v>
      </c>
      <c r="E240" s="319">
        <f>('Estudio Organizacional'!$AF$146*2*3)*12</f>
        <v>86400</v>
      </c>
      <c r="F240" s="319">
        <f>('Estudio Organizacional'!$AF$146*2*3)*12</f>
        <v>86400</v>
      </c>
    </row>
    <row r="241" spans="1:6" x14ac:dyDescent="0.2">
      <c r="A241" s="18" t="s">
        <v>1547</v>
      </c>
      <c r="B241" s="319">
        <f>('Estudio Organizacional'!$AF$149*12)*4</f>
        <v>17280</v>
      </c>
      <c r="C241" s="319">
        <f>('Estudio Organizacional'!$AF$149*12)*4</f>
        <v>17280</v>
      </c>
      <c r="D241" s="319">
        <f>('Estudio Organizacional'!$AF$149*12)*4</f>
        <v>17280</v>
      </c>
      <c r="E241" s="319">
        <f>('Estudio Organizacional'!$AF$149*12)*4</f>
        <v>17280</v>
      </c>
      <c r="F241" s="319">
        <f>('Estudio Organizacional'!$AF$149*12)*4</f>
        <v>17280</v>
      </c>
    </row>
    <row r="242" spans="1:6" x14ac:dyDescent="0.2">
      <c r="A242" s="203" t="s">
        <v>1685</v>
      </c>
      <c r="B242" s="293">
        <f>SUM(B237:B241)</f>
        <v>133102.8248832</v>
      </c>
      <c r="C242" s="293">
        <f t="shared" ref="C242:F242" si="165">SUM(C237:C241)</f>
        <v>133102.8248832</v>
      </c>
      <c r="D242" s="293">
        <f t="shared" si="165"/>
        <v>133102.8248832</v>
      </c>
      <c r="E242" s="293">
        <f t="shared" si="165"/>
        <v>133102.8248832</v>
      </c>
      <c r="F242" s="293">
        <f t="shared" si="165"/>
        <v>133102.8248832</v>
      </c>
    </row>
    <row r="243" spans="1:6" x14ac:dyDescent="0.2">
      <c r="A243" s="203" t="s">
        <v>1686</v>
      </c>
      <c r="B243" s="293">
        <f>B244-B242</f>
        <v>29217.693267043913</v>
      </c>
      <c r="C243" s="293">
        <f t="shared" ref="C243:F243" si="166">C244-C242</f>
        <v>29217.693267043913</v>
      </c>
      <c r="D243" s="293">
        <f t="shared" si="166"/>
        <v>29217.693267043913</v>
      </c>
      <c r="E243" s="293">
        <f t="shared" si="166"/>
        <v>29217.693267043913</v>
      </c>
      <c r="F243" s="293">
        <f t="shared" si="166"/>
        <v>29217.693267043913</v>
      </c>
    </row>
    <row r="244" spans="1:6" x14ac:dyDescent="0.2">
      <c r="A244" s="203" t="s">
        <v>1687</v>
      </c>
      <c r="B244" s="293">
        <f>(B242*100)/82</f>
        <v>162320.51815024391</v>
      </c>
      <c r="C244" s="293">
        <f t="shared" ref="C244:F244" si="167">(C242*100)/82</f>
        <v>162320.51815024391</v>
      </c>
      <c r="D244" s="293">
        <f t="shared" si="167"/>
        <v>162320.51815024391</v>
      </c>
      <c r="E244" s="293">
        <f t="shared" si="167"/>
        <v>162320.51815024391</v>
      </c>
      <c r="F244" s="293">
        <f t="shared" si="167"/>
        <v>162320.51815024391</v>
      </c>
    </row>
    <row r="246" spans="1:6" x14ac:dyDescent="0.2">
      <c r="A246" s="368" t="s">
        <v>1715</v>
      </c>
    </row>
    <row r="247" spans="1:6" x14ac:dyDescent="0.2">
      <c r="A247" s="315" t="s">
        <v>107</v>
      </c>
      <c r="B247" s="410">
        <v>2017</v>
      </c>
      <c r="C247" s="410">
        <v>2018</v>
      </c>
      <c r="D247" s="410">
        <v>2019</v>
      </c>
      <c r="E247" s="410">
        <v>2020</v>
      </c>
      <c r="F247" s="410">
        <v>2021</v>
      </c>
    </row>
    <row r="248" spans="1:6" x14ac:dyDescent="0.2">
      <c r="A248" s="276" t="s">
        <v>1716</v>
      </c>
      <c r="B248" s="319">
        <f>B220</f>
        <v>177465.56666666665</v>
      </c>
      <c r="C248" s="319">
        <f t="shared" ref="C248:F248" si="168">C220</f>
        <v>177465.56666666665</v>
      </c>
      <c r="D248" s="319">
        <f t="shared" si="168"/>
        <v>177465.56666666665</v>
      </c>
      <c r="E248" s="319">
        <f t="shared" si="168"/>
        <v>177465.56666666665</v>
      </c>
      <c r="F248" s="319">
        <f t="shared" si="168"/>
        <v>177465.56666666665</v>
      </c>
    </row>
    <row r="249" spans="1:6" x14ac:dyDescent="0.2">
      <c r="A249" s="276" t="s">
        <v>1700</v>
      </c>
      <c r="B249" s="319">
        <f>D226</f>
        <v>11781.740000000002</v>
      </c>
      <c r="C249" s="319">
        <f t="shared" ref="C249:F249" si="169">E226</f>
        <v>11781.740000000002</v>
      </c>
      <c r="D249" s="319">
        <f t="shared" si="169"/>
        <v>11781.740000000002</v>
      </c>
      <c r="E249" s="319">
        <f t="shared" si="169"/>
        <v>11781.740000000002</v>
      </c>
      <c r="F249" s="319">
        <f t="shared" si="169"/>
        <v>3797.9300000000003</v>
      </c>
    </row>
    <row r="250" spans="1:6" x14ac:dyDescent="0.2">
      <c r="A250" s="276" t="s">
        <v>1703</v>
      </c>
      <c r="B250" s="319">
        <f>D233</f>
        <v>6904.4820000000009</v>
      </c>
      <c r="C250" s="319">
        <f t="shared" ref="C250:F250" si="170">E233</f>
        <v>3959.7620000000006</v>
      </c>
      <c r="D250" s="319">
        <f t="shared" si="170"/>
        <v>3959.7620000000006</v>
      </c>
      <c r="E250" s="319">
        <f t="shared" si="170"/>
        <v>3959.7620000000006</v>
      </c>
      <c r="F250" s="319">
        <f t="shared" si="170"/>
        <v>3959.7620000000006</v>
      </c>
    </row>
    <row r="251" spans="1:6" x14ac:dyDescent="0.2">
      <c r="A251" s="276" t="s">
        <v>1717</v>
      </c>
      <c r="B251" s="319">
        <f>B242</f>
        <v>133102.8248832</v>
      </c>
      <c r="C251" s="319">
        <f t="shared" ref="C251:F251" si="171">C242</f>
        <v>133102.8248832</v>
      </c>
      <c r="D251" s="319">
        <f t="shared" si="171"/>
        <v>133102.8248832</v>
      </c>
      <c r="E251" s="319">
        <f t="shared" si="171"/>
        <v>133102.8248832</v>
      </c>
      <c r="F251" s="319">
        <f t="shared" si="171"/>
        <v>133102.8248832</v>
      </c>
    </row>
    <row r="252" spans="1:6" x14ac:dyDescent="0.2">
      <c r="A252" s="203" t="s">
        <v>1685</v>
      </c>
      <c r="B252" s="293">
        <f>SUM(B248:B251)</f>
        <v>329254.6135498666</v>
      </c>
      <c r="C252" s="293">
        <f>SUM(C248:C251)</f>
        <v>326309.89354986663</v>
      </c>
      <c r="D252" s="293">
        <f>SUM(D248:D251)</f>
        <v>326309.89354986663</v>
      </c>
      <c r="E252" s="293">
        <f>SUM(E248:E251)</f>
        <v>326309.89354986663</v>
      </c>
      <c r="F252" s="293">
        <f>SUM(F248:F251)</f>
        <v>318326.08354986663</v>
      </c>
    </row>
    <row r="253" spans="1:6" x14ac:dyDescent="0.2">
      <c r="A253" s="203" t="s">
        <v>1686</v>
      </c>
      <c r="B253" s="293">
        <f>B243</f>
        <v>29217.693267043913</v>
      </c>
      <c r="C253" s="293">
        <f t="shared" ref="C253:F253" si="172">C243</f>
        <v>29217.693267043913</v>
      </c>
      <c r="D253" s="293">
        <f t="shared" si="172"/>
        <v>29217.693267043913</v>
      </c>
      <c r="E253" s="293">
        <f t="shared" si="172"/>
        <v>29217.693267043913</v>
      </c>
      <c r="F253" s="293">
        <f t="shared" si="172"/>
        <v>29217.693267043913</v>
      </c>
    </row>
    <row r="254" spans="1:6" x14ac:dyDescent="0.2">
      <c r="A254" s="203" t="s">
        <v>1687</v>
      </c>
      <c r="B254" s="293">
        <f>B252+B253</f>
        <v>358472.30681691051</v>
      </c>
      <c r="C254" s="293">
        <f t="shared" ref="C254:F254" si="173">C252+C253</f>
        <v>355527.58681691054</v>
      </c>
      <c r="D254" s="293">
        <f t="shared" si="173"/>
        <v>355527.58681691054</v>
      </c>
      <c r="E254" s="293">
        <f t="shared" si="173"/>
        <v>355527.58681691054</v>
      </c>
      <c r="F254" s="293">
        <f t="shared" si="173"/>
        <v>347543.77681691054</v>
      </c>
    </row>
    <row r="255" spans="1:6" x14ac:dyDescent="0.2">
      <c r="B255" s="446">
        <f>B248+B251+B253</f>
        <v>339786.08481691056</v>
      </c>
      <c r="C255" s="446">
        <f t="shared" ref="C255:F255" si="174">C248+C251+C253</f>
        <v>339786.08481691056</v>
      </c>
      <c r="D255" s="446">
        <f t="shared" si="174"/>
        <v>339786.08481691056</v>
      </c>
      <c r="E255" s="446">
        <f t="shared" si="174"/>
        <v>339786.08481691056</v>
      </c>
      <c r="F255" s="446">
        <f t="shared" si="174"/>
        <v>339786.08481691056</v>
      </c>
    </row>
    <row r="256" spans="1:6" x14ac:dyDescent="0.2">
      <c r="A256" s="327" t="s">
        <v>1748</v>
      </c>
    </row>
    <row r="257" spans="1:9" x14ac:dyDescent="0.2">
      <c r="A257" s="362" t="s">
        <v>107</v>
      </c>
      <c r="B257" s="410">
        <v>2017</v>
      </c>
      <c r="C257" s="410">
        <v>2018</v>
      </c>
      <c r="D257" s="410">
        <v>2019</v>
      </c>
      <c r="E257" s="410">
        <v>2020</v>
      </c>
      <c r="F257" s="410">
        <v>2021</v>
      </c>
    </row>
    <row r="258" spans="1:9" x14ac:dyDescent="0.2">
      <c r="A258" s="18" t="s">
        <v>1185</v>
      </c>
      <c r="B258" s="319">
        <f>'Estudio Organizacional'!Y67</f>
        <v>50122.666666666664</v>
      </c>
      <c r="C258" s="319">
        <f>'Estudio Organizacional'!Y87</f>
        <v>50122.666666666664</v>
      </c>
      <c r="D258" s="319">
        <f>'Estudio Organizacional'!Y107</f>
        <v>50122.666666666664</v>
      </c>
      <c r="E258" s="319">
        <f>'Estudio Organizacional'!Y127</f>
        <v>50122.666666666664</v>
      </c>
      <c r="F258" s="319">
        <f>'Estudio Organizacional'!Y147</f>
        <v>50122.666666666664</v>
      </c>
    </row>
    <row r="259" spans="1:9" x14ac:dyDescent="0.2">
      <c r="A259" s="18" t="s">
        <v>1188</v>
      </c>
      <c r="B259" s="319">
        <f>'Estudio Organizacional'!Y69</f>
        <v>31326.666666666668</v>
      </c>
      <c r="C259" s="319">
        <f>'Estudio Organizacional'!Y89</f>
        <v>31326.666666666668</v>
      </c>
      <c r="D259" s="319">
        <f>'Estudio Organizacional'!Y109</f>
        <v>31326.666666666668</v>
      </c>
      <c r="E259" s="319">
        <f>'Estudio Organizacional'!Y129</f>
        <v>31326.666666666668</v>
      </c>
      <c r="F259" s="319">
        <f>'Estudio Organizacional'!Y149</f>
        <v>31326.666666666668</v>
      </c>
    </row>
    <row r="260" spans="1:9" x14ac:dyDescent="0.2">
      <c r="A260" s="18" t="s">
        <v>1189</v>
      </c>
      <c r="B260" s="319">
        <f>'Estudio Organizacional'!Y70</f>
        <v>31326.666666666668</v>
      </c>
      <c r="C260" s="319">
        <f>'Estudio Organizacional'!Y90</f>
        <v>31326.666666666668</v>
      </c>
      <c r="D260" s="319">
        <f>'Estudio Organizacional'!Y110</f>
        <v>31326.666666666668</v>
      </c>
      <c r="E260" s="319">
        <f>'Estudio Organizacional'!Y130</f>
        <v>31326.666666666668</v>
      </c>
      <c r="F260" s="319">
        <f>'Estudio Organizacional'!Y150</f>
        <v>31326.666666666668</v>
      </c>
    </row>
    <row r="261" spans="1:9" x14ac:dyDescent="0.2">
      <c r="A261" s="18" t="s">
        <v>1194</v>
      </c>
      <c r="B261" s="319">
        <f>'Estudio Organizacional'!Y76</f>
        <v>18796</v>
      </c>
      <c r="C261" s="319">
        <f>'Estudio Organizacional'!Y96</f>
        <v>18796</v>
      </c>
      <c r="D261" s="319">
        <f>'Estudio Organizacional'!Y116</f>
        <v>18796</v>
      </c>
      <c r="E261" s="319">
        <f>'Estudio Organizacional'!Y136</f>
        <v>18796</v>
      </c>
      <c r="F261" s="319">
        <f>'Estudio Organizacional'!Y156</f>
        <v>18796</v>
      </c>
    </row>
    <row r="262" spans="1:9" x14ac:dyDescent="0.2">
      <c r="A262" s="18" t="s">
        <v>1196</v>
      </c>
      <c r="B262" s="319">
        <f>'Estudio Organizacional'!Y78</f>
        <v>44830</v>
      </c>
      <c r="C262" s="319">
        <f>'Estudio Organizacional'!Y98</f>
        <v>44830</v>
      </c>
      <c r="D262" s="319">
        <f>'Estudio Organizacional'!Y118</f>
        <v>44830</v>
      </c>
      <c r="E262" s="319">
        <f>'Estudio Organizacional'!Y138</f>
        <v>44830</v>
      </c>
      <c r="F262" s="319">
        <f>'Estudio Organizacional'!Y158</f>
        <v>44830</v>
      </c>
    </row>
    <row r="263" spans="1:9" x14ac:dyDescent="0.2">
      <c r="A263" s="203" t="s">
        <v>1334</v>
      </c>
      <c r="B263" s="293">
        <f>SUM(B258:B262)</f>
        <v>176402</v>
      </c>
      <c r="C263" s="293">
        <f t="shared" ref="C263:F263" si="175">SUM(C258:C262)</f>
        <v>176402</v>
      </c>
      <c r="D263" s="293">
        <f t="shared" si="175"/>
        <v>176402</v>
      </c>
      <c r="E263" s="293">
        <f t="shared" si="175"/>
        <v>176402</v>
      </c>
      <c r="F263" s="293">
        <f t="shared" si="175"/>
        <v>176402</v>
      </c>
    </row>
    <row r="265" spans="1:9" x14ac:dyDescent="0.2">
      <c r="A265" s="327" t="s">
        <v>1718</v>
      </c>
    </row>
    <row r="266" spans="1:9" x14ac:dyDescent="0.2">
      <c r="A266" s="362" t="s">
        <v>107</v>
      </c>
      <c r="B266" s="410">
        <v>2017</v>
      </c>
      <c r="C266" s="410">
        <v>2018</v>
      </c>
      <c r="D266" s="410">
        <v>2019</v>
      </c>
      <c r="E266" s="410">
        <v>2020</v>
      </c>
      <c r="F266" s="410">
        <v>2021</v>
      </c>
    </row>
    <row r="267" spans="1:9" x14ac:dyDescent="0.2">
      <c r="A267" s="18" t="s">
        <v>1749</v>
      </c>
      <c r="B267" s="319">
        <f>('Estudio Organizacional'!$AF$165*10)*8*12</f>
        <v>38400</v>
      </c>
      <c r="C267" s="319">
        <f>('Estudio Organizacional'!$AF$165*10)*8*12</f>
        <v>38400</v>
      </c>
      <c r="D267" s="319">
        <v>0</v>
      </c>
      <c r="E267" s="319">
        <v>0</v>
      </c>
      <c r="F267" s="319">
        <v>0</v>
      </c>
    </row>
    <row r="268" spans="1:9" x14ac:dyDescent="0.2">
      <c r="A268" s="18" t="s">
        <v>1752</v>
      </c>
      <c r="B268" s="319">
        <f>200*12*10</f>
        <v>24000</v>
      </c>
      <c r="C268" s="319">
        <f t="shared" ref="C268:F268" si="176">200*12*10</f>
        <v>24000</v>
      </c>
      <c r="D268" s="319">
        <f t="shared" si="176"/>
        <v>24000</v>
      </c>
      <c r="E268" s="319">
        <f t="shared" si="176"/>
        <v>24000</v>
      </c>
      <c r="F268" s="319">
        <f t="shared" si="176"/>
        <v>24000</v>
      </c>
      <c r="H268" s="9" t="s">
        <v>1758</v>
      </c>
      <c r="I268" s="9" t="s">
        <v>1755</v>
      </c>
    </row>
    <row r="269" spans="1:9" x14ac:dyDescent="0.2">
      <c r="A269" s="18" t="s">
        <v>1753</v>
      </c>
      <c r="B269" s="319">
        <f>50*10*12</f>
        <v>6000</v>
      </c>
      <c r="C269" s="319">
        <f t="shared" ref="C269:F270" si="177">50*10*12</f>
        <v>6000</v>
      </c>
      <c r="D269" s="319">
        <f t="shared" si="177"/>
        <v>6000</v>
      </c>
      <c r="E269" s="319">
        <f t="shared" si="177"/>
        <v>6000</v>
      </c>
      <c r="F269" s="319">
        <f t="shared" si="177"/>
        <v>6000</v>
      </c>
      <c r="H269" s="9" t="s">
        <v>1759</v>
      </c>
      <c r="I269" s="9" t="s">
        <v>1756</v>
      </c>
    </row>
    <row r="270" spans="1:9" x14ac:dyDescent="0.2">
      <c r="A270" s="18" t="s">
        <v>1754</v>
      </c>
      <c r="B270" s="319">
        <f>50*10*12</f>
        <v>6000</v>
      </c>
      <c r="C270" s="319">
        <f t="shared" si="177"/>
        <v>6000</v>
      </c>
      <c r="D270" s="319">
        <f t="shared" si="177"/>
        <v>6000</v>
      </c>
      <c r="E270" s="319">
        <f t="shared" si="177"/>
        <v>6000</v>
      </c>
      <c r="F270" s="319">
        <f t="shared" si="177"/>
        <v>6000</v>
      </c>
      <c r="H270" s="9" t="s">
        <v>1759</v>
      </c>
      <c r="I270" s="9" t="s">
        <v>1757</v>
      </c>
    </row>
    <row r="271" spans="1:9" x14ac:dyDescent="0.2">
      <c r="A271" s="203" t="s">
        <v>1685</v>
      </c>
      <c r="B271" s="293">
        <f>SUM(B267:B270)</f>
        <v>74400</v>
      </c>
      <c r="C271" s="293">
        <f t="shared" ref="C271:F271" si="178">SUM(C267:C270)</f>
        <v>74400</v>
      </c>
      <c r="D271" s="293">
        <f t="shared" si="178"/>
        <v>36000</v>
      </c>
      <c r="E271" s="293">
        <f t="shared" si="178"/>
        <v>36000</v>
      </c>
      <c r="F271" s="293">
        <f t="shared" si="178"/>
        <v>36000</v>
      </c>
    </row>
    <row r="272" spans="1:9" x14ac:dyDescent="0.2">
      <c r="A272" s="203" t="s">
        <v>1686</v>
      </c>
      <c r="B272" s="293">
        <f>B273-B271</f>
        <v>16331.707317073175</v>
      </c>
      <c r="C272" s="293">
        <f t="shared" ref="C272:F272" si="179">C273-C271</f>
        <v>16331.707317073175</v>
      </c>
      <c r="D272" s="293">
        <f t="shared" si="179"/>
        <v>7902.4390243902453</v>
      </c>
      <c r="E272" s="293">
        <f t="shared" si="179"/>
        <v>7902.4390243902453</v>
      </c>
      <c r="F272" s="293">
        <f t="shared" si="179"/>
        <v>7902.4390243902453</v>
      </c>
    </row>
    <row r="273" spans="1:6" x14ac:dyDescent="0.2">
      <c r="A273" s="203" t="s">
        <v>1687</v>
      </c>
      <c r="B273" s="293">
        <f>(B271*100)/82</f>
        <v>90731.707317073175</v>
      </c>
      <c r="C273" s="293">
        <f t="shared" ref="C273:F273" si="180">(C271*100)/82</f>
        <v>90731.707317073175</v>
      </c>
      <c r="D273" s="293">
        <f t="shared" si="180"/>
        <v>43902.439024390245</v>
      </c>
      <c r="E273" s="293">
        <f t="shared" si="180"/>
        <v>43902.439024390245</v>
      </c>
      <c r="F273" s="293">
        <f t="shared" si="180"/>
        <v>43902.439024390245</v>
      </c>
    </row>
    <row r="275" spans="1:6" x14ac:dyDescent="0.2">
      <c r="A275" s="368" t="s">
        <v>1718</v>
      </c>
    </row>
    <row r="276" spans="1:6" x14ac:dyDescent="0.2">
      <c r="A276" s="362" t="s">
        <v>107</v>
      </c>
      <c r="B276" s="410">
        <v>2017</v>
      </c>
      <c r="C276" s="410">
        <v>2018</v>
      </c>
      <c r="D276" s="410">
        <v>2019</v>
      </c>
      <c r="E276" s="410">
        <v>2020</v>
      </c>
      <c r="F276" s="410">
        <v>2021</v>
      </c>
    </row>
    <row r="277" spans="1:6" x14ac:dyDescent="0.2">
      <c r="A277" s="18" t="s">
        <v>1747</v>
      </c>
      <c r="B277" s="319">
        <f>B263</f>
        <v>176402</v>
      </c>
      <c r="C277" s="319">
        <f t="shared" ref="C277:F277" si="181">C263</f>
        <v>176402</v>
      </c>
      <c r="D277" s="319">
        <f t="shared" si="181"/>
        <v>176402</v>
      </c>
      <c r="E277" s="319">
        <f t="shared" si="181"/>
        <v>176402</v>
      </c>
      <c r="F277" s="319">
        <f t="shared" si="181"/>
        <v>176402</v>
      </c>
    </row>
    <row r="278" spans="1:6" x14ac:dyDescent="0.2">
      <c r="A278" s="18" t="s">
        <v>1303</v>
      </c>
      <c r="B278" s="319">
        <f>B271</f>
        <v>74400</v>
      </c>
      <c r="C278" s="319">
        <f t="shared" ref="C278:F278" si="182">C271</f>
        <v>74400</v>
      </c>
      <c r="D278" s="319">
        <f t="shared" si="182"/>
        <v>36000</v>
      </c>
      <c r="E278" s="319">
        <f t="shared" si="182"/>
        <v>36000</v>
      </c>
      <c r="F278" s="319">
        <f t="shared" si="182"/>
        <v>36000</v>
      </c>
    </row>
    <row r="279" spans="1:6" x14ac:dyDescent="0.2">
      <c r="A279" s="203" t="s">
        <v>1685</v>
      </c>
      <c r="B279" s="293">
        <f>SUM(B277:B278)</f>
        <v>250802</v>
      </c>
      <c r="C279" s="293">
        <f t="shared" ref="C279:F279" si="183">SUM(C277:C278)</f>
        <v>250802</v>
      </c>
      <c r="D279" s="293">
        <f t="shared" si="183"/>
        <v>212402</v>
      </c>
      <c r="E279" s="293">
        <f t="shared" si="183"/>
        <v>212402</v>
      </c>
      <c r="F279" s="293">
        <f t="shared" si="183"/>
        <v>212402</v>
      </c>
    </row>
    <row r="280" spans="1:6" x14ac:dyDescent="0.2">
      <c r="A280" s="203" t="s">
        <v>1686</v>
      </c>
      <c r="B280" s="293">
        <f>B272</f>
        <v>16331.707317073175</v>
      </c>
      <c r="C280" s="293">
        <f t="shared" ref="C280:F280" si="184">C272</f>
        <v>16331.707317073175</v>
      </c>
      <c r="D280" s="293">
        <f t="shared" si="184"/>
        <v>7902.4390243902453</v>
      </c>
      <c r="E280" s="293">
        <f t="shared" si="184"/>
        <v>7902.4390243902453</v>
      </c>
      <c r="F280" s="293">
        <f t="shared" si="184"/>
        <v>7902.4390243902453</v>
      </c>
    </row>
    <row r="281" spans="1:6" x14ac:dyDescent="0.2">
      <c r="A281" s="203" t="s">
        <v>1687</v>
      </c>
      <c r="B281" s="293">
        <f>B279+B280</f>
        <v>267133.70731707319</v>
      </c>
      <c r="C281" s="293">
        <f t="shared" ref="C281:F281" si="185">C279+C280</f>
        <v>267133.70731707319</v>
      </c>
      <c r="D281" s="293">
        <f t="shared" si="185"/>
        <v>220304.43902439025</v>
      </c>
      <c r="E281" s="293">
        <f t="shared" si="185"/>
        <v>220304.43902439025</v>
      </c>
      <c r="F281" s="293">
        <f t="shared" si="185"/>
        <v>220304.43902439025</v>
      </c>
    </row>
    <row r="283" spans="1:6" x14ac:dyDescent="0.2">
      <c r="A283" s="368" t="s">
        <v>1765</v>
      </c>
    </row>
    <row r="284" spans="1:6" x14ac:dyDescent="0.2">
      <c r="B284" s="410">
        <v>2017</v>
      </c>
      <c r="C284" s="410">
        <v>2018</v>
      </c>
      <c r="D284" s="410">
        <v>2019</v>
      </c>
      <c r="E284" s="410">
        <v>2020</v>
      </c>
      <c r="F284" s="410">
        <v>2021</v>
      </c>
    </row>
    <row r="285" spans="1:6" x14ac:dyDescent="0.2">
      <c r="A285" s="203" t="s">
        <v>1334</v>
      </c>
      <c r="B285" s="319">
        <f>'Financiamiento del Proyecto'!AC47</f>
        <v>37534.591014905833</v>
      </c>
      <c r="C285" s="319">
        <f>'Financiamiento del Proyecto'!AC48</f>
        <v>24888.95130146456</v>
      </c>
      <c r="D285" s="319">
        <f>'Financiamiento del Proyecto'!AC49</f>
        <v>18307.717153924743</v>
      </c>
      <c r="E285" s="319">
        <f>'Financiamiento del Proyecto'!AC50</f>
        <v>13054.989673913762</v>
      </c>
      <c r="F285" s="319">
        <f>'Financiamiento del Proyecto'!AC51</f>
        <v>6993.8674347290898</v>
      </c>
    </row>
  </sheetData>
  <mergeCells count="27">
    <mergeCell ref="X186:X188"/>
    <mergeCell ref="V189:V196"/>
    <mergeCell ref="W189:W196"/>
    <mergeCell ref="P186:P188"/>
    <mergeCell ref="Q186:Q188"/>
    <mergeCell ref="R186:R188"/>
    <mergeCell ref="S186:S188"/>
    <mergeCell ref="T186:T188"/>
    <mergeCell ref="U186:U188"/>
    <mergeCell ref="V186:V188"/>
    <mergeCell ref="W186:W188"/>
    <mergeCell ref="A233:B233"/>
    <mergeCell ref="X176:X178"/>
    <mergeCell ref="Y176:Y178"/>
    <mergeCell ref="A192:B192"/>
    <mergeCell ref="A226:B226"/>
    <mergeCell ref="T176:T178"/>
    <mergeCell ref="U176:U178"/>
    <mergeCell ref="V176:V178"/>
    <mergeCell ref="W176:W178"/>
    <mergeCell ref="V179:V184"/>
    <mergeCell ref="W179:W184"/>
    <mergeCell ref="P176:P178"/>
    <mergeCell ref="Q176:Q178"/>
    <mergeCell ref="R176:R178"/>
    <mergeCell ref="S176:S178"/>
    <mergeCell ref="Y186:Y188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6"/>
  <sheetViews>
    <sheetView workbookViewId="0">
      <selection activeCell="F22" sqref="F22"/>
    </sheetView>
  </sheetViews>
  <sheetFormatPr baseColWidth="10" defaultColWidth="10.85546875" defaultRowHeight="12.75" x14ac:dyDescent="0.2"/>
  <cols>
    <col min="1" max="1" width="10.85546875" style="9"/>
    <col min="2" max="2" width="34.42578125" style="9" bestFit="1" customWidth="1"/>
    <col min="3" max="16384" width="10.85546875" style="9"/>
  </cols>
  <sheetData>
    <row r="2" spans="2:8" x14ac:dyDescent="0.2">
      <c r="B2" s="359" t="s">
        <v>22</v>
      </c>
      <c r="C2" s="359">
        <v>2017</v>
      </c>
      <c r="D2" s="359">
        <v>2018</v>
      </c>
      <c r="E2" s="359">
        <v>2019</v>
      </c>
      <c r="F2" s="359">
        <v>2020</v>
      </c>
      <c r="G2" s="359">
        <v>2021</v>
      </c>
    </row>
    <row r="3" spans="2:8" x14ac:dyDescent="0.2">
      <c r="B3" s="527" t="s">
        <v>1766</v>
      </c>
      <c r="C3" s="527"/>
      <c r="D3" s="527"/>
      <c r="E3" s="527"/>
      <c r="F3" s="527"/>
      <c r="G3" s="527"/>
    </row>
    <row r="4" spans="2:8" x14ac:dyDescent="0.2">
      <c r="B4" s="367" t="s">
        <v>1302</v>
      </c>
      <c r="C4" s="319">
        <f>Presupuesto!B168</f>
        <v>214617.3</v>
      </c>
      <c r="D4" s="319">
        <f>Presupuesto!C168</f>
        <v>241742.3</v>
      </c>
      <c r="E4" s="319">
        <f>Presupuesto!D168</f>
        <v>268867.3</v>
      </c>
      <c r="F4" s="319">
        <f>Presupuesto!E168</f>
        <v>295992.30000000005</v>
      </c>
      <c r="G4" s="319">
        <f>Presupuesto!F168</f>
        <v>323117.30000000005</v>
      </c>
      <c r="H4" s="176"/>
    </row>
    <row r="5" spans="2:8" x14ac:dyDescent="0.2">
      <c r="B5" s="367" t="s">
        <v>1773</v>
      </c>
      <c r="C5" s="319">
        <f>Presupuesto!B198</f>
        <v>249622.49973333333</v>
      </c>
      <c r="D5" s="319">
        <f>Presupuesto!C198</f>
        <v>254422.49973333333</v>
      </c>
      <c r="E5" s="319">
        <f>Presupuesto!D198</f>
        <v>268822.4997333333</v>
      </c>
      <c r="F5" s="319">
        <f>Presupuesto!E198</f>
        <v>268822.4997333333</v>
      </c>
      <c r="G5" s="319">
        <f>Presupuesto!F198</f>
        <v>268822.4997333333</v>
      </c>
      <c r="H5" s="176"/>
    </row>
    <row r="6" spans="2:8" x14ac:dyDescent="0.2">
      <c r="B6" s="367" t="s">
        <v>1774</v>
      </c>
      <c r="C6" s="319">
        <f>Presupuesto!B252</f>
        <v>329254.6135498666</v>
      </c>
      <c r="D6" s="319">
        <f>Presupuesto!C252</f>
        <v>326309.89354986663</v>
      </c>
      <c r="E6" s="319">
        <f>Presupuesto!D252</f>
        <v>326309.89354986663</v>
      </c>
      <c r="F6" s="319">
        <f>Presupuesto!E252</f>
        <v>326309.89354986663</v>
      </c>
      <c r="G6" s="319">
        <f>Presupuesto!F252</f>
        <v>318326.08354986663</v>
      </c>
      <c r="H6" s="176"/>
    </row>
    <row r="7" spans="2:8" x14ac:dyDescent="0.2">
      <c r="B7" s="367" t="s">
        <v>1775</v>
      </c>
      <c r="C7" s="319">
        <f>Presupuesto!B279</f>
        <v>250802</v>
      </c>
      <c r="D7" s="319">
        <f>Presupuesto!C279</f>
        <v>250802</v>
      </c>
      <c r="E7" s="319">
        <f>Presupuesto!D279</f>
        <v>212402</v>
      </c>
      <c r="F7" s="319">
        <f>Presupuesto!E279</f>
        <v>212402</v>
      </c>
      <c r="G7" s="319">
        <f>Presupuesto!F279</f>
        <v>212402</v>
      </c>
      <c r="H7" s="176"/>
    </row>
    <row r="8" spans="2:8" x14ac:dyDescent="0.2">
      <c r="B8" s="367" t="s">
        <v>1767</v>
      </c>
      <c r="C8" s="319">
        <f>Presupuesto!B285</f>
        <v>37534.591014905833</v>
      </c>
      <c r="D8" s="319">
        <f>Presupuesto!C285</f>
        <v>24888.95130146456</v>
      </c>
      <c r="E8" s="319">
        <f>Presupuesto!D285</f>
        <v>18307.717153924743</v>
      </c>
      <c r="F8" s="319">
        <f>Presupuesto!E285</f>
        <v>13054.989673913762</v>
      </c>
      <c r="G8" s="319">
        <f>Presupuesto!F285</f>
        <v>6993.8674347290898</v>
      </c>
      <c r="H8" s="176"/>
    </row>
    <row r="9" spans="2:8" x14ac:dyDescent="0.2">
      <c r="B9" s="382" t="s">
        <v>1768</v>
      </c>
      <c r="C9" s="196">
        <f>SUM(C4:C8)</f>
        <v>1081831.0042981058</v>
      </c>
      <c r="D9" s="196">
        <f t="shared" ref="D9:G9" si="0">SUM(D4:D8)</f>
        <v>1098165.6445846644</v>
      </c>
      <c r="E9" s="196">
        <f t="shared" si="0"/>
        <v>1094709.4104371245</v>
      </c>
      <c r="F9" s="196">
        <f t="shared" si="0"/>
        <v>1116581.6829571135</v>
      </c>
      <c r="G9" s="196">
        <f t="shared" si="0"/>
        <v>1129661.7507179291</v>
      </c>
    </row>
    <row r="10" spans="2:8" x14ac:dyDescent="0.2">
      <c r="B10" s="527" t="s">
        <v>1769</v>
      </c>
      <c r="C10" s="527"/>
      <c r="D10" s="527"/>
      <c r="E10" s="527"/>
      <c r="F10" s="527"/>
      <c r="G10" s="527"/>
    </row>
    <row r="11" spans="2:8" x14ac:dyDescent="0.2">
      <c r="B11" s="367" t="s">
        <v>137</v>
      </c>
      <c r="C11" s="319">
        <f>Presupuesto!B162</f>
        <v>245586.40547082815</v>
      </c>
      <c r="D11" s="319">
        <f>Presupuesto!C162</f>
        <v>452998.75827779691</v>
      </c>
      <c r="E11" s="319">
        <f>Presupuesto!D162</f>
        <v>729124.4058797122</v>
      </c>
      <c r="F11" s="319">
        <f>Presupuesto!E162</f>
        <v>1082870.6272314759</v>
      </c>
      <c r="G11" s="319">
        <f>Presupuesto!F162</f>
        <v>1519327.2960215996</v>
      </c>
      <c r="H11" s="176"/>
    </row>
    <row r="12" spans="2:8" x14ac:dyDescent="0.2">
      <c r="B12" s="382" t="s">
        <v>1770</v>
      </c>
      <c r="C12" s="196">
        <f>C11</f>
        <v>245586.40547082815</v>
      </c>
      <c r="D12" s="196">
        <f>D11</f>
        <v>452998.75827779691</v>
      </c>
      <c r="E12" s="196">
        <f>E11</f>
        <v>729124.4058797122</v>
      </c>
      <c r="F12" s="196">
        <f>F11</f>
        <v>1082870.6272314759</v>
      </c>
      <c r="G12" s="196">
        <f>G11</f>
        <v>1519327.2960215996</v>
      </c>
    </row>
    <row r="13" spans="2:8" x14ac:dyDescent="0.2">
      <c r="B13" s="367" t="s">
        <v>1771</v>
      </c>
      <c r="C13" s="319">
        <f>C9</f>
        <v>1081831.0042981058</v>
      </c>
      <c r="D13" s="319">
        <f>D9</f>
        <v>1098165.6445846644</v>
      </c>
      <c r="E13" s="319">
        <f>E9</f>
        <v>1094709.4104371245</v>
      </c>
      <c r="F13" s="319">
        <f>F9</f>
        <v>1116581.6829571135</v>
      </c>
      <c r="G13" s="319">
        <f>G9</f>
        <v>1129661.7507179291</v>
      </c>
    </row>
    <row r="14" spans="2:8" x14ac:dyDescent="0.2">
      <c r="B14" s="367" t="s">
        <v>1772</v>
      </c>
      <c r="C14" s="177">
        <v>1.24</v>
      </c>
      <c r="D14" s="177">
        <v>1.24</v>
      </c>
      <c r="E14" s="177">
        <v>1.24</v>
      </c>
      <c r="F14" s="177">
        <v>1.24</v>
      </c>
      <c r="G14" s="177">
        <v>1.24</v>
      </c>
    </row>
    <row r="15" spans="2:8" x14ac:dyDescent="0.2">
      <c r="B15" s="367" t="s">
        <v>1776</v>
      </c>
      <c r="C15" s="177">
        <v>3.69</v>
      </c>
      <c r="D15" s="177">
        <v>3.69</v>
      </c>
      <c r="E15" s="177">
        <v>3.69</v>
      </c>
      <c r="F15" s="177">
        <v>3.69</v>
      </c>
      <c r="G15" s="177">
        <v>3.69</v>
      </c>
    </row>
    <row r="16" spans="2:8" x14ac:dyDescent="0.2">
      <c r="B16" s="367" t="s">
        <v>1777</v>
      </c>
      <c r="C16" s="319">
        <f>C9/(C15-C14)</f>
        <v>441563.67522371665</v>
      </c>
      <c r="D16" s="319">
        <f>D9/(D15-D14)</f>
        <v>448230.87534067931</v>
      </c>
      <c r="E16" s="319">
        <f>E9/(E15-E14)</f>
        <v>446820.16752535693</v>
      </c>
      <c r="F16" s="319">
        <f>F9/(F15-F14)</f>
        <v>455747.62569678097</v>
      </c>
      <c r="G16" s="319">
        <f>G9/(G15-G14)</f>
        <v>461086.42886446085</v>
      </c>
    </row>
    <row r="17" spans="2:7" x14ac:dyDescent="0.2">
      <c r="B17" s="367" t="s">
        <v>1778</v>
      </c>
      <c r="C17" s="319">
        <f>C16/4</f>
        <v>110390.91880592916</v>
      </c>
      <c r="D17" s="319">
        <f t="shared" ref="D17:F17" si="1">D16/4</f>
        <v>112057.71883516983</v>
      </c>
      <c r="E17" s="319">
        <f t="shared" si="1"/>
        <v>111705.04188133923</v>
      </c>
      <c r="F17" s="319">
        <f t="shared" si="1"/>
        <v>113936.90642419524</v>
      </c>
      <c r="G17" s="319">
        <f>G16/4</f>
        <v>115271.60721611521</v>
      </c>
    </row>
    <row r="22" spans="2:7" x14ac:dyDescent="0.2">
      <c r="F22" s="322">
        <f>773*300</f>
        <v>231900</v>
      </c>
    </row>
    <row r="23" spans="2:7" x14ac:dyDescent="0.2">
      <c r="F23" s="322">
        <f>1422*300</f>
        <v>426600</v>
      </c>
    </row>
    <row r="24" spans="2:7" x14ac:dyDescent="0.2">
      <c r="F24" s="322">
        <f>2291*300</f>
        <v>687300</v>
      </c>
    </row>
    <row r="25" spans="2:7" x14ac:dyDescent="0.2">
      <c r="F25" s="322">
        <f>3402*300</f>
        <v>1020600</v>
      </c>
    </row>
    <row r="26" spans="2:7" x14ac:dyDescent="0.2">
      <c r="F26" s="322">
        <f>4777*300</f>
        <v>1433100</v>
      </c>
    </row>
  </sheetData>
  <mergeCells count="2">
    <mergeCell ref="B3:G3"/>
    <mergeCell ref="B10:G10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"/>
  <sheetViews>
    <sheetView tabSelected="1" zoomScale="90" zoomScaleNormal="90" zoomScalePageLayoutView="90" workbookViewId="0">
      <selection activeCell="M39" sqref="M39"/>
    </sheetView>
  </sheetViews>
  <sheetFormatPr baseColWidth="10" defaultColWidth="10.85546875" defaultRowHeight="12.75" x14ac:dyDescent="0.2"/>
  <cols>
    <col min="1" max="1" width="34.42578125" style="9" bestFit="1" customWidth="1"/>
    <col min="2" max="2" width="36.28515625" style="9" bestFit="1" customWidth="1"/>
    <col min="3" max="8" width="10.85546875" style="9"/>
    <col min="9" max="9" width="27.140625" style="9" bestFit="1" customWidth="1"/>
    <col min="10" max="10" width="12.7109375" style="9" bestFit="1" customWidth="1"/>
    <col min="11" max="16384" width="10.85546875" style="9"/>
  </cols>
  <sheetData>
    <row r="1" spans="1:21" x14ac:dyDescent="0.2">
      <c r="A1" s="673" t="s">
        <v>1779</v>
      </c>
      <c r="B1" s="299"/>
      <c r="C1" s="299"/>
      <c r="D1" s="299"/>
    </row>
    <row r="2" spans="1:21" x14ac:dyDescent="0.2">
      <c r="B2" s="299"/>
      <c r="C2" s="299"/>
      <c r="D2" s="299"/>
    </row>
    <row r="3" spans="1:21" ht="15" customHeight="1" x14ac:dyDescent="0.2">
      <c r="A3" s="220" t="s">
        <v>1780</v>
      </c>
      <c r="B3" s="299"/>
      <c r="C3" s="299"/>
      <c r="D3" s="299"/>
      <c r="I3" s="678" t="s">
        <v>1834</v>
      </c>
      <c r="J3" s="299"/>
    </row>
    <row r="4" spans="1:21" ht="12.75" customHeight="1" x14ac:dyDescent="0.2">
      <c r="B4" s="484"/>
      <c r="C4" s="484" t="s">
        <v>1296</v>
      </c>
      <c r="D4" s="484" t="s">
        <v>1297</v>
      </c>
      <c r="E4" s="484" t="s">
        <v>1298</v>
      </c>
      <c r="F4" s="484" t="s">
        <v>1299</v>
      </c>
      <c r="G4" s="484" t="s">
        <v>1300</v>
      </c>
      <c r="I4" s="221"/>
      <c r="J4" s="484" t="s">
        <v>1932</v>
      </c>
      <c r="K4" s="484" t="s">
        <v>1296</v>
      </c>
      <c r="L4" s="484" t="s">
        <v>1297</v>
      </c>
      <c r="M4" s="484" t="s">
        <v>1298</v>
      </c>
      <c r="N4" s="484" t="s">
        <v>1299</v>
      </c>
      <c r="O4" s="484" t="s">
        <v>1300</v>
      </c>
    </row>
    <row r="5" spans="1:21" ht="12.75" customHeight="1" x14ac:dyDescent="0.2">
      <c r="B5" s="661" t="s">
        <v>1781</v>
      </c>
      <c r="C5" s="662">
        <f>Presupuesto!B8</f>
        <v>889939.44</v>
      </c>
      <c r="D5" s="662">
        <f>Presupuesto!C8</f>
        <v>1637120.1600000001</v>
      </c>
      <c r="E5" s="662">
        <f>Presupuesto!D8</f>
        <v>2637582.48</v>
      </c>
      <c r="F5" s="662">
        <f>Presupuesto!E8</f>
        <v>3916654.56</v>
      </c>
      <c r="G5" s="662">
        <f>Presupuesto!F8</f>
        <v>5499664.5600000005</v>
      </c>
      <c r="I5" s="679" t="s">
        <v>1835</v>
      </c>
      <c r="J5" s="293"/>
      <c r="K5" s="293"/>
      <c r="L5" s="293"/>
      <c r="M5" s="293"/>
      <c r="N5" s="293"/>
      <c r="O5" s="354"/>
    </row>
    <row r="6" spans="1:21" ht="12.75" customHeight="1" x14ac:dyDescent="0.2">
      <c r="B6" s="661" t="s">
        <v>1782</v>
      </c>
      <c r="C6" s="662">
        <f>Presupuesto!B207</f>
        <v>709826.20520416147</v>
      </c>
      <c r="D6" s="662">
        <f>Presupuesto!C207</f>
        <v>949163.55801113031</v>
      </c>
      <c r="E6" s="662">
        <f>Presupuesto!D207</f>
        <v>1266814.2056130455</v>
      </c>
      <c r="F6" s="662">
        <f>Presupuesto!E207</f>
        <v>1647685.4269648092</v>
      </c>
      <c r="G6" s="662">
        <f>Presupuesto!F207</f>
        <v>2111267.0957549331</v>
      </c>
      <c r="I6" s="221" t="s">
        <v>1836</v>
      </c>
      <c r="J6" s="662">
        <v>465160</v>
      </c>
      <c r="K6" s="662">
        <v>208111</v>
      </c>
      <c r="L6" s="662">
        <v>991508.85310705297</v>
      </c>
      <c r="M6" s="662">
        <v>1659785.3528838698</v>
      </c>
      <c r="N6" s="662">
        <v>2759913.3045173367</v>
      </c>
      <c r="O6" s="662">
        <v>4316318.6428551385</v>
      </c>
      <c r="P6" s="477"/>
      <c r="Q6" s="477"/>
      <c r="R6" s="477"/>
      <c r="S6" s="477"/>
      <c r="T6" s="477"/>
      <c r="U6" s="477"/>
    </row>
    <row r="7" spans="1:21" ht="12.75" customHeight="1" x14ac:dyDescent="0.2">
      <c r="B7" s="354" t="s">
        <v>1783</v>
      </c>
      <c r="C7" s="293">
        <f>C5-C6</f>
        <v>180113.23479583848</v>
      </c>
      <c r="D7" s="293">
        <f>D5-D6</f>
        <v>687956.60198886984</v>
      </c>
      <c r="E7" s="293">
        <f>E5-E6</f>
        <v>1370768.2743869545</v>
      </c>
      <c r="F7" s="293">
        <f>F5-F6</f>
        <v>2268969.1330351909</v>
      </c>
      <c r="G7" s="293">
        <f>G5-G6</f>
        <v>3388397.4642450674</v>
      </c>
      <c r="I7" s="221" t="s">
        <v>1837</v>
      </c>
      <c r="J7" s="221"/>
      <c r="K7" s="221"/>
      <c r="L7" s="221"/>
      <c r="M7" s="221"/>
      <c r="N7" s="221"/>
      <c r="O7" s="221"/>
    </row>
    <row r="8" spans="1:21" ht="12.75" customHeight="1" x14ac:dyDescent="0.2">
      <c r="B8" s="661" t="s">
        <v>1505</v>
      </c>
      <c r="C8" s="662">
        <f>Presupuesto!B252</f>
        <v>329254.6135498666</v>
      </c>
      <c r="D8" s="662">
        <f>Presupuesto!C252</f>
        <v>326309.89354986663</v>
      </c>
      <c r="E8" s="662">
        <f>Presupuesto!D252</f>
        <v>326309.89354986663</v>
      </c>
      <c r="F8" s="662">
        <f>Presupuesto!E252</f>
        <v>326309.89354986663</v>
      </c>
      <c r="G8" s="662">
        <f>Presupuesto!F252</f>
        <v>318326.08354986663</v>
      </c>
      <c r="I8" s="203" t="s">
        <v>1843</v>
      </c>
      <c r="J8" s="664">
        <f>J6</f>
        <v>465160</v>
      </c>
      <c r="K8" s="664">
        <f>K6</f>
        <v>208111</v>
      </c>
      <c r="L8" s="664">
        <f>L6</f>
        <v>991508.85310705297</v>
      </c>
      <c r="M8" s="664">
        <f t="shared" ref="M8:O8" si="0">M6</f>
        <v>1659785.3528838698</v>
      </c>
      <c r="N8" s="664">
        <f t="shared" si="0"/>
        <v>2759913.3045173367</v>
      </c>
      <c r="O8" s="664">
        <f t="shared" si="0"/>
        <v>4316318.6428551385</v>
      </c>
    </row>
    <row r="9" spans="1:21" ht="12.75" customHeight="1" x14ac:dyDescent="0.2">
      <c r="B9" s="661" t="s">
        <v>1506</v>
      </c>
      <c r="C9" s="662">
        <f>Presupuesto!B279</f>
        <v>250802</v>
      </c>
      <c r="D9" s="662">
        <f>Presupuesto!C279</f>
        <v>250802</v>
      </c>
      <c r="E9" s="662">
        <f>Presupuesto!D279</f>
        <v>212402</v>
      </c>
      <c r="F9" s="662">
        <f>Presupuesto!E279</f>
        <v>212402</v>
      </c>
      <c r="G9" s="662">
        <f>Presupuesto!F279</f>
        <v>212402</v>
      </c>
      <c r="I9" s="679" t="s">
        <v>1838</v>
      </c>
      <c r="J9" s="293"/>
      <c r="K9" s="293"/>
      <c r="L9" s="293"/>
      <c r="M9" s="293"/>
      <c r="N9" s="293"/>
      <c r="O9" s="354"/>
    </row>
    <row r="10" spans="1:21" x14ac:dyDescent="0.2">
      <c r="B10" s="203" t="s">
        <v>1784</v>
      </c>
      <c r="C10" s="663">
        <f>C7-SUM(C8:C9)</f>
        <v>-399943.37875402812</v>
      </c>
      <c r="D10" s="664">
        <f>D7-SUM(D8:D9)</f>
        <v>110844.70843900321</v>
      </c>
      <c r="E10" s="664">
        <f>E7-SUM(E8:E9)</f>
        <v>832056.38083708787</v>
      </c>
      <c r="F10" s="664">
        <f>F7-SUM(F8:F9)</f>
        <v>1730257.2394853244</v>
      </c>
      <c r="G10" s="664">
        <f>G7-SUM(G8:G9)</f>
        <v>2857669.3806952005</v>
      </c>
      <c r="I10" s="221" t="s">
        <v>1839</v>
      </c>
      <c r="J10" s="662">
        <f>'Inversión del Proyecto'!$AD$7</f>
        <v>553731.88520000002</v>
      </c>
      <c r="K10" s="662">
        <f>'Inversión del Proyecto'!$AD$7</f>
        <v>553731.88520000002</v>
      </c>
      <c r="L10" s="662">
        <f>'Inversión del Proyecto'!$AD$7</f>
        <v>553731.88520000002</v>
      </c>
      <c r="M10" s="662">
        <f>'Inversión del Proyecto'!$AD$7</f>
        <v>553731.88520000002</v>
      </c>
      <c r="N10" s="662">
        <f>'Inversión del Proyecto'!$AD$7</f>
        <v>553731.88520000002</v>
      </c>
      <c r="O10" s="662">
        <f>'Inversión del Proyecto'!$AD$7</f>
        <v>553731.88520000002</v>
      </c>
    </row>
    <row r="11" spans="1:21" x14ac:dyDescent="0.2">
      <c r="B11" s="665" t="s">
        <v>1962</v>
      </c>
      <c r="C11" s="666">
        <f>-K11-K13</f>
        <v>-27960.142000000003</v>
      </c>
      <c r="D11" s="666">
        <f>-L11+K11+(-L13+K13)</f>
        <v>-25015.422000000002</v>
      </c>
      <c r="E11" s="666">
        <f t="shared" ref="E11:G11" si="1">-M11+L11+(-M13+L13)</f>
        <v>-25015.421999999999</v>
      </c>
      <c r="F11" s="666">
        <f t="shared" si="1"/>
        <v>-25015.42199999998</v>
      </c>
      <c r="G11" s="666">
        <f t="shared" si="1"/>
        <v>-17031.612000000005</v>
      </c>
      <c r="I11" s="221" t="s">
        <v>1840</v>
      </c>
      <c r="J11" s="96">
        <v>0</v>
      </c>
      <c r="K11" s="662">
        <f>Presupuesto!D224+Presupuesto!D225+Presupuesto!D190+Presupuesto!D191</f>
        <v>21055.660000000003</v>
      </c>
      <c r="L11" s="662">
        <f>K11+Presupuesto!E190+Presupuesto!E191+Presupuesto!E224+Presupuesto!E225</f>
        <v>42111.320000000007</v>
      </c>
      <c r="M11" s="662">
        <f>L11+Presupuesto!F190+Presupuesto!F191+Presupuesto!F224+Presupuesto!F225</f>
        <v>63166.98</v>
      </c>
      <c r="N11" s="662">
        <f>M11+Presupuesto!G190+Presupuesto!G191+Presupuesto!G224+Presupuesto!G225</f>
        <v>84222.639999999985</v>
      </c>
      <c r="O11" s="662">
        <f>N11+Presupuesto!H190+Presupuesto!H191+Presupuesto!H224+Presupuesto!H225</f>
        <v>97294.489999999991</v>
      </c>
    </row>
    <row r="12" spans="1:21" x14ac:dyDescent="0.2">
      <c r="B12" s="667" t="s">
        <v>1961</v>
      </c>
      <c r="C12" s="668">
        <f>C10+C11</f>
        <v>-427903.52075402811</v>
      </c>
      <c r="D12" s="668">
        <f t="shared" ref="D12:G12" si="2">D10+D11</f>
        <v>85829.286439003205</v>
      </c>
      <c r="E12" s="668">
        <f t="shared" si="2"/>
        <v>807040.95883708785</v>
      </c>
      <c r="F12" s="668">
        <f t="shared" si="2"/>
        <v>1705241.8174853243</v>
      </c>
      <c r="G12" s="668">
        <f t="shared" si="2"/>
        <v>2840637.7686952003</v>
      </c>
      <c r="I12" s="221" t="s">
        <v>1841</v>
      </c>
      <c r="J12" s="662">
        <f>'Inversión del Proyecto'!$AD$8</f>
        <v>26837.365400000002</v>
      </c>
      <c r="K12" s="662">
        <f>'Inversión del Proyecto'!$AD$8</f>
        <v>26837.365400000002</v>
      </c>
      <c r="L12" s="662">
        <f>'Inversión del Proyecto'!$AD$8</f>
        <v>26837.365400000002</v>
      </c>
      <c r="M12" s="662">
        <f>'Inversión del Proyecto'!$AD$8</f>
        <v>26837.365400000002</v>
      </c>
      <c r="N12" s="662">
        <f>'Inversión del Proyecto'!$AD$8</f>
        <v>26837.365400000002</v>
      </c>
      <c r="O12" s="662">
        <f>'Inversión del Proyecto'!$AD$8</f>
        <v>26837.365400000002</v>
      </c>
    </row>
    <row r="13" spans="1:21" x14ac:dyDescent="0.2">
      <c r="B13" s="221" t="s">
        <v>1765</v>
      </c>
      <c r="C13" s="662">
        <f>Presupuesto!B285</f>
        <v>37534.591014905833</v>
      </c>
      <c r="D13" s="662">
        <f>Presupuesto!C285</f>
        <v>24888.95130146456</v>
      </c>
      <c r="E13" s="662">
        <f>Presupuesto!D285</f>
        <v>18307.717153924743</v>
      </c>
      <c r="F13" s="662">
        <f>Presupuesto!E285</f>
        <v>13054.989673913762</v>
      </c>
      <c r="G13" s="662">
        <f>Presupuesto!F285</f>
        <v>6993.8674347290898</v>
      </c>
      <c r="I13" s="221" t="s">
        <v>1842</v>
      </c>
      <c r="J13" s="96">
        <v>0</v>
      </c>
      <c r="K13" s="662">
        <f>Presupuesto!D230+Presupuesto!D231+Presupuesto!D232</f>
        <v>6904.4820000000009</v>
      </c>
      <c r="L13" s="662">
        <f>K13+Presupuesto!E230+Presupuesto!E231+Presupuesto!E232</f>
        <v>10864.244000000001</v>
      </c>
      <c r="M13" s="662">
        <f>L13+Presupuesto!F230+Presupuesto!F231+Presupuesto!F232</f>
        <v>14824.006000000001</v>
      </c>
      <c r="N13" s="662">
        <f>M13+Presupuesto!G230+Presupuesto!G231+Presupuesto!G232</f>
        <v>18783.768</v>
      </c>
      <c r="O13" s="662">
        <f>N13+Presupuesto!H230+Presupuesto!H231+Presupuesto!H232</f>
        <v>22743.53</v>
      </c>
    </row>
    <row r="14" spans="1:21" x14ac:dyDescent="0.2">
      <c r="B14" s="203" t="s">
        <v>1785</v>
      </c>
      <c r="C14" s="663">
        <f>C10-C13</f>
        <v>-437477.96976893395</v>
      </c>
      <c r="D14" s="664">
        <f t="shared" ref="D14:G14" si="3">D10-D13</f>
        <v>85955.757137538647</v>
      </c>
      <c r="E14" s="664">
        <f t="shared" si="3"/>
        <v>813748.66368316312</v>
      </c>
      <c r="F14" s="664">
        <f t="shared" si="3"/>
        <v>1717202.2498114107</v>
      </c>
      <c r="G14" s="664">
        <f t="shared" si="3"/>
        <v>2850675.5132604716</v>
      </c>
      <c r="I14" s="203" t="s">
        <v>1844</v>
      </c>
      <c r="J14" s="664">
        <f>J10+J12-J11-J13</f>
        <v>580569.25060000003</v>
      </c>
      <c r="K14" s="664">
        <f>K10+K12-K11-K13</f>
        <v>552609.10860000004</v>
      </c>
      <c r="L14" s="664">
        <f t="shared" ref="L14:O14" si="4">L10+L12-L11-L13</f>
        <v>527593.68660000013</v>
      </c>
      <c r="M14" s="664">
        <f t="shared" si="4"/>
        <v>502578.26460000005</v>
      </c>
      <c r="N14" s="664">
        <f t="shared" si="4"/>
        <v>477562.84260000003</v>
      </c>
      <c r="O14" s="664">
        <f t="shared" si="4"/>
        <v>460531.23060000001</v>
      </c>
    </row>
    <row r="15" spans="1:21" x14ac:dyDescent="0.2">
      <c r="B15" s="221" t="s">
        <v>1786</v>
      </c>
      <c r="C15" s="662">
        <v>0</v>
      </c>
      <c r="D15" s="662">
        <v>0</v>
      </c>
      <c r="E15" s="662">
        <f>E22*29.5%</f>
        <v>136356.80306027149</v>
      </c>
      <c r="F15" s="662">
        <f>F22*29.5%</f>
        <v>602706.20985185751</v>
      </c>
      <c r="G15" s="662">
        <f>G22*29.5%</f>
        <v>1265857.1543573989</v>
      </c>
      <c r="I15" s="203" t="s">
        <v>1845</v>
      </c>
      <c r="J15" s="664">
        <f>J8+J14</f>
        <v>1045729.2506</v>
      </c>
      <c r="K15" s="664">
        <f>K8+K14</f>
        <v>760720.10860000004</v>
      </c>
      <c r="L15" s="664">
        <f t="shared" ref="L15:O15" si="5">L8+L14</f>
        <v>1519102.539707053</v>
      </c>
      <c r="M15" s="664">
        <f t="shared" si="5"/>
        <v>2162363.6174838697</v>
      </c>
      <c r="N15" s="664">
        <f t="shared" si="5"/>
        <v>3237476.1471173367</v>
      </c>
      <c r="O15" s="664">
        <f t="shared" si="5"/>
        <v>4776849.8734551389</v>
      </c>
    </row>
    <row r="16" spans="1:21" x14ac:dyDescent="0.2">
      <c r="B16" s="203" t="s">
        <v>1894</v>
      </c>
      <c r="C16" s="663">
        <f>C14-C15</f>
        <v>-437477.96976893395</v>
      </c>
      <c r="D16" s="664">
        <f>D14-D15</f>
        <v>85955.757137538647</v>
      </c>
      <c r="E16" s="664">
        <f>E14-E15</f>
        <v>677391.86062289169</v>
      </c>
      <c r="F16" s="664">
        <f>F14-F15</f>
        <v>1114496.0399595532</v>
      </c>
      <c r="G16" s="664">
        <f>G14-G15</f>
        <v>1584818.3589030728</v>
      </c>
      <c r="I16" s="679" t="s">
        <v>1846</v>
      </c>
      <c r="J16" s="293"/>
      <c r="K16" s="293"/>
      <c r="L16" s="293"/>
      <c r="M16" s="293"/>
      <c r="N16" s="293"/>
      <c r="O16" s="354"/>
    </row>
    <row r="17" spans="1:21" x14ac:dyDescent="0.2">
      <c r="B17" s="221" t="s">
        <v>1790</v>
      </c>
      <c r="C17" s="669">
        <v>0</v>
      </c>
      <c r="D17" s="669">
        <v>0</v>
      </c>
      <c r="E17" s="669">
        <v>0</v>
      </c>
      <c r="F17" s="669">
        <v>0.1</v>
      </c>
      <c r="G17" s="669">
        <v>0.1</v>
      </c>
      <c r="I17" s="221" t="s">
        <v>1847</v>
      </c>
      <c r="J17" s="662">
        <f>-D72</f>
        <v>80111.308985094161</v>
      </c>
      <c r="K17" s="662">
        <f>-E72</f>
        <v>60153.248698535434</v>
      </c>
      <c r="L17" s="662">
        <f>-F72</f>
        <v>34130.782846075257</v>
      </c>
      <c r="M17" s="662">
        <f>-G72</f>
        <v>39383.510326086238</v>
      </c>
      <c r="N17" s="662">
        <f>-H72</f>
        <v>45444.632565270913</v>
      </c>
      <c r="O17" s="662"/>
      <c r="P17" s="15"/>
      <c r="Q17" s="15"/>
      <c r="R17" s="15"/>
      <c r="S17" s="15"/>
      <c r="T17" s="15"/>
      <c r="U17" s="15"/>
    </row>
    <row r="18" spans="1:21" x14ac:dyDescent="0.2">
      <c r="B18" s="221" t="s">
        <v>1787</v>
      </c>
      <c r="C18" s="96">
        <v>0</v>
      </c>
      <c r="D18" s="662">
        <f>D16*D17</f>
        <v>0</v>
      </c>
      <c r="E18" s="662">
        <f>E16*E17</f>
        <v>0</v>
      </c>
      <c r="F18" s="662">
        <v>0</v>
      </c>
      <c r="G18" s="662">
        <v>0</v>
      </c>
      <c r="I18" s="18" t="s">
        <v>1957</v>
      </c>
      <c r="J18" s="662">
        <f>'Inversión del Proyecto'!AD9</f>
        <v>232580.02971103904</v>
      </c>
      <c r="K18" s="662">
        <f>J18+232580</f>
        <v>465160.02971103904</v>
      </c>
      <c r="L18" s="662">
        <f>K18+232580</f>
        <v>697740.02971103904</v>
      </c>
      <c r="M18" s="662">
        <f>L18</f>
        <v>697740.02971103904</v>
      </c>
      <c r="N18" s="662">
        <f t="shared" ref="N18:O18" si="6">M18</f>
        <v>697740.02971103904</v>
      </c>
      <c r="O18" s="662">
        <f t="shared" si="6"/>
        <v>697740.02971103904</v>
      </c>
      <c r="P18" s="477"/>
      <c r="Q18" s="15"/>
      <c r="R18" s="15"/>
      <c r="S18" s="15"/>
      <c r="T18" s="15"/>
      <c r="U18" s="15"/>
    </row>
    <row r="19" spans="1:21" x14ac:dyDescent="0.2">
      <c r="B19" s="221" t="s">
        <v>1788</v>
      </c>
      <c r="C19" s="96">
        <v>0</v>
      </c>
      <c r="D19" s="662">
        <v>0</v>
      </c>
      <c r="E19" s="662">
        <v>0</v>
      </c>
      <c r="F19" s="662">
        <v>0</v>
      </c>
      <c r="G19" s="662">
        <v>0</v>
      </c>
      <c r="I19" s="203" t="s">
        <v>1848</v>
      </c>
      <c r="J19" s="664">
        <f>J17+J18</f>
        <v>312691.33869613323</v>
      </c>
      <c r="K19" s="664">
        <f>K17+K18</f>
        <v>525313.27840957441</v>
      </c>
      <c r="L19" s="664">
        <f t="shared" ref="L19:O19" si="7">L17+L18</f>
        <v>731870.81255711429</v>
      </c>
      <c r="M19" s="664">
        <f t="shared" si="7"/>
        <v>737123.54003712523</v>
      </c>
      <c r="N19" s="664">
        <f t="shared" si="7"/>
        <v>743184.66227630991</v>
      </c>
      <c r="O19" s="664">
        <f t="shared" si="7"/>
        <v>697740.02971103904</v>
      </c>
      <c r="P19" s="477"/>
      <c r="Q19" s="15"/>
      <c r="R19" s="15"/>
      <c r="S19" s="15"/>
      <c r="T19" s="15"/>
      <c r="U19" s="15"/>
    </row>
    <row r="20" spans="1:21" x14ac:dyDescent="0.2">
      <c r="A20" s="220" t="s">
        <v>1791</v>
      </c>
      <c r="B20" s="203" t="s">
        <v>1789</v>
      </c>
      <c r="C20" s="670">
        <f>C16</f>
        <v>-437477.96976893395</v>
      </c>
      <c r="D20" s="670">
        <f>C20+D16</f>
        <v>-351522.21263139532</v>
      </c>
      <c r="E20" s="293">
        <f>D20+E16</f>
        <v>325869.64799149637</v>
      </c>
      <c r="F20" s="293">
        <f t="shared" ref="F20:G20" si="8">E20+F16</f>
        <v>1440365.6879510495</v>
      </c>
      <c r="G20" s="293">
        <f t="shared" si="8"/>
        <v>3025184.0468541225</v>
      </c>
      <c r="I20" s="679" t="s">
        <v>1850</v>
      </c>
      <c r="J20" s="293"/>
      <c r="K20" s="293"/>
      <c r="L20" s="293"/>
      <c r="M20" s="293"/>
      <c r="N20" s="293"/>
      <c r="O20" s="354"/>
    </row>
    <row r="21" spans="1:21" x14ac:dyDescent="0.2">
      <c r="B21" s="671"/>
      <c r="C21" s="671"/>
      <c r="D21" s="671"/>
      <c r="E21" s="671"/>
      <c r="F21" s="671"/>
      <c r="G21" s="671"/>
      <c r="I21" s="221" t="s">
        <v>1624</v>
      </c>
      <c r="J21" s="662">
        <f>$C$70-J17</f>
        <v>187091.47807932147</v>
      </c>
      <c r="K21" s="662">
        <f>J21-K17</f>
        <v>126938.22938078604</v>
      </c>
      <c r="L21" s="662">
        <f>K21-L17</f>
        <v>92807.446534710791</v>
      </c>
      <c r="M21" s="662">
        <f>L21-M17</f>
        <v>53423.936208624553</v>
      </c>
      <c r="N21" s="662">
        <f>M21-N17</f>
        <v>7979.3036433536399</v>
      </c>
      <c r="O21" s="662">
        <f>N21-O17</f>
        <v>7979.3036433536399</v>
      </c>
    </row>
    <row r="22" spans="1:21" x14ac:dyDescent="0.2">
      <c r="A22" s="220" t="s">
        <v>1792</v>
      </c>
      <c r="B22" s="18"/>
      <c r="C22" s="18"/>
      <c r="D22" s="18"/>
      <c r="E22" s="672">
        <f>D20+E14</f>
        <v>462226.4510517678</v>
      </c>
      <c r="F22" s="672">
        <f>E20+F14</f>
        <v>2043071.897802907</v>
      </c>
      <c r="G22" s="672">
        <f>F20+G14</f>
        <v>4291041.2012115214</v>
      </c>
      <c r="I22" s="203" t="s">
        <v>1849</v>
      </c>
      <c r="J22" s="664">
        <f>J21</f>
        <v>187091.47807932147</v>
      </c>
      <c r="K22" s="664">
        <f t="shared" ref="K22:O22" si="9">K21</f>
        <v>126938.22938078604</v>
      </c>
      <c r="L22" s="664">
        <f t="shared" si="9"/>
        <v>92807.446534710791</v>
      </c>
      <c r="M22" s="664">
        <f t="shared" si="9"/>
        <v>53423.936208624553</v>
      </c>
      <c r="N22" s="664">
        <f t="shared" si="9"/>
        <v>7979.3036433536399</v>
      </c>
      <c r="O22" s="664">
        <f t="shared" si="9"/>
        <v>7979.3036433536399</v>
      </c>
    </row>
    <row r="23" spans="1:21" x14ac:dyDescent="0.2">
      <c r="B23" s="299"/>
      <c r="I23" s="203" t="s">
        <v>1851</v>
      </c>
      <c r="J23" s="664">
        <f>J19+J22</f>
        <v>499782.81677545467</v>
      </c>
      <c r="K23" s="664">
        <f t="shared" ref="K23:M23" si="10">K19+K22</f>
        <v>652251.50779036048</v>
      </c>
      <c r="L23" s="664">
        <f t="shared" si="10"/>
        <v>824678.25909182511</v>
      </c>
      <c r="M23" s="664">
        <f t="shared" si="10"/>
        <v>790547.47624574974</v>
      </c>
      <c r="N23" s="664">
        <f>N19+N22</f>
        <v>751163.96591966355</v>
      </c>
      <c r="O23" s="664">
        <f t="shared" ref="O23" si="11">O19+O22</f>
        <v>705719.33335439267</v>
      </c>
    </row>
    <row r="24" spans="1:21" x14ac:dyDescent="0.2">
      <c r="B24" s="299"/>
      <c r="I24" s="679" t="s">
        <v>1852</v>
      </c>
      <c r="J24" s="293"/>
      <c r="K24" s="293"/>
      <c r="L24" s="293"/>
      <c r="M24" s="293"/>
      <c r="N24" s="293"/>
      <c r="O24" s="354"/>
      <c r="P24" s="322"/>
    </row>
    <row r="25" spans="1:21" x14ac:dyDescent="0.2">
      <c r="B25" s="299"/>
      <c r="I25" s="221" t="s">
        <v>1853</v>
      </c>
      <c r="J25" s="662">
        <f>'Financiamiento del Proyecto'!$G$7</f>
        <v>545946.49324662343</v>
      </c>
      <c r="K25" s="662">
        <f>'Financiamiento del Proyecto'!$G$7</f>
        <v>545946.49324662343</v>
      </c>
      <c r="L25" s="662">
        <f>'Financiamiento del Proyecto'!$G$7+500000</f>
        <v>1045946.4932466234</v>
      </c>
      <c r="M25" s="662">
        <f>L25</f>
        <v>1045946.4932466234</v>
      </c>
      <c r="N25" s="662">
        <f t="shared" ref="N25:O25" si="12">M25</f>
        <v>1045946.4932466234</v>
      </c>
      <c r="O25" s="662">
        <f t="shared" si="12"/>
        <v>1045946.4932466234</v>
      </c>
      <c r="P25" s="680" t="s">
        <v>1965</v>
      </c>
      <c r="Q25" s="680"/>
      <c r="R25" s="680"/>
      <c r="S25" s="478"/>
      <c r="T25" s="478"/>
    </row>
    <row r="26" spans="1:21" x14ac:dyDescent="0.2">
      <c r="B26" s="484"/>
      <c r="C26" s="484" t="s">
        <v>1932</v>
      </c>
      <c r="D26" s="484" t="s">
        <v>1296</v>
      </c>
      <c r="E26" s="484" t="s">
        <v>1297</v>
      </c>
      <c r="F26" s="484" t="s">
        <v>1298</v>
      </c>
      <c r="G26" s="484" t="s">
        <v>1299</v>
      </c>
      <c r="H26" s="483" t="s">
        <v>1300</v>
      </c>
      <c r="I26" s="221" t="s">
        <v>1788</v>
      </c>
      <c r="J26" s="662">
        <v>0</v>
      </c>
      <c r="K26" s="662">
        <f>C19</f>
        <v>0</v>
      </c>
      <c r="L26" s="662">
        <f>D19</f>
        <v>0</v>
      </c>
      <c r="M26" s="662">
        <f>E19</f>
        <v>0</v>
      </c>
      <c r="N26" s="662">
        <f>F19</f>
        <v>0</v>
      </c>
      <c r="O26" s="662">
        <f>G19</f>
        <v>0</v>
      </c>
      <c r="P26" s="478"/>
      <c r="Q26" s="478"/>
      <c r="R26" s="478"/>
      <c r="S26" s="478"/>
      <c r="T26" s="478"/>
    </row>
    <row r="27" spans="1:21" x14ac:dyDescent="0.2">
      <c r="B27" s="354" t="s">
        <v>1509</v>
      </c>
      <c r="C27" s="293"/>
      <c r="D27" s="293"/>
      <c r="E27" s="293"/>
      <c r="F27" s="293"/>
      <c r="G27" s="293"/>
      <c r="H27" s="485"/>
      <c r="I27" s="221" t="s">
        <v>1854</v>
      </c>
      <c r="J27" s="662">
        <v>0</v>
      </c>
      <c r="K27" s="662">
        <f>C20</f>
        <v>-437477.96976893395</v>
      </c>
      <c r="L27" s="662">
        <f>K27+D16</f>
        <v>-351522.21263139532</v>
      </c>
      <c r="M27" s="662">
        <f>L27+E16</f>
        <v>325869.64799149637</v>
      </c>
      <c r="N27" s="662">
        <f>M27+F16</f>
        <v>1440365.6879510495</v>
      </c>
      <c r="O27" s="662">
        <f>N27+G16</f>
        <v>3025184.0468541225</v>
      </c>
    </row>
    <row r="28" spans="1:21" x14ac:dyDescent="0.2">
      <c r="B28" s="221" t="s">
        <v>1793</v>
      </c>
      <c r="C28" s="675"/>
      <c r="D28" s="676">
        <f>Presupuesto!B7</f>
        <v>195352.56</v>
      </c>
      <c r="E28" s="676">
        <f>Presupuesto!C7</f>
        <v>359367.83999999997</v>
      </c>
      <c r="F28" s="676">
        <f>Presupuesto!D7</f>
        <v>578981.52</v>
      </c>
      <c r="G28" s="676">
        <f>Presupuesto!E7</f>
        <v>859753.44</v>
      </c>
      <c r="H28" s="677">
        <f>Presupuesto!F7</f>
        <v>1207243.44</v>
      </c>
      <c r="I28" s="203" t="s">
        <v>1855</v>
      </c>
      <c r="J28" s="664">
        <f>J25+J26+J27</f>
        <v>545946.49324662343</v>
      </c>
      <c r="K28" s="664">
        <f t="shared" ref="K28:O28" si="13">K25+K26+K27</f>
        <v>108468.52347768948</v>
      </c>
      <c r="L28" s="664">
        <f t="shared" si="13"/>
        <v>694424.28061522811</v>
      </c>
      <c r="M28" s="664">
        <f t="shared" si="13"/>
        <v>1371816.1412381199</v>
      </c>
      <c r="N28" s="664">
        <f t="shared" si="13"/>
        <v>2486312.1811976731</v>
      </c>
      <c r="O28" s="664">
        <f t="shared" si="13"/>
        <v>4071130.5401007459</v>
      </c>
    </row>
    <row r="29" spans="1:21" x14ac:dyDescent="0.2">
      <c r="B29" s="221" t="s">
        <v>1794</v>
      </c>
      <c r="C29" s="675"/>
      <c r="D29" s="675"/>
      <c r="E29" s="675"/>
      <c r="F29" s="675"/>
      <c r="G29" s="675"/>
      <c r="H29" s="677">
        <f>'Inversión del Proyecto'!E76</f>
        <v>190390.5252</v>
      </c>
      <c r="I29" s="203" t="s">
        <v>1856</v>
      </c>
      <c r="J29" s="664">
        <f>J23+J28</f>
        <v>1045729.3100220781</v>
      </c>
      <c r="K29" s="664">
        <f t="shared" ref="K29:O29" si="14">K23+K28</f>
        <v>760720.03126804996</v>
      </c>
      <c r="L29" s="664">
        <f t="shared" si="14"/>
        <v>1519102.5397070532</v>
      </c>
      <c r="M29" s="664">
        <f t="shared" si="14"/>
        <v>2162363.6174838697</v>
      </c>
      <c r="N29" s="664">
        <f t="shared" si="14"/>
        <v>3237476.1471173367</v>
      </c>
      <c r="O29" s="664">
        <f t="shared" si="14"/>
        <v>4776849.8734551389</v>
      </c>
    </row>
    <row r="30" spans="1:21" x14ac:dyDescent="0.2">
      <c r="B30" s="221" t="s">
        <v>1795</v>
      </c>
      <c r="C30" s="675"/>
      <c r="D30" s="675"/>
      <c r="E30" s="675"/>
      <c r="F30" s="675"/>
      <c r="G30" s="675"/>
      <c r="H30" s="676">
        <f>'Financiamiento del Proyecto'!D3</f>
        <v>41864.405347987027</v>
      </c>
      <c r="J30" s="322"/>
      <c r="K30" s="322"/>
      <c r="L30" s="322"/>
      <c r="M30" s="322"/>
      <c r="N30" s="322"/>
      <c r="O30" s="322"/>
    </row>
    <row r="31" spans="1:21" x14ac:dyDescent="0.2">
      <c r="B31" s="354" t="s">
        <v>1796</v>
      </c>
      <c r="C31" s="326"/>
      <c r="D31" s="326">
        <f>D28+D29+D30</f>
        <v>195352.56</v>
      </c>
      <c r="E31" s="326">
        <f>E28+E29+E30</f>
        <v>359367.83999999997</v>
      </c>
      <c r="F31" s="326">
        <f>F28+F29+F30</f>
        <v>578981.52</v>
      </c>
      <c r="G31" s="326">
        <f>G28+G29+G30</f>
        <v>859753.44</v>
      </c>
      <c r="H31" s="326">
        <f>H28+H29+H30</f>
        <v>1439498.3705479871</v>
      </c>
      <c r="J31" s="322"/>
      <c r="K31" s="322"/>
      <c r="L31" s="322"/>
      <c r="M31" s="322"/>
      <c r="N31" s="322"/>
      <c r="O31" s="322"/>
    </row>
    <row r="32" spans="1:21" x14ac:dyDescent="0.2">
      <c r="B32" s="354" t="s">
        <v>1797</v>
      </c>
      <c r="C32" s="293"/>
      <c r="D32" s="293"/>
      <c r="E32" s="293"/>
      <c r="F32" s="293"/>
      <c r="G32" s="293"/>
      <c r="H32" s="293"/>
      <c r="J32" s="322"/>
      <c r="K32" s="322"/>
      <c r="L32" s="322"/>
      <c r="M32" s="322"/>
      <c r="N32" s="322"/>
      <c r="O32" s="322"/>
    </row>
    <row r="33" spans="1:16" x14ac:dyDescent="0.2">
      <c r="B33" s="382" t="s">
        <v>1801</v>
      </c>
      <c r="C33" s="484"/>
      <c r="D33" s="484"/>
      <c r="E33" s="484"/>
      <c r="F33" s="484"/>
      <c r="G33" s="484"/>
      <c r="H33" s="484"/>
      <c r="J33" s="322"/>
      <c r="K33" s="322"/>
      <c r="L33" s="322"/>
      <c r="M33" s="322"/>
      <c r="N33" s="322"/>
      <c r="O33" s="322"/>
    </row>
    <row r="34" spans="1:16" x14ac:dyDescent="0.2">
      <c r="B34" s="221" t="s">
        <v>1798</v>
      </c>
      <c r="C34" s="676">
        <f>'Inversión del Proyecto'!C68</f>
        <v>29277.745199999998</v>
      </c>
      <c r="D34" s="221"/>
      <c r="E34" s="221"/>
      <c r="F34" s="221"/>
      <c r="G34" s="221"/>
      <c r="H34" s="221"/>
      <c r="J34" s="322"/>
      <c r="K34" s="322"/>
      <c r="L34" s="322"/>
      <c r="M34" s="322"/>
      <c r="N34" s="322"/>
      <c r="O34" s="322"/>
    </row>
    <row r="35" spans="1:16" x14ac:dyDescent="0.2">
      <c r="B35" s="221" t="s">
        <v>1799</v>
      </c>
      <c r="C35" s="676">
        <f>'Inversión del Proyecto'!J44</f>
        <v>4093.8353999999999</v>
      </c>
      <c r="D35" s="221"/>
      <c r="E35" s="221"/>
      <c r="F35" s="221"/>
      <c r="G35" s="221"/>
      <c r="H35" s="221"/>
      <c r="J35" s="322"/>
      <c r="K35" s="322"/>
      <c r="L35" s="322"/>
      <c r="M35" s="322"/>
      <c r="N35" s="322"/>
      <c r="O35" s="322"/>
    </row>
    <row r="36" spans="1:16" x14ac:dyDescent="0.2">
      <c r="B36" s="221" t="s">
        <v>1800</v>
      </c>
      <c r="C36" s="676">
        <f>H30</f>
        <v>41864.405347987027</v>
      </c>
      <c r="D36" s="221"/>
      <c r="E36" s="221"/>
      <c r="F36" s="221"/>
      <c r="G36" s="221"/>
      <c r="H36" s="221"/>
    </row>
    <row r="37" spans="1:16" x14ac:dyDescent="0.2">
      <c r="B37" s="382" t="s">
        <v>1802</v>
      </c>
      <c r="C37" s="484"/>
      <c r="D37" s="484"/>
      <c r="E37" s="484"/>
      <c r="F37" s="484"/>
      <c r="G37" s="484"/>
      <c r="H37" s="484"/>
      <c r="J37" s="322"/>
      <c r="K37" s="322"/>
      <c r="L37" s="322"/>
      <c r="M37" s="322"/>
      <c r="N37" s="322"/>
      <c r="O37" s="322"/>
    </row>
    <row r="38" spans="1:16" x14ac:dyDescent="0.2">
      <c r="B38" s="221" t="s">
        <v>1803</v>
      </c>
      <c r="C38" s="675"/>
      <c r="D38" s="676">
        <f>Presupuesto!B161</f>
        <v>53909.210957011055</v>
      </c>
      <c r="E38" s="676">
        <f>Presupuesto!C161</f>
        <v>99438.751817077369</v>
      </c>
      <c r="F38" s="676">
        <f>Presupuesto!D161</f>
        <v>160051.69885164415</v>
      </c>
      <c r="G38" s="676">
        <f>Presupuesto!E161</f>
        <v>237703.30841666542</v>
      </c>
      <c r="H38" s="676">
        <f>Presupuesto!F161</f>
        <v>333510.86985839991</v>
      </c>
    </row>
    <row r="39" spans="1:16" x14ac:dyDescent="0.2">
      <c r="B39" s="221" t="s">
        <v>1804</v>
      </c>
      <c r="C39" s="675"/>
      <c r="D39" s="675"/>
      <c r="E39" s="675"/>
      <c r="F39" s="675"/>
      <c r="G39" s="675"/>
      <c r="H39" s="675"/>
      <c r="P39" s="327"/>
    </row>
    <row r="40" spans="1:16" x14ac:dyDescent="0.2">
      <c r="B40" s="221" t="s">
        <v>1805</v>
      </c>
      <c r="C40" s="675"/>
      <c r="D40" s="676">
        <f>Presupuesto!B199</f>
        <v>14724.712624390246</v>
      </c>
      <c r="E40" s="676">
        <f>Presupuesto!C199</f>
        <v>15778.371160975614</v>
      </c>
      <c r="F40" s="676">
        <f>Presupuesto!D199</f>
        <v>18939.346770731718</v>
      </c>
      <c r="G40" s="676">
        <f>Presupuesto!E199</f>
        <v>18939.346770731718</v>
      </c>
      <c r="H40" s="676">
        <f>Presupuesto!F199</f>
        <v>18939.346770731718</v>
      </c>
      <c r="I40" s="15"/>
      <c r="J40" s="15"/>
      <c r="K40" s="15"/>
      <c r="L40" s="15"/>
      <c r="M40" s="475"/>
      <c r="N40" s="475"/>
      <c r="O40" s="475"/>
    </row>
    <row r="41" spans="1:16" x14ac:dyDescent="0.2">
      <c r="B41" s="221" t="s">
        <v>1806</v>
      </c>
      <c r="C41" s="675"/>
      <c r="D41" s="676">
        <f>Presupuesto!B253</f>
        <v>29217.693267043913</v>
      </c>
      <c r="E41" s="676">
        <f>Presupuesto!C253</f>
        <v>29217.693267043913</v>
      </c>
      <c r="F41" s="676">
        <f>Presupuesto!D253</f>
        <v>29217.693267043913</v>
      </c>
      <c r="G41" s="676">
        <f>Presupuesto!E253</f>
        <v>29217.693267043913</v>
      </c>
      <c r="H41" s="676">
        <f>Presupuesto!F253</f>
        <v>29217.693267043913</v>
      </c>
      <c r="I41" s="15"/>
      <c r="J41" s="15"/>
      <c r="K41" s="15"/>
      <c r="L41" s="15"/>
      <c r="M41" s="15"/>
      <c r="N41" s="15"/>
      <c r="O41" s="15"/>
    </row>
    <row r="42" spans="1:16" x14ac:dyDescent="0.2">
      <c r="B42" s="221" t="s">
        <v>1807</v>
      </c>
      <c r="C42" s="676"/>
      <c r="D42" s="676">
        <f>Presupuesto!B280</f>
        <v>16331.707317073175</v>
      </c>
      <c r="E42" s="676">
        <f>Presupuesto!C280</f>
        <v>16331.707317073175</v>
      </c>
      <c r="F42" s="676">
        <f>Presupuesto!D280</f>
        <v>7902.4390243902453</v>
      </c>
      <c r="G42" s="676">
        <f>Presupuesto!E280</f>
        <v>7902.4390243902453</v>
      </c>
      <c r="H42" s="676">
        <f>Presupuesto!F280</f>
        <v>7902.4390243902453</v>
      </c>
      <c r="I42" s="15"/>
      <c r="J42" s="15"/>
      <c r="K42" s="15"/>
      <c r="L42" s="15"/>
      <c r="M42" s="15"/>
      <c r="N42" s="15"/>
      <c r="O42" s="15"/>
    </row>
    <row r="43" spans="1:16" x14ac:dyDescent="0.2">
      <c r="B43" s="354" t="s">
        <v>1808</v>
      </c>
      <c r="C43" s="326">
        <f t="shared" ref="C43:H43" si="15">C34+C35+C36+C38+C39+C40+C41+C42</f>
        <v>75235.985947987036</v>
      </c>
      <c r="D43" s="326">
        <f t="shared" si="15"/>
        <v>114183.32416551838</v>
      </c>
      <c r="E43" s="326">
        <f t="shared" si="15"/>
        <v>160766.5235621701</v>
      </c>
      <c r="F43" s="326">
        <f t="shared" si="15"/>
        <v>216111.17791381001</v>
      </c>
      <c r="G43" s="326">
        <f t="shared" si="15"/>
        <v>293762.78747883131</v>
      </c>
      <c r="H43" s="326">
        <f t="shared" si="15"/>
        <v>389570.3489205658</v>
      </c>
      <c r="I43" s="15"/>
      <c r="J43" s="15"/>
      <c r="K43" s="15"/>
      <c r="L43" s="15"/>
      <c r="M43" s="15"/>
      <c r="N43" s="15"/>
      <c r="O43" s="15"/>
    </row>
    <row r="44" spans="1:16" x14ac:dyDescent="0.2">
      <c r="B44" s="221" t="s">
        <v>1810</v>
      </c>
      <c r="C44" s="676">
        <f t="shared" ref="C44:H44" si="16">C31-C43</f>
        <v>-75235.985947987036</v>
      </c>
      <c r="D44" s="676">
        <f t="shared" si="16"/>
        <v>81169.235834481617</v>
      </c>
      <c r="E44" s="676">
        <f t="shared" si="16"/>
        <v>198601.31643782987</v>
      </c>
      <c r="F44" s="676">
        <f t="shared" si="16"/>
        <v>362870.34208619001</v>
      </c>
      <c r="G44" s="676">
        <f t="shared" si="16"/>
        <v>565990.65252116858</v>
      </c>
      <c r="H44" s="676">
        <f t="shared" si="16"/>
        <v>1049928.0216274213</v>
      </c>
      <c r="I44" s="15"/>
      <c r="J44" s="15"/>
      <c r="K44" s="15"/>
      <c r="L44" s="15"/>
      <c r="M44" s="15"/>
      <c r="N44" s="15"/>
      <c r="O44" s="15"/>
    </row>
    <row r="45" spans="1:16" x14ac:dyDescent="0.2">
      <c r="A45" s="674" t="s">
        <v>1813</v>
      </c>
      <c r="B45" s="221" t="s">
        <v>1811</v>
      </c>
      <c r="C45" s="676">
        <f>-C44</f>
        <v>75235.985947987036</v>
      </c>
      <c r="D45" s="661">
        <v>0</v>
      </c>
      <c r="E45" s="661">
        <v>0</v>
      </c>
      <c r="F45" s="661">
        <v>0</v>
      </c>
      <c r="G45" s="661">
        <v>0</v>
      </c>
      <c r="H45" s="661">
        <v>0</v>
      </c>
      <c r="I45" s="15"/>
      <c r="J45" s="15"/>
      <c r="K45" s="15"/>
      <c r="L45" s="15"/>
      <c r="M45" s="15"/>
      <c r="N45" s="15"/>
      <c r="O45" s="15"/>
    </row>
    <row r="46" spans="1:16" x14ac:dyDescent="0.2">
      <c r="B46" s="354" t="s">
        <v>1812</v>
      </c>
      <c r="C46" s="326">
        <v>0</v>
      </c>
      <c r="D46" s="326">
        <f>(D44-C45)</f>
        <v>5933.249886494581</v>
      </c>
      <c r="E46" s="326">
        <f>E44</f>
        <v>198601.31643782987</v>
      </c>
      <c r="F46" s="326">
        <f>F44</f>
        <v>362870.34208619001</v>
      </c>
      <c r="G46" s="326">
        <f>G44</f>
        <v>565990.65252116858</v>
      </c>
      <c r="H46" s="326">
        <f>H44</f>
        <v>1049928.0216274213</v>
      </c>
      <c r="I46" s="15"/>
      <c r="J46" s="15"/>
      <c r="K46" s="15"/>
      <c r="L46" s="15"/>
      <c r="M46" s="15"/>
      <c r="N46" s="15"/>
      <c r="O46" s="15"/>
    </row>
    <row r="47" spans="1:16" x14ac:dyDescent="0.2">
      <c r="I47" s="15"/>
      <c r="J47" s="15"/>
      <c r="K47" s="15"/>
      <c r="L47" s="15"/>
      <c r="M47" s="15"/>
      <c r="N47" s="15"/>
      <c r="O47" s="15"/>
    </row>
    <row r="48" spans="1:16" x14ac:dyDescent="0.2">
      <c r="B48" s="299"/>
      <c r="I48" s="15"/>
      <c r="J48" s="15"/>
      <c r="K48" s="15"/>
      <c r="L48" s="15"/>
      <c r="M48" s="15"/>
      <c r="N48" s="15"/>
      <c r="O48" s="15"/>
    </row>
    <row r="49" spans="1:15" x14ac:dyDescent="0.2">
      <c r="A49" s="299"/>
      <c r="I49" s="15"/>
      <c r="J49" s="15"/>
      <c r="K49" s="15"/>
      <c r="L49" s="15"/>
      <c r="M49" s="15"/>
      <c r="N49" s="15"/>
      <c r="O49" s="15"/>
    </row>
    <row r="50" spans="1:15" x14ac:dyDescent="0.2">
      <c r="A50" s="299"/>
      <c r="B50" s="221"/>
      <c r="C50" s="221"/>
      <c r="D50" s="484" t="s">
        <v>1296</v>
      </c>
      <c r="E50" s="484" t="s">
        <v>1297</v>
      </c>
      <c r="F50" s="484" t="s">
        <v>1298</v>
      </c>
      <c r="G50" s="484" t="s">
        <v>1299</v>
      </c>
      <c r="H50" s="484" t="s">
        <v>1300</v>
      </c>
      <c r="I50" s="15"/>
      <c r="J50" s="15"/>
      <c r="K50" s="15"/>
      <c r="L50" s="15"/>
      <c r="M50" s="15"/>
      <c r="N50" s="15"/>
      <c r="O50" s="15"/>
    </row>
    <row r="51" spans="1:15" x14ac:dyDescent="0.2">
      <c r="A51" s="299"/>
      <c r="B51" s="354" t="s">
        <v>1814</v>
      </c>
      <c r="C51" s="293"/>
      <c r="D51" s="293"/>
      <c r="E51" s="293"/>
      <c r="F51" s="293"/>
      <c r="G51" s="293"/>
      <c r="H51" s="293"/>
      <c r="I51" s="15"/>
      <c r="J51" s="15"/>
      <c r="K51" s="15"/>
      <c r="L51" s="15"/>
      <c r="M51" s="15"/>
      <c r="N51" s="15"/>
      <c r="O51" s="15"/>
    </row>
    <row r="52" spans="1:15" x14ac:dyDescent="0.2">
      <c r="A52" s="299"/>
      <c r="B52" s="221" t="s">
        <v>1815</v>
      </c>
      <c r="C52" s="221"/>
      <c r="D52" s="662">
        <f>Presupuesto!B6</f>
        <v>1085292</v>
      </c>
      <c r="E52" s="662">
        <f>Presupuesto!C6</f>
        <v>1996488</v>
      </c>
      <c r="F52" s="662">
        <f>Presupuesto!D6</f>
        <v>3216564</v>
      </c>
      <c r="G52" s="662">
        <f>Presupuesto!E6</f>
        <v>4776408</v>
      </c>
      <c r="H52" s="662">
        <f>Presupuesto!F6</f>
        <v>6706908</v>
      </c>
      <c r="I52" s="15"/>
      <c r="J52" s="15"/>
      <c r="K52" s="15"/>
      <c r="L52" s="15"/>
      <c r="M52" s="15"/>
      <c r="N52" s="15"/>
      <c r="O52" s="15"/>
    </row>
    <row r="53" spans="1:15" x14ac:dyDescent="0.2">
      <c r="A53" s="299"/>
      <c r="B53" s="221" t="s">
        <v>1816</v>
      </c>
      <c r="C53" s="221"/>
      <c r="D53" s="221"/>
      <c r="E53" s="221"/>
      <c r="F53" s="221"/>
      <c r="G53" s="221"/>
      <c r="H53" s="662">
        <f>'Inversión del Proyecto'!F76</f>
        <v>1248115.6651999999</v>
      </c>
      <c r="I53" s="15"/>
      <c r="J53" s="15"/>
      <c r="K53" s="15"/>
      <c r="L53" s="15"/>
      <c r="M53" s="15"/>
      <c r="N53" s="15"/>
      <c r="O53" s="15"/>
    </row>
    <row r="54" spans="1:15" x14ac:dyDescent="0.2">
      <c r="A54" s="299"/>
      <c r="B54" s="221" t="s">
        <v>1817</v>
      </c>
      <c r="C54" s="221"/>
      <c r="D54" s="221"/>
      <c r="E54" s="221"/>
      <c r="F54" s="221"/>
      <c r="G54" s="221"/>
      <c r="H54" s="662">
        <f>'Financiamiento del Proyecto'!E3</f>
        <v>274444.43505902606</v>
      </c>
      <c r="I54" s="15"/>
      <c r="J54" s="15"/>
      <c r="K54" s="15"/>
      <c r="L54" s="15"/>
      <c r="M54" s="15"/>
      <c r="N54" s="15"/>
      <c r="O54" s="15"/>
    </row>
    <row r="55" spans="1:15" x14ac:dyDescent="0.2">
      <c r="A55" s="299"/>
      <c r="B55" s="354" t="s">
        <v>1818</v>
      </c>
      <c r="C55" s="293"/>
      <c r="D55" s="293">
        <f>D52+D53+D54</f>
        <v>1085292</v>
      </c>
      <c r="E55" s="293">
        <f>E52+E53+E54</f>
        <v>1996488</v>
      </c>
      <c r="F55" s="293">
        <f>F52+F53+F54</f>
        <v>3216564</v>
      </c>
      <c r="G55" s="293">
        <f>G52+G53+G54</f>
        <v>4776408</v>
      </c>
      <c r="H55" s="293">
        <f>H52+H53+H54</f>
        <v>8229468.1002590256</v>
      </c>
      <c r="I55" s="15"/>
      <c r="J55" s="15"/>
      <c r="K55" s="15"/>
      <c r="L55" s="15"/>
      <c r="M55" s="15"/>
      <c r="N55" s="15"/>
      <c r="O55" s="15"/>
    </row>
    <row r="56" spans="1:15" x14ac:dyDescent="0.2">
      <c r="A56" s="299"/>
      <c r="B56" s="354" t="s">
        <v>1819</v>
      </c>
      <c r="C56" s="293"/>
      <c r="D56" s="293"/>
      <c r="E56" s="293"/>
      <c r="F56" s="293"/>
      <c r="G56" s="293"/>
      <c r="H56" s="293"/>
      <c r="I56" s="15"/>
      <c r="J56" s="15"/>
      <c r="K56" s="15"/>
      <c r="L56" s="15"/>
      <c r="M56" s="15"/>
      <c r="N56" s="15"/>
      <c r="O56" s="15"/>
    </row>
    <row r="57" spans="1:15" x14ac:dyDescent="0.2">
      <c r="A57" s="299"/>
      <c r="B57" s="221" t="s">
        <v>1933</v>
      </c>
      <c r="C57" s="662">
        <f>-'Inversión del Proyecto'!AD7</f>
        <v>-553731.88520000002</v>
      </c>
      <c r="D57" s="662"/>
      <c r="E57" s="96"/>
      <c r="F57" s="96"/>
      <c r="G57" s="96"/>
      <c r="H57" s="96"/>
      <c r="I57" s="15"/>
      <c r="J57" s="15"/>
      <c r="K57" s="15"/>
      <c r="L57" s="15"/>
      <c r="M57" s="15"/>
      <c r="N57" s="15"/>
      <c r="O57" s="15"/>
    </row>
    <row r="58" spans="1:15" x14ac:dyDescent="0.2">
      <c r="A58" s="299"/>
      <c r="B58" s="221" t="s">
        <v>1820</v>
      </c>
      <c r="C58" s="662">
        <f>-'Inversión del Proyecto'!AD8</f>
        <v>-26837.365400000002</v>
      </c>
      <c r="D58" s="96"/>
      <c r="E58" s="96"/>
      <c r="F58" s="96"/>
      <c r="G58" s="96"/>
      <c r="H58" s="96"/>
      <c r="I58" s="15"/>
      <c r="J58" s="15"/>
      <c r="K58" s="15"/>
      <c r="L58" s="15"/>
      <c r="M58" s="15"/>
      <c r="N58" s="15"/>
      <c r="O58" s="15"/>
    </row>
    <row r="59" spans="1:15" x14ac:dyDescent="0.2">
      <c r="A59" s="299"/>
      <c r="B59" s="221" t="s">
        <v>1821</v>
      </c>
      <c r="C59" s="662">
        <f>-'Inversión del Proyecto'!AD9</f>
        <v>-232580.02971103904</v>
      </c>
      <c r="D59" s="96"/>
      <c r="E59" s="96"/>
      <c r="F59" s="96"/>
      <c r="G59" s="96"/>
      <c r="H59" s="96"/>
      <c r="I59" s="15"/>
      <c r="J59" s="15"/>
      <c r="K59" s="15"/>
      <c r="L59" s="15"/>
      <c r="M59" s="15"/>
      <c r="N59" s="15"/>
      <c r="O59" s="15"/>
    </row>
    <row r="60" spans="1:15" x14ac:dyDescent="0.2">
      <c r="A60" s="299"/>
      <c r="B60" s="221" t="s">
        <v>1822</v>
      </c>
      <c r="C60" s="96"/>
      <c r="D60" s="662">
        <f>-Presupuesto!B160</f>
        <v>-299495.61642783921</v>
      </c>
      <c r="E60" s="662">
        <f>-Presupuesto!C160</f>
        <v>-552437.51009487431</v>
      </c>
      <c r="F60" s="662">
        <f>-Presupuesto!D160</f>
        <v>-889176.10473135638</v>
      </c>
      <c r="G60" s="662">
        <f>-Presupuesto!E160</f>
        <v>-1320573.9356481412</v>
      </c>
      <c r="H60" s="662">
        <f>-Presupuesto!F160</f>
        <v>-1852838.1658799995</v>
      </c>
      <c r="I60" s="15"/>
      <c r="J60" s="15"/>
      <c r="K60" s="15"/>
      <c r="L60" s="15"/>
      <c r="M60" s="15"/>
      <c r="N60" s="15"/>
      <c r="O60" s="15"/>
    </row>
    <row r="61" spans="1:15" x14ac:dyDescent="0.2">
      <c r="A61" s="299"/>
      <c r="B61" s="221" t="s">
        <v>1823</v>
      </c>
      <c r="C61" s="96"/>
      <c r="D61" s="662">
        <f>-Presupuesto!B205</f>
        <v>-214617.3</v>
      </c>
      <c r="E61" s="662">
        <f>-Presupuesto!C205</f>
        <v>-241742.3</v>
      </c>
      <c r="F61" s="662">
        <f>-Presupuesto!D205</f>
        <v>-268867.3</v>
      </c>
      <c r="G61" s="662">
        <f>-Presupuesto!E205</f>
        <v>-295992.30000000005</v>
      </c>
      <c r="H61" s="662">
        <f>-Presupuesto!F205</f>
        <v>-323117.30000000005</v>
      </c>
      <c r="I61" s="15"/>
      <c r="J61" s="15"/>
      <c r="K61" s="15"/>
      <c r="L61" s="15"/>
      <c r="M61" s="15"/>
      <c r="N61" s="15"/>
      <c r="O61" s="15"/>
    </row>
    <row r="62" spans="1:15" x14ac:dyDescent="0.2">
      <c r="A62" s="299"/>
      <c r="B62" s="221" t="s">
        <v>1696</v>
      </c>
      <c r="C62" s="96"/>
      <c r="D62" s="662">
        <f>-Presupuesto!B201</f>
        <v>-255073.29235772358</v>
      </c>
      <c r="E62" s="662">
        <f>-Presupuesto!C201</f>
        <v>-260926.95089430892</v>
      </c>
      <c r="F62" s="662">
        <f>-Presupuesto!D201</f>
        <v>-278487.92650406505</v>
      </c>
      <c r="G62" s="662">
        <f>-Presupuesto!E201</f>
        <v>-278487.92650406505</v>
      </c>
      <c r="H62" s="662">
        <f>-Presupuesto!F201</f>
        <v>-278487.92650406505</v>
      </c>
      <c r="I62" s="15"/>
      <c r="J62" s="15"/>
      <c r="K62" s="15"/>
      <c r="L62" s="15"/>
      <c r="M62" s="15"/>
      <c r="N62" s="15"/>
      <c r="O62" s="15"/>
    </row>
    <row r="63" spans="1:15" x14ac:dyDescent="0.2">
      <c r="A63" s="299"/>
      <c r="B63" s="221" t="s">
        <v>1824</v>
      </c>
      <c r="C63" s="96"/>
      <c r="D63" s="662">
        <f>-Presupuesto!B255</f>
        <v>-339786.08481691056</v>
      </c>
      <c r="E63" s="662">
        <f>-Presupuesto!C255</f>
        <v>-339786.08481691056</v>
      </c>
      <c r="F63" s="662">
        <f>-Presupuesto!D255</f>
        <v>-339786.08481691056</v>
      </c>
      <c r="G63" s="662">
        <f>-Presupuesto!E255</f>
        <v>-339786.08481691056</v>
      </c>
      <c r="H63" s="662">
        <f>-Presupuesto!F255</f>
        <v>-339786.08481691056</v>
      </c>
      <c r="I63" s="15"/>
      <c r="J63" s="15"/>
      <c r="K63" s="15"/>
      <c r="L63" s="15"/>
      <c r="M63" s="15"/>
      <c r="N63" s="15"/>
      <c r="O63" s="15"/>
    </row>
    <row r="64" spans="1:15" x14ac:dyDescent="0.2">
      <c r="A64" s="299"/>
      <c r="B64" s="221" t="s">
        <v>1825</v>
      </c>
      <c r="C64" s="96"/>
      <c r="D64" s="662">
        <f>-Presupuesto!B281</f>
        <v>-267133.70731707319</v>
      </c>
      <c r="E64" s="662">
        <f>-Presupuesto!C281</f>
        <v>-267133.70731707319</v>
      </c>
      <c r="F64" s="662">
        <f>-Presupuesto!D281</f>
        <v>-220304.43902439025</v>
      </c>
      <c r="G64" s="662">
        <f>-Presupuesto!E281</f>
        <v>-220304.43902439025</v>
      </c>
      <c r="H64" s="662">
        <f>-Presupuesto!F281</f>
        <v>-220304.43902439025</v>
      </c>
      <c r="I64" s="15"/>
      <c r="J64" s="15"/>
      <c r="K64" s="15"/>
      <c r="L64" s="15"/>
      <c r="M64" s="15"/>
      <c r="N64" s="15"/>
      <c r="O64" s="15"/>
    </row>
    <row r="65" spans="1:15" x14ac:dyDescent="0.2">
      <c r="A65" s="299"/>
      <c r="B65" s="221" t="s">
        <v>1812</v>
      </c>
      <c r="C65" s="96"/>
      <c r="D65" s="662">
        <f>-D46</f>
        <v>-5933.249886494581</v>
      </c>
      <c r="E65" s="662">
        <f>-E46</f>
        <v>-198601.31643782987</v>
      </c>
      <c r="F65" s="662">
        <f>-F46</f>
        <v>-362870.34208619001</v>
      </c>
      <c r="G65" s="662">
        <f>-G46</f>
        <v>-565990.65252116858</v>
      </c>
      <c r="H65" s="662">
        <f>-H46</f>
        <v>-1049928.0216274213</v>
      </c>
      <c r="I65" s="15"/>
      <c r="J65" s="15"/>
      <c r="K65" s="15"/>
      <c r="L65" s="15"/>
      <c r="M65" s="15"/>
      <c r="N65" s="15"/>
      <c r="O65" s="15"/>
    </row>
    <row r="66" spans="1:15" x14ac:dyDescent="0.2">
      <c r="A66" s="299"/>
      <c r="B66" s="221" t="s">
        <v>1826</v>
      </c>
      <c r="C66" s="96"/>
      <c r="D66" s="662">
        <f>C15</f>
        <v>0</v>
      </c>
      <c r="E66" s="662">
        <f t="shared" ref="E66" si="17">D15</f>
        <v>0</v>
      </c>
      <c r="F66" s="662">
        <f>-E15</f>
        <v>-136356.80306027149</v>
      </c>
      <c r="G66" s="662">
        <f>-F15</f>
        <v>-602706.20985185751</v>
      </c>
      <c r="H66" s="662">
        <f>-G15</f>
        <v>-1265857.1543573989</v>
      </c>
      <c r="I66" s="15"/>
      <c r="J66" s="15"/>
      <c r="K66" s="15"/>
      <c r="L66" s="15"/>
      <c r="M66" s="15"/>
      <c r="N66" s="15"/>
      <c r="O66" s="15"/>
    </row>
    <row r="67" spans="1:15" x14ac:dyDescent="0.2">
      <c r="A67" s="299"/>
      <c r="B67" s="354" t="s">
        <v>1827</v>
      </c>
      <c r="C67" s="670">
        <f>(C57+C58+C59)</f>
        <v>-813149.28031103907</v>
      </c>
      <c r="D67" s="670">
        <f>(D60+D61+D62+D63+D64+D65+D66)</f>
        <v>-1382039.2508060411</v>
      </c>
      <c r="E67" s="670">
        <f>(E60+E61+E62+E63+E64+E65+E66)</f>
        <v>-1860627.869560997</v>
      </c>
      <c r="F67" s="670">
        <f>(F60+F61+F62+F63+F64+F65+F66)</f>
        <v>-2495849.0002231835</v>
      </c>
      <c r="G67" s="670">
        <f>(G60+G61+G62+G63+G64+G65+G66)</f>
        <v>-3623841.5483665327</v>
      </c>
      <c r="H67" s="670">
        <f>(H60+H61+H62+H63+H64+H65+H66)</f>
        <v>-5330319.0922101848</v>
      </c>
      <c r="I67" s="15"/>
      <c r="J67" s="15"/>
      <c r="K67" s="15"/>
      <c r="L67" s="15"/>
      <c r="M67" s="15"/>
      <c r="N67" s="15"/>
      <c r="O67" s="15"/>
    </row>
    <row r="68" spans="1:15" x14ac:dyDescent="0.2">
      <c r="A68" s="299"/>
      <c r="B68" s="354" t="s">
        <v>1828</v>
      </c>
      <c r="C68" s="670">
        <f>C67</f>
        <v>-813149.28031103907</v>
      </c>
      <c r="D68" s="670">
        <f>D55+D67</f>
        <v>-296747.25080604106</v>
      </c>
      <c r="E68" s="293">
        <f>E55+E67</f>
        <v>135860.130439003</v>
      </c>
      <c r="F68" s="293">
        <f>F55+F67</f>
        <v>720714.99977681646</v>
      </c>
      <c r="G68" s="293">
        <f>G55+G67</f>
        <v>1152566.4516334673</v>
      </c>
      <c r="H68" s="293">
        <f>H55+H67</f>
        <v>2899149.0080488408</v>
      </c>
      <c r="I68" s="15"/>
      <c r="J68" s="15"/>
      <c r="K68" s="15"/>
      <c r="L68" s="15"/>
      <c r="M68" s="15"/>
      <c r="N68" s="15"/>
      <c r="O68" s="15"/>
    </row>
    <row r="69" spans="1:15" x14ac:dyDescent="0.2">
      <c r="A69" s="299"/>
      <c r="B69" s="354" t="s">
        <v>1829</v>
      </c>
      <c r="C69" s="293"/>
      <c r="D69" s="293"/>
      <c r="E69" s="293"/>
      <c r="F69" s="293"/>
      <c r="G69" s="293"/>
      <c r="H69" s="293"/>
    </row>
    <row r="70" spans="1:15" x14ac:dyDescent="0.2">
      <c r="A70" s="299"/>
      <c r="B70" s="221" t="s">
        <v>1829</v>
      </c>
      <c r="C70" s="662">
        <f>'Financiamiento del Proyecto'!E8+'Financiamiento del Proyecto'!F8</f>
        <v>267202.78706441564</v>
      </c>
      <c r="D70" s="221"/>
      <c r="E70" s="221"/>
      <c r="F70" s="221"/>
      <c r="G70" s="221"/>
      <c r="H70" s="221"/>
    </row>
    <row r="71" spans="1:15" x14ac:dyDescent="0.2">
      <c r="A71" s="299"/>
      <c r="B71" s="221" t="s">
        <v>1934</v>
      </c>
      <c r="C71" s="662"/>
      <c r="D71" s="221"/>
      <c r="E71" s="662">
        <v>500000</v>
      </c>
      <c r="F71" s="221"/>
      <c r="G71" s="221"/>
      <c r="H71" s="221"/>
    </row>
    <row r="72" spans="1:15" x14ac:dyDescent="0.2">
      <c r="A72" s="299"/>
      <c r="B72" s="221" t="s">
        <v>1830</v>
      </c>
      <c r="C72" s="221"/>
      <c r="D72" s="662">
        <f>-'Financiamiento del Proyecto'!AD47</f>
        <v>-80111.308985094161</v>
      </c>
      <c r="E72" s="662">
        <f>-'Financiamiento del Proyecto'!AD48</f>
        <v>-60153.248698535434</v>
      </c>
      <c r="F72" s="662">
        <f>-'Financiamiento del Proyecto'!AD49</f>
        <v>-34130.782846075257</v>
      </c>
      <c r="G72" s="662">
        <f>-'Financiamiento del Proyecto'!AD50</f>
        <v>-39383.510326086238</v>
      </c>
      <c r="H72" s="662">
        <f>-'Financiamiento del Proyecto'!AD51</f>
        <v>-45444.632565270913</v>
      </c>
    </row>
    <row r="73" spans="1:15" x14ac:dyDescent="0.2">
      <c r="B73" s="221" t="s">
        <v>1861</v>
      </c>
      <c r="C73" s="221"/>
      <c r="D73" s="662">
        <f>-Presupuesto!B285</f>
        <v>-37534.591014905833</v>
      </c>
      <c r="E73" s="662">
        <f>-Presupuesto!C285</f>
        <v>-24888.95130146456</v>
      </c>
      <c r="F73" s="662">
        <f>-Presupuesto!D285</f>
        <v>-18307.717153924743</v>
      </c>
      <c r="G73" s="662">
        <f>-Presupuesto!E285</f>
        <v>-13054.989673913762</v>
      </c>
      <c r="H73" s="662">
        <f>-Presupuesto!F285</f>
        <v>-6993.8674347290898</v>
      </c>
    </row>
    <row r="74" spans="1:15" x14ac:dyDescent="0.2">
      <c r="B74" s="221" t="s">
        <v>1831</v>
      </c>
      <c r="C74" s="221"/>
      <c r="D74" s="662">
        <f>-D73*29.5%</f>
        <v>11072.70434939722</v>
      </c>
      <c r="E74" s="662">
        <f>-E73*29.5%</f>
        <v>7342.2406339320451</v>
      </c>
      <c r="F74" s="662">
        <f>-F73*29.5%</f>
        <v>5400.7765604077986</v>
      </c>
      <c r="G74" s="662">
        <f>-G73*29.5%</f>
        <v>3851.2219538045597</v>
      </c>
      <c r="H74" s="662">
        <f>-H73*29.5%</f>
        <v>2063.1908932450815</v>
      </c>
    </row>
    <row r="75" spans="1:15" x14ac:dyDescent="0.2">
      <c r="B75" s="354" t="s">
        <v>1832</v>
      </c>
      <c r="C75" s="293">
        <f>-(C57+C58+C59)</f>
        <v>813149.28031103907</v>
      </c>
      <c r="D75" s="670">
        <f>(D72+D73+D74)</f>
        <v>-106573.19565060278</v>
      </c>
      <c r="E75" s="293">
        <f>(E71+E72+E73+E74)</f>
        <v>422300.04063393205</v>
      </c>
      <c r="F75" s="670">
        <f>F72+F73+F74</f>
        <v>-47037.723439592199</v>
      </c>
      <c r="G75" s="670">
        <f>G72+G73+G74</f>
        <v>-48587.278046195439</v>
      </c>
      <c r="H75" s="670">
        <f>H72+H73+H74</f>
        <v>-50375.309106754918</v>
      </c>
    </row>
    <row r="76" spans="1:15" x14ac:dyDescent="0.2">
      <c r="B76" s="354" t="s">
        <v>1833</v>
      </c>
      <c r="C76" s="670">
        <f>C70-C75</f>
        <v>-545946.49324662343</v>
      </c>
      <c r="D76" s="670">
        <f t="shared" ref="D76:H76" si="18">D55+D67+D75</f>
        <v>-403320.44645664387</v>
      </c>
      <c r="E76" s="293">
        <f t="shared" si="18"/>
        <v>558160.17107293499</v>
      </c>
      <c r="F76" s="293">
        <f t="shared" si="18"/>
        <v>673677.27633722429</v>
      </c>
      <c r="G76" s="293">
        <f t="shared" si="18"/>
        <v>1103979.1735872719</v>
      </c>
      <c r="H76" s="293">
        <f t="shared" si="18"/>
        <v>2848773.6989420857</v>
      </c>
    </row>
  </sheetData>
  <mergeCells count="1">
    <mergeCell ref="B21:G21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6"/>
  <sheetViews>
    <sheetView zoomScale="90" zoomScaleNormal="90" zoomScalePageLayoutView="90" workbookViewId="0">
      <selection activeCell="B4" sqref="B4:G20"/>
    </sheetView>
  </sheetViews>
  <sheetFormatPr baseColWidth="10" defaultColWidth="10.85546875" defaultRowHeight="12.75" x14ac:dyDescent="0.2"/>
  <cols>
    <col min="1" max="1" width="1.140625" style="9" customWidth="1"/>
    <col min="2" max="2" width="36.28515625" style="9" bestFit="1" customWidth="1"/>
    <col min="3" max="8" width="10.85546875" style="9"/>
    <col min="9" max="9" width="1.85546875" style="9" customWidth="1"/>
    <col min="10" max="10" width="27.140625" style="9" bestFit="1" customWidth="1"/>
    <col min="11" max="11" width="12.7109375" style="9" bestFit="1" customWidth="1"/>
    <col min="12" max="16384" width="10.85546875" style="9"/>
  </cols>
  <sheetData>
    <row r="1" spans="1:22" x14ac:dyDescent="0.2">
      <c r="A1" s="368" t="s">
        <v>1779</v>
      </c>
      <c r="B1" s="176"/>
    </row>
    <row r="3" spans="1:22" ht="15" customHeight="1" x14ac:dyDescent="0.2">
      <c r="A3" s="176" t="s">
        <v>1780</v>
      </c>
      <c r="B3" s="176"/>
      <c r="C3" s="176"/>
      <c r="I3" s="468"/>
      <c r="J3" s="176" t="s">
        <v>1834</v>
      </c>
      <c r="K3" s="176"/>
    </row>
    <row r="4" spans="1:22" ht="12.75" customHeight="1" x14ac:dyDescent="0.2">
      <c r="B4" s="384"/>
      <c r="C4" s="384" t="s">
        <v>1296</v>
      </c>
      <c r="D4" s="384" t="s">
        <v>1297</v>
      </c>
      <c r="E4" s="384" t="s">
        <v>1298</v>
      </c>
      <c r="F4" s="384" t="s">
        <v>1299</v>
      </c>
      <c r="G4" s="384" t="s">
        <v>1300</v>
      </c>
      <c r="I4" s="468"/>
      <c r="J4" s="15"/>
      <c r="K4" s="384" t="s">
        <v>1932</v>
      </c>
      <c r="L4" s="384" t="s">
        <v>1296</v>
      </c>
      <c r="M4" s="384" t="s">
        <v>1297</v>
      </c>
      <c r="N4" s="384" t="s">
        <v>1298</v>
      </c>
      <c r="O4" s="384" t="s">
        <v>1299</v>
      </c>
      <c r="P4" s="384" t="s">
        <v>1300</v>
      </c>
    </row>
    <row r="5" spans="1:22" ht="12.75" customHeight="1" x14ac:dyDescent="0.2">
      <c r="B5" s="383" t="s">
        <v>1781</v>
      </c>
      <c r="C5" s="387">
        <f>Presupuesto!B8</f>
        <v>889939.44</v>
      </c>
      <c r="D5" s="387">
        <f>Presupuesto!C8</f>
        <v>1637120.1600000001</v>
      </c>
      <c r="E5" s="387">
        <f>Presupuesto!D8</f>
        <v>2637582.48</v>
      </c>
      <c r="F5" s="387">
        <f>Presupuesto!E8</f>
        <v>3916654.56</v>
      </c>
      <c r="G5" s="387">
        <f>Presupuesto!F8</f>
        <v>5499664.5600000005</v>
      </c>
      <c r="I5" s="468"/>
      <c r="J5" s="393" t="s">
        <v>1835</v>
      </c>
      <c r="K5" s="388"/>
      <c r="L5" s="388"/>
      <c r="M5" s="388"/>
      <c r="N5" s="388"/>
      <c r="O5" s="388"/>
      <c r="P5" s="386"/>
    </row>
    <row r="6" spans="1:22" ht="12.75" customHeight="1" x14ac:dyDescent="0.2">
      <c r="B6" s="383" t="s">
        <v>1782</v>
      </c>
      <c r="C6" s="387">
        <f>Presupuesto!B207</f>
        <v>709826.20520416147</v>
      </c>
      <c r="D6" s="387">
        <f>Presupuesto!C207</f>
        <v>949163.55801113031</v>
      </c>
      <c r="E6" s="387">
        <f>Presupuesto!D207</f>
        <v>1266814.2056130455</v>
      </c>
      <c r="F6" s="387">
        <f>Presupuesto!E207</f>
        <v>1647685.4269648092</v>
      </c>
      <c r="G6" s="387">
        <f>Presupuesto!F207</f>
        <v>2111267.0957549331</v>
      </c>
      <c r="I6" s="468"/>
      <c r="J6" s="15" t="s">
        <v>1836</v>
      </c>
      <c r="K6" s="392">
        <f t="shared" ref="K6:P6" si="0">K66</f>
        <v>465160.05942207808</v>
      </c>
      <c r="L6" s="392">
        <f t="shared" si="0"/>
        <v>124230.49666804995</v>
      </c>
      <c r="M6" s="392">
        <f t="shared" si="0"/>
        <v>349166.65047254536</v>
      </c>
      <c r="N6" s="392">
        <f t="shared" si="0"/>
        <v>423602.2055161309</v>
      </c>
      <c r="O6" s="392">
        <f t="shared" si="0"/>
        <v>1685776.7466867499</v>
      </c>
      <c r="P6" s="392">
        <f t="shared" si="0"/>
        <v>4947592.9260068163</v>
      </c>
      <c r="Q6" s="477" t="s">
        <v>1958</v>
      </c>
      <c r="R6" s="477"/>
      <c r="S6" s="477"/>
      <c r="T6" s="477"/>
      <c r="U6" s="477"/>
      <c r="V6" s="477"/>
    </row>
    <row r="7" spans="1:22" ht="12.75" customHeight="1" x14ac:dyDescent="0.2">
      <c r="B7" s="386" t="s">
        <v>1783</v>
      </c>
      <c r="C7" s="388">
        <f>C5-C6</f>
        <v>180113.23479583848</v>
      </c>
      <c r="D7" s="388">
        <f>D5-D6</f>
        <v>687956.60198886984</v>
      </c>
      <c r="E7" s="388">
        <f>E5-E6</f>
        <v>1370768.2743869545</v>
      </c>
      <c r="F7" s="388">
        <f>F5-F6</f>
        <v>2268969.1330351909</v>
      </c>
      <c r="G7" s="388">
        <f>G5-G6</f>
        <v>3388397.4642450674</v>
      </c>
      <c r="J7" s="15" t="s">
        <v>1837</v>
      </c>
      <c r="K7" s="15"/>
      <c r="L7" s="15"/>
      <c r="M7" s="15"/>
      <c r="N7" s="15"/>
      <c r="O7" s="15"/>
      <c r="P7" s="15"/>
    </row>
    <row r="8" spans="1:22" ht="12.75" customHeight="1" x14ac:dyDescent="0.2">
      <c r="B8" s="383" t="s">
        <v>1505</v>
      </c>
      <c r="C8" s="387">
        <f>Presupuesto!B252</f>
        <v>329254.6135498666</v>
      </c>
      <c r="D8" s="387">
        <f>Presupuesto!C252</f>
        <v>326309.89354986663</v>
      </c>
      <c r="E8" s="387">
        <f>Presupuesto!D252</f>
        <v>326309.89354986663</v>
      </c>
      <c r="F8" s="387">
        <f>Presupuesto!E252</f>
        <v>326309.89354986663</v>
      </c>
      <c r="G8" s="387">
        <f>Presupuesto!F252</f>
        <v>318326.08354986663</v>
      </c>
      <c r="I8" s="468"/>
      <c r="J8" s="385" t="s">
        <v>1843</v>
      </c>
      <c r="K8" s="389">
        <f>K6</f>
        <v>465160.05942207808</v>
      </c>
      <c r="L8" s="389">
        <f>L6</f>
        <v>124230.49666804995</v>
      </c>
      <c r="M8" s="389">
        <f>M6</f>
        <v>349166.65047254536</v>
      </c>
      <c r="N8" s="389">
        <f t="shared" ref="N8:P8" si="1">N6</f>
        <v>423602.2055161309</v>
      </c>
      <c r="O8" s="389">
        <f t="shared" si="1"/>
        <v>1685776.7466867499</v>
      </c>
      <c r="P8" s="389">
        <f t="shared" si="1"/>
        <v>4947592.9260068163</v>
      </c>
    </row>
    <row r="9" spans="1:22" ht="12.75" customHeight="1" x14ac:dyDescent="0.2">
      <c r="B9" s="383" t="s">
        <v>1506</v>
      </c>
      <c r="C9" s="387">
        <f>Presupuesto!B279</f>
        <v>250802</v>
      </c>
      <c r="D9" s="387">
        <f>Presupuesto!C279</f>
        <v>250802</v>
      </c>
      <c r="E9" s="387">
        <f>Presupuesto!D279</f>
        <v>212402</v>
      </c>
      <c r="F9" s="387">
        <f>Presupuesto!E279</f>
        <v>212402</v>
      </c>
      <c r="G9" s="387">
        <f>Presupuesto!F279</f>
        <v>212402</v>
      </c>
      <c r="I9" s="468"/>
      <c r="J9" s="393" t="s">
        <v>1838</v>
      </c>
      <c r="K9" s="388"/>
      <c r="L9" s="388"/>
      <c r="M9" s="388"/>
      <c r="N9" s="388"/>
      <c r="O9" s="388"/>
      <c r="P9" s="386"/>
    </row>
    <row r="10" spans="1:22" ht="15" x14ac:dyDescent="0.2">
      <c r="B10" s="385" t="s">
        <v>1784</v>
      </c>
      <c r="C10" s="467">
        <f>C7-SUM(C8:C9)</f>
        <v>-399943.37875402812</v>
      </c>
      <c r="D10" s="389">
        <f>D7-SUM(D8:D9)</f>
        <v>110844.70843900321</v>
      </c>
      <c r="E10" s="389">
        <f>E7-SUM(E8:E9)</f>
        <v>832056.38083708787</v>
      </c>
      <c r="F10" s="389">
        <f>F7-SUM(F8:F9)</f>
        <v>1730257.2394853244</v>
      </c>
      <c r="G10" s="389">
        <f>G7-SUM(G8:G9)</f>
        <v>2857669.3806952005</v>
      </c>
      <c r="I10" s="468"/>
      <c r="J10" s="15" t="s">
        <v>1839</v>
      </c>
      <c r="K10" s="392">
        <f>'Inversión del Proyecto'!$AD$7</f>
        <v>553731.88520000002</v>
      </c>
      <c r="L10" s="392">
        <f>'Inversión del Proyecto'!$AD$7</f>
        <v>553731.88520000002</v>
      </c>
      <c r="M10" s="392">
        <f>'Inversión del Proyecto'!$AD$7</f>
        <v>553731.88520000002</v>
      </c>
      <c r="N10" s="392">
        <f>'Inversión del Proyecto'!$AD$7</f>
        <v>553731.88520000002</v>
      </c>
      <c r="O10" s="392">
        <f>'Inversión del Proyecto'!$AD$7</f>
        <v>553731.88520000002</v>
      </c>
      <c r="P10" s="392">
        <f>'Inversión del Proyecto'!$AD$7</f>
        <v>553731.88520000002</v>
      </c>
    </row>
    <row r="11" spans="1:22" x14ac:dyDescent="0.2">
      <c r="B11" s="15" t="s">
        <v>1962</v>
      </c>
      <c r="C11" s="387">
        <f>L11+L13</f>
        <v>27960.142000000003</v>
      </c>
      <c r="D11" s="387">
        <f>-(-M11+L11+(-M13+L13))</f>
        <v>25015.422000000002</v>
      </c>
      <c r="E11" s="387">
        <f>-(-N11+M11+(-N13+M13))</f>
        <v>25015.421999999999</v>
      </c>
      <c r="F11" s="387">
        <f>-(-O11+N11+(-O13+N13))</f>
        <v>25015.42199999998</v>
      </c>
      <c r="G11" s="387">
        <f>-(-P11+O11+(-P13+O13))</f>
        <v>17031.612000000005</v>
      </c>
      <c r="J11" s="15" t="s">
        <v>1840</v>
      </c>
      <c r="K11" s="474">
        <v>0</v>
      </c>
      <c r="L11" s="392">
        <f>Presupuesto!D224+Presupuesto!D225+Presupuesto!D190+Presupuesto!D191</f>
        <v>21055.660000000003</v>
      </c>
      <c r="M11" s="392">
        <f>L11+Presupuesto!E190+Presupuesto!E191+Presupuesto!E224+Presupuesto!E225</f>
        <v>42111.320000000007</v>
      </c>
      <c r="N11" s="392">
        <f>M11+Presupuesto!F190+Presupuesto!F191+Presupuesto!F224+Presupuesto!F225</f>
        <v>63166.98</v>
      </c>
      <c r="O11" s="392">
        <f>N11+Presupuesto!G190+Presupuesto!G191+Presupuesto!G224+Presupuesto!G225</f>
        <v>84222.639999999985</v>
      </c>
      <c r="P11" s="392">
        <f>O11+Presupuesto!H190+Presupuesto!H191+Presupuesto!H224+Presupuesto!H225</f>
        <v>97294.489999999991</v>
      </c>
    </row>
    <row r="12" spans="1:22" x14ac:dyDescent="0.2">
      <c r="B12" s="385" t="s">
        <v>1961</v>
      </c>
      <c r="C12" s="467">
        <f>C10-C11</f>
        <v>-427903.52075402811</v>
      </c>
      <c r="D12" s="389">
        <f t="shared" ref="D12:G12" si="2">D10-D11</f>
        <v>85829.286439003205</v>
      </c>
      <c r="E12" s="389">
        <f t="shared" si="2"/>
        <v>807040.95883708785</v>
      </c>
      <c r="F12" s="389">
        <f t="shared" si="2"/>
        <v>1705241.8174853243</v>
      </c>
      <c r="G12" s="389">
        <f t="shared" si="2"/>
        <v>2840637.7686952003</v>
      </c>
      <c r="J12" s="15" t="s">
        <v>1841</v>
      </c>
      <c r="K12" s="392">
        <f>'Inversión del Proyecto'!$AD$8</f>
        <v>26837.365400000002</v>
      </c>
      <c r="L12" s="392">
        <f>'Inversión del Proyecto'!$AD$8</f>
        <v>26837.365400000002</v>
      </c>
      <c r="M12" s="392">
        <f>'Inversión del Proyecto'!$AD$8</f>
        <v>26837.365400000002</v>
      </c>
      <c r="N12" s="392">
        <f>'Inversión del Proyecto'!$AD$8</f>
        <v>26837.365400000002</v>
      </c>
      <c r="O12" s="392">
        <f>'Inversión del Proyecto'!$AD$8</f>
        <v>26837.365400000002</v>
      </c>
      <c r="P12" s="392">
        <f>'Inversión del Proyecto'!$AD$8</f>
        <v>26837.365400000002</v>
      </c>
    </row>
    <row r="13" spans="1:22" x14ac:dyDescent="0.2">
      <c r="B13" s="255" t="s">
        <v>1765</v>
      </c>
      <c r="C13" s="480">
        <f>Presupuesto!B285</f>
        <v>37534.591014905833</v>
      </c>
      <c r="D13" s="480">
        <f>Presupuesto!C285</f>
        <v>24888.95130146456</v>
      </c>
      <c r="E13" s="480">
        <f>Presupuesto!D285</f>
        <v>18307.717153924743</v>
      </c>
      <c r="F13" s="480">
        <f>Presupuesto!E285</f>
        <v>13054.989673913762</v>
      </c>
      <c r="G13" s="480">
        <f>Presupuesto!F285</f>
        <v>6993.8674347290898</v>
      </c>
      <c r="I13" s="322"/>
      <c r="J13" s="15" t="s">
        <v>1842</v>
      </c>
      <c r="K13" s="474">
        <v>0</v>
      </c>
      <c r="L13" s="392">
        <f>Presupuesto!D230+Presupuesto!D231+Presupuesto!D232</f>
        <v>6904.4820000000009</v>
      </c>
      <c r="M13" s="392">
        <f>L13+Presupuesto!E230+Presupuesto!E231+Presupuesto!E232</f>
        <v>10864.244000000001</v>
      </c>
      <c r="N13" s="392">
        <f>M13+Presupuesto!F230+Presupuesto!F231+Presupuesto!F232</f>
        <v>14824.006000000001</v>
      </c>
      <c r="O13" s="392">
        <f>N13+Presupuesto!G230+Presupuesto!G231+Presupuesto!G232</f>
        <v>18783.768</v>
      </c>
      <c r="P13" s="392">
        <f>O13+Presupuesto!H230+Presupuesto!H231+Presupuesto!H232</f>
        <v>22743.53</v>
      </c>
    </row>
    <row r="14" spans="1:22" x14ac:dyDescent="0.2">
      <c r="B14" s="385" t="s">
        <v>1785</v>
      </c>
      <c r="C14" s="467">
        <f>C12-C13</f>
        <v>-465438.11176893394</v>
      </c>
      <c r="D14" s="389">
        <f t="shared" ref="D14:G14" si="3">D12-D13</f>
        <v>60940.335137538641</v>
      </c>
      <c r="E14" s="389">
        <f t="shared" si="3"/>
        <v>788733.2416831631</v>
      </c>
      <c r="F14" s="389">
        <f t="shared" si="3"/>
        <v>1692186.8278114107</v>
      </c>
      <c r="G14" s="389">
        <f t="shared" si="3"/>
        <v>2833643.9012604714</v>
      </c>
      <c r="I14" s="322"/>
      <c r="J14" s="385" t="s">
        <v>1844</v>
      </c>
      <c r="K14" s="389">
        <f>K10+K12-K11-K13</f>
        <v>580569.25060000003</v>
      </c>
      <c r="L14" s="389">
        <f>L10+L12-L11-L13</f>
        <v>552609.10860000004</v>
      </c>
      <c r="M14" s="389">
        <f t="shared" ref="M14:P14" si="4">M10+M12-M11-M13</f>
        <v>527593.68660000013</v>
      </c>
      <c r="N14" s="389">
        <f t="shared" si="4"/>
        <v>502578.26460000005</v>
      </c>
      <c r="O14" s="389">
        <f t="shared" si="4"/>
        <v>477562.84260000003</v>
      </c>
      <c r="P14" s="389">
        <f t="shared" si="4"/>
        <v>460531.23060000001</v>
      </c>
    </row>
    <row r="15" spans="1:22" x14ac:dyDescent="0.2">
      <c r="A15" s="9" t="s">
        <v>398</v>
      </c>
      <c r="B15" s="255" t="s">
        <v>1786</v>
      </c>
      <c r="C15" s="387">
        <v>0</v>
      </c>
      <c r="D15" s="387">
        <f>D14*29.5%</f>
        <v>17977.398865573898</v>
      </c>
      <c r="E15" s="387">
        <f>E14*29.5%</f>
        <v>232676.30629653309</v>
      </c>
      <c r="F15" s="387">
        <f>F14*29.5%</f>
        <v>499195.11420436611</v>
      </c>
      <c r="G15" s="387">
        <f>G14*29.5%</f>
        <v>835924.95087183907</v>
      </c>
      <c r="J15" s="385" t="s">
        <v>1845</v>
      </c>
      <c r="K15" s="389">
        <f>K8+K14</f>
        <v>1045729.3100220781</v>
      </c>
      <c r="L15" s="389">
        <f>L8+L14</f>
        <v>676839.60526804999</v>
      </c>
      <c r="M15" s="389">
        <f t="shared" ref="M15:P15" si="5">M8+M14</f>
        <v>876760.33707254543</v>
      </c>
      <c r="N15" s="389">
        <f t="shared" si="5"/>
        <v>926180.47011613101</v>
      </c>
      <c r="O15" s="389">
        <f t="shared" si="5"/>
        <v>2163339.5892867497</v>
      </c>
      <c r="P15" s="389">
        <f t="shared" si="5"/>
        <v>5408124.1566068167</v>
      </c>
    </row>
    <row r="16" spans="1:22" x14ac:dyDescent="0.2">
      <c r="A16" s="9" t="s">
        <v>398</v>
      </c>
      <c r="B16" s="385" t="s">
        <v>1894</v>
      </c>
      <c r="C16" s="467">
        <f>C14</f>
        <v>-465438.11176893394</v>
      </c>
      <c r="D16" s="389">
        <f>D14-D15</f>
        <v>42962.936271964747</v>
      </c>
      <c r="E16" s="389">
        <f t="shared" ref="E16:G16" si="6">E14-E15</f>
        <v>556056.93538663001</v>
      </c>
      <c r="F16" s="389">
        <f t="shared" si="6"/>
        <v>1192991.7136070444</v>
      </c>
      <c r="G16" s="389">
        <f t="shared" si="6"/>
        <v>1997718.9503886322</v>
      </c>
      <c r="J16" s="393" t="s">
        <v>1846</v>
      </c>
      <c r="K16" s="388"/>
      <c r="L16" s="388"/>
      <c r="M16" s="388"/>
      <c r="N16" s="388"/>
      <c r="O16" s="388"/>
      <c r="P16" s="386"/>
    </row>
    <row r="17" spans="1:22" hidden="1" x14ac:dyDescent="0.2">
      <c r="A17" s="9" t="s">
        <v>398</v>
      </c>
      <c r="B17" s="15" t="s">
        <v>1790</v>
      </c>
      <c r="C17" s="390">
        <v>0</v>
      </c>
      <c r="D17" s="390">
        <v>0</v>
      </c>
      <c r="E17" s="390">
        <v>0</v>
      </c>
      <c r="F17" s="390">
        <v>0</v>
      </c>
      <c r="G17" s="390">
        <v>0</v>
      </c>
      <c r="J17" s="15" t="s">
        <v>1847</v>
      </c>
      <c r="K17" s="392">
        <f>D72</f>
        <v>80111.308985094161</v>
      </c>
      <c r="L17" s="392">
        <f>E72</f>
        <v>60153.248698535434</v>
      </c>
      <c r="M17" s="392">
        <f>F72</f>
        <v>34130.782846075257</v>
      </c>
      <c r="N17" s="392">
        <f>G72</f>
        <v>39383.510326086238</v>
      </c>
      <c r="O17" s="392">
        <f>H72</f>
        <v>45444.632565270913</v>
      </c>
      <c r="P17" s="392"/>
      <c r="Q17" s="15"/>
      <c r="R17" s="15"/>
      <c r="S17" s="15"/>
      <c r="T17" s="15"/>
      <c r="U17" s="15"/>
      <c r="V17" s="15"/>
    </row>
    <row r="18" spans="1:22" hidden="1" x14ac:dyDescent="0.2">
      <c r="A18" s="9" t="s">
        <v>398</v>
      </c>
      <c r="B18" s="15" t="s">
        <v>1787</v>
      </c>
      <c r="C18" s="474">
        <v>0</v>
      </c>
      <c r="D18" s="387">
        <f>D16*D17</f>
        <v>0</v>
      </c>
      <c r="E18" s="387">
        <f>E16*E17</f>
        <v>0</v>
      </c>
      <c r="F18" s="387">
        <v>0</v>
      </c>
      <c r="G18" s="387">
        <v>0</v>
      </c>
      <c r="I18" s="176"/>
      <c r="J18" s="9" t="s">
        <v>1957</v>
      </c>
      <c r="K18" s="392">
        <f>'Inversión del Proyecto'!AD9</f>
        <v>232580.02971103904</v>
      </c>
      <c r="L18" s="392">
        <f>K18+232580</f>
        <v>465160.02971103904</v>
      </c>
      <c r="M18" s="392">
        <f>L18+232580</f>
        <v>697740.02971103904</v>
      </c>
      <c r="N18" s="392">
        <f>M18</f>
        <v>697740.02971103904</v>
      </c>
      <c r="O18" s="392">
        <f t="shared" ref="O18:P18" si="7">N18</f>
        <v>697740.02971103904</v>
      </c>
      <c r="P18" s="392">
        <f t="shared" si="7"/>
        <v>697740.02971103904</v>
      </c>
      <c r="Q18" s="477" t="s">
        <v>1959</v>
      </c>
      <c r="R18" s="15"/>
      <c r="S18" s="15"/>
      <c r="T18" s="15"/>
      <c r="U18" s="15"/>
      <c r="V18" s="15"/>
    </row>
    <row r="19" spans="1:22" hidden="1" x14ac:dyDescent="0.2">
      <c r="B19" s="15" t="s">
        <v>1788</v>
      </c>
      <c r="C19" s="474">
        <v>0</v>
      </c>
      <c r="D19" s="387">
        <v>0</v>
      </c>
      <c r="E19" s="387">
        <v>0</v>
      </c>
      <c r="F19" s="387">
        <v>0</v>
      </c>
      <c r="G19" s="387">
        <v>0</v>
      </c>
      <c r="J19" s="385" t="s">
        <v>1848</v>
      </c>
      <c r="K19" s="389">
        <f>K17+K18</f>
        <v>312691.33869613323</v>
      </c>
      <c r="L19" s="389">
        <f>L17+L18</f>
        <v>525313.27840957441</v>
      </c>
      <c r="M19" s="389">
        <f t="shared" ref="M19:P19" si="8">M17+M18</f>
        <v>731870.81255711429</v>
      </c>
      <c r="N19" s="389">
        <f t="shared" si="8"/>
        <v>737123.54003712523</v>
      </c>
      <c r="O19" s="389">
        <f t="shared" si="8"/>
        <v>743184.66227630991</v>
      </c>
      <c r="P19" s="389">
        <f t="shared" si="8"/>
        <v>697740.02971103904</v>
      </c>
      <c r="Q19" s="477" t="s">
        <v>1960</v>
      </c>
      <c r="R19" s="15"/>
      <c r="S19" s="15"/>
      <c r="T19" s="15"/>
      <c r="U19" s="15"/>
      <c r="V19" s="15"/>
    </row>
    <row r="20" spans="1:22" x14ac:dyDescent="0.2">
      <c r="A20" s="176" t="s">
        <v>1791</v>
      </c>
      <c r="B20" s="385" t="s">
        <v>1789</v>
      </c>
      <c r="C20" s="479">
        <f>C16</f>
        <v>-465438.11176893394</v>
      </c>
      <c r="D20" s="479">
        <f>C20+D16</f>
        <v>-422475.1754969692</v>
      </c>
      <c r="E20" s="388">
        <f>E16+D20</f>
        <v>133581.75988966081</v>
      </c>
      <c r="F20" s="388">
        <f>F16+E20</f>
        <v>1326573.4734967053</v>
      </c>
      <c r="G20" s="388">
        <f>G16+F20</f>
        <v>3324292.4238853375</v>
      </c>
      <c r="I20" s="434"/>
      <c r="J20" s="393" t="s">
        <v>1850</v>
      </c>
      <c r="K20" s="388"/>
      <c r="L20" s="388"/>
      <c r="M20" s="388"/>
      <c r="N20" s="388"/>
      <c r="O20" s="388"/>
      <c r="P20" s="386"/>
    </row>
    <row r="21" spans="1:22" x14ac:dyDescent="0.2">
      <c r="B21" s="660" t="s">
        <v>1963</v>
      </c>
      <c r="C21" s="660"/>
      <c r="D21" s="660"/>
      <c r="E21" s="660"/>
      <c r="F21" s="660"/>
      <c r="G21" s="660"/>
      <c r="J21" s="15" t="s">
        <v>1624</v>
      </c>
      <c r="K21" s="392">
        <f>$C$70-K17</f>
        <v>187091.47807932147</v>
      </c>
      <c r="L21" s="392">
        <f>K21-L17</f>
        <v>126938.22938078604</v>
      </c>
      <c r="M21" s="392">
        <f>L21-M17</f>
        <v>92807.446534710791</v>
      </c>
      <c r="N21" s="392">
        <f>M21-N17</f>
        <v>53423.936208624553</v>
      </c>
      <c r="O21" s="392">
        <f>N21-O17</f>
        <v>7979.3036433536399</v>
      </c>
      <c r="P21" s="392">
        <f>O21-P17</f>
        <v>7979.3036433536399</v>
      </c>
    </row>
    <row r="22" spans="1:22" x14ac:dyDescent="0.2">
      <c r="A22" s="176" t="s">
        <v>1792</v>
      </c>
      <c r="I22" s="322"/>
      <c r="J22" s="385" t="s">
        <v>1849</v>
      </c>
      <c r="K22" s="389">
        <f>K21</f>
        <v>187091.47807932147</v>
      </c>
      <c r="L22" s="389">
        <f t="shared" ref="L22:P22" si="9">L21</f>
        <v>126938.22938078604</v>
      </c>
      <c r="M22" s="389">
        <f t="shared" si="9"/>
        <v>92807.446534710791</v>
      </c>
      <c r="N22" s="389">
        <f t="shared" si="9"/>
        <v>53423.936208624553</v>
      </c>
      <c r="O22" s="389">
        <f t="shared" si="9"/>
        <v>7979.3036433536399</v>
      </c>
      <c r="P22" s="389">
        <f t="shared" si="9"/>
        <v>7979.3036433536399</v>
      </c>
    </row>
    <row r="23" spans="1:22" x14ac:dyDescent="0.2">
      <c r="B23" s="176"/>
      <c r="J23" s="385" t="s">
        <v>1851</v>
      </c>
      <c r="K23" s="389">
        <f>K19+K22</f>
        <v>499782.81677545467</v>
      </c>
      <c r="L23" s="389">
        <f t="shared" ref="L23:N23" si="10">L19+L22</f>
        <v>652251.50779036048</v>
      </c>
      <c r="M23" s="389">
        <f t="shared" si="10"/>
        <v>824678.25909182511</v>
      </c>
      <c r="N23" s="389">
        <f t="shared" si="10"/>
        <v>790547.47624574974</v>
      </c>
      <c r="O23" s="389">
        <f>O19+O22</f>
        <v>751163.96591966355</v>
      </c>
      <c r="P23" s="389">
        <f t="shared" ref="P23" si="11">P19+P22</f>
        <v>705719.33335439267</v>
      </c>
    </row>
    <row r="24" spans="1:22" x14ac:dyDescent="0.2">
      <c r="J24" s="393" t="s">
        <v>1852</v>
      </c>
      <c r="K24" s="388"/>
      <c r="L24" s="388"/>
      <c r="M24" s="388"/>
      <c r="N24" s="388"/>
      <c r="O24" s="388"/>
      <c r="P24" s="386"/>
      <c r="Q24" s="322"/>
    </row>
    <row r="25" spans="1:22" x14ac:dyDescent="0.2">
      <c r="B25" s="176"/>
      <c r="J25" s="15" t="s">
        <v>1853</v>
      </c>
      <c r="K25" s="392">
        <f>'Financiamiento del Proyecto'!$G$7</f>
        <v>545946.49324662343</v>
      </c>
      <c r="L25" s="392">
        <f>'Financiamiento del Proyecto'!$G$7</f>
        <v>545946.49324662343</v>
      </c>
      <c r="M25" s="392">
        <f>'Financiamiento del Proyecto'!$G$7+500000</f>
        <v>1045946.4932466234</v>
      </c>
      <c r="N25" s="392">
        <f>M25</f>
        <v>1045946.4932466234</v>
      </c>
      <c r="O25" s="392">
        <f t="shared" ref="O25:P25" si="12">N25</f>
        <v>1045946.4932466234</v>
      </c>
      <c r="P25" s="392">
        <f t="shared" si="12"/>
        <v>1045946.4932466234</v>
      </c>
      <c r="Q25" s="478" t="s">
        <v>1964</v>
      </c>
      <c r="R25" s="478"/>
      <c r="S25" s="478"/>
      <c r="T25" s="478"/>
      <c r="U25" s="478"/>
    </row>
    <row r="26" spans="1:22" x14ac:dyDescent="0.2">
      <c r="B26" s="384"/>
      <c r="C26" s="384" t="s">
        <v>1932</v>
      </c>
      <c r="D26" s="384" t="s">
        <v>1296</v>
      </c>
      <c r="E26" s="384" t="s">
        <v>1297</v>
      </c>
      <c r="F26" s="384" t="s">
        <v>1298</v>
      </c>
      <c r="G26" s="384" t="s">
        <v>1299</v>
      </c>
      <c r="H26" s="384" t="s">
        <v>1300</v>
      </c>
      <c r="J26" s="15" t="s">
        <v>1788</v>
      </c>
      <c r="K26" s="474">
        <v>0</v>
      </c>
      <c r="L26" s="392">
        <f>C19</f>
        <v>0</v>
      </c>
      <c r="M26" s="392">
        <f>D19</f>
        <v>0</v>
      </c>
      <c r="N26" s="392">
        <f>E19</f>
        <v>0</v>
      </c>
      <c r="O26" s="392">
        <f>F19</f>
        <v>0</v>
      </c>
      <c r="P26" s="392">
        <f>G19</f>
        <v>0</v>
      </c>
      <c r="Q26" s="478"/>
      <c r="R26" s="478"/>
      <c r="S26" s="478"/>
      <c r="T26" s="478"/>
      <c r="U26" s="478"/>
    </row>
    <row r="27" spans="1:22" x14ac:dyDescent="0.2">
      <c r="B27" s="386" t="s">
        <v>1509</v>
      </c>
      <c r="C27" s="388"/>
      <c r="D27" s="388"/>
      <c r="E27" s="388"/>
      <c r="F27" s="388"/>
      <c r="G27" s="388"/>
      <c r="H27" s="388"/>
      <c r="J27" s="15" t="s">
        <v>1854</v>
      </c>
      <c r="K27" s="474">
        <v>0</v>
      </c>
      <c r="L27" s="392">
        <f>C20</f>
        <v>-465438.11176893394</v>
      </c>
      <c r="M27" s="392">
        <f>L27+D20</f>
        <v>-887913.28726590308</v>
      </c>
      <c r="N27" s="392">
        <f>M27+E20</f>
        <v>-754331.52737624221</v>
      </c>
      <c r="O27" s="392">
        <f>N27+F20</f>
        <v>572241.94612046308</v>
      </c>
      <c r="P27" s="392">
        <f>O27+G20</f>
        <v>3896534.3700058004</v>
      </c>
    </row>
    <row r="28" spans="1:22" x14ac:dyDescent="0.2">
      <c r="B28" s="15" t="s">
        <v>1793</v>
      </c>
      <c r="C28" s="469"/>
      <c r="D28" s="470">
        <f>Presupuesto!B7</f>
        <v>195352.56</v>
      </c>
      <c r="E28" s="470">
        <f>Presupuesto!C7</f>
        <v>359367.83999999997</v>
      </c>
      <c r="F28" s="470">
        <f>Presupuesto!D7</f>
        <v>578981.52</v>
      </c>
      <c r="G28" s="470">
        <f>Presupuesto!E7</f>
        <v>859753.44</v>
      </c>
      <c r="H28" s="470">
        <f>Presupuesto!F7</f>
        <v>1207243.44</v>
      </c>
      <c r="J28" s="385" t="s">
        <v>1855</v>
      </c>
      <c r="K28" s="389">
        <f>K25+K26+K27</f>
        <v>545946.49324662343</v>
      </c>
      <c r="L28" s="389">
        <f t="shared" ref="L28:P28" si="13">L25+L26+L27</f>
        <v>80508.381477689487</v>
      </c>
      <c r="M28" s="389">
        <f t="shared" si="13"/>
        <v>158033.20598072035</v>
      </c>
      <c r="N28" s="389">
        <f t="shared" si="13"/>
        <v>291614.96587038122</v>
      </c>
      <c r="O28" s="389">
        <f t="shared" si="13"/>
        <v>1618188.4393670866</v>
      </c>
      <c r="P28" s="389">
        <f t="shared" si="13"/>
        <v>4942480.8632524237</v>
      </c>
    </row>
    <row r="29" spans="1:22" x14ac:dyDescent="0.2">
      <c r="B29" s="15" t="s">
        <v>1794</v>
      </c>
      <c r="C29" s="469"/>
      <c r="D29" s="469"/>
      <c r="E29" s="469"/>
      <c r="F29" s="469"/>
      <c r="G29" s="469"/>
      <c r="H29" s="470">
        <f>'Inversión del Proyecto'!E76</f>
        <v>190390.5252</v>
      </c>
      <c r="J29" s="385" t="s">
        <v>1856</v>
      </c>
      <c r="K29" s="389">
        <f>K23+K28</f>
        <v>1045729.3100220781</v>
      </c>
      <c r="L29" s="389">
        <f t="shared" ref="L29:P29" si="14">L23+L28</f>
        <v>732759.88926804997</v>
      </c>
      <c r="M29" s="389">
        <f t="shared" si="14"/>
        <v>982711.46507254546</v>
      </c>
      <c r="N29" s="389">
        <f t="shared" si="14"/>
        <v>1082162.4421161311</v>
      </c>
      <c r="O29" s="389">
        <f t="shared" si="14"/>
        <v>2369352.4052867503</v>
      </c>
      <c r="P29" s="389">
        <f t="shared" si="14"/>
        <v>5648200.1966068167</v>
      </c>
    </row>
    <row r="30" spans="1:22" x14ac:dyDescent="0.2">
      <c r="B30" s="15" t="s">
        <v>1795</v>
      </c>
      <c r="C30" s="469"/>
      <c r="D30" s="469"/>
      <c r="E30" s="469"/>
      <c r="F30" s="469"/>
      <c r="G30" s="469"/>
      <c r="H30" s="470">
        <f>'Financiamiento del Proyecto'!D3</f>
        <v>41864.405347987027</v>
      </c>
      <c r="K30" s="322">
        <f>K29-K15</f>
        <v>0</v>
      </c>
      <c r="L30" s="322">
        <f t="shared" ref="L30:P30" si="15">L29-L15</f>
        <v>55920.283999999985</v>
      </c>
      <c r="M30" s="322">
        <f t="shared" si="15"/>
        <v>105951.12800000003</v>
      </c>
      <c r="N30" s="322">
        <f t="shared" si="15"/>
        <v>155981.97200000007</v>
      </c>
      <c r="O30" s="322">
        <f t="shared" si="15"/>
        <v>206012.81600000057</v>
      </c>
      <c r="P30" s="322">
        <f t="shared" si="15"/>
        <v>240076.04000000004</v>
      </c>
    </row>
    <row r="31" spans="1:22" x14ac:dyDescent="0.2">
      <c r="B31" s="386" t="s">
        <v>1796</v>
      </c>
      <c r="C31" s="471"/>
      <c r="D31" s="471">
        <f>D28+D29+D30</f>
        <v>195352.56</v>
      </c>
      <c r="E31" s="471">
        <f>E28+E29+E30</f>
        <v>359367.83999999997</v>
      </c>
      <c r="F31" s="471">
        <f>F28+F29+F30</f>
        <v>578981.52</v>
      </c>
      <c r="G31" s="471">
        <f>G28+G29+G30</f>
        <v>859753.44</v>
      </c>
      <c r="H31" s="471">
        <f>H28+H29+H30</f>
        <v>1439498.3705479871</v>
      </c>
      <c r="I31" s="176"/>
      <c r="K31" s="322"/>
      <c r="L31" s="322"/>
      <c r="M31" s="322"/>
      <c r="N31" s="322"/>
      <c r="O31" s="322"/>
      <c r="P31" s="322"/>
    </row>
    <row r="32" spans="1:22" x14ac:dyDescent="0.2">
      <c r="B32" s="386" t="s">
        <v>1797</v>
      </c>
      <c r="C32" s="388"/>
      <c r="D32" s="388"/>
      <c r="E32" s="388"/>
      <c r="F32" s="388"/>
      <c r="G32" s="388"/>
      <c r="H32" s="388"/>
      <c r="J32" s="9" t="s">
        <v>1937</v>
      </c>
      <c r="K32" s="322">
        <f t="shared" ref="K32:P32" si="16">K15</f>
        <v>1045729.3100220781</v>
      </c>
      <c r="L32" s="322">
        <f t="shared" si="16"/>
        <v>676839.60526804999</v>
      </c>
      <c r="M32" s="322">
        <f t="shared" si="16"/>
        <v>876760.33707254543</v>
      </c>
      <c r="N32" s="322">
        <f t="shared" si="16"/>
        <v>926180.47011613101</v>
      </c>
      <c r="O32" s="322">
        <f t="shared" si="16"/>
        <v>2163339.5892867497</v>
      </c>
      <c r="P32" s="322">
        <f t="shared" si="16"/>
        <v>5408124.1566068167</v>
      </c>
    </row>
    <row r="33" spans="1:17" x14ac:dyDescent="0.2">
      <c r="B33" s="391" t="s">
        <v>1801</v>
      </c>
      <c r="C33" s="384"/>
      <c r="D33" s="384"/>
      <c r="E33" s="384"/>
      <c r="F33" s="384"/>
      <c r="G33" s="384"/>
      <c r="H33" s="384"/>
      <c r="K33" s="322"/>
      <c r="L33" s="322"/>
      <c r="M33" s="322"/>
      <c r="N33" s="322"/>
      <c r="O33" s="322"/>
      <c r="P33" s="322"/>
    </row>
    <row r="34" spans="1:17" x14ac:dyDescent="0.2">
      <c r="B34" s="15" t="s">
        <v>1798</v>
      </c>
      <c r="C34" s="470">
        <f>'Inversión del Proyecto'!C68</f>
        <v>29277.745199999998</v>
      </c>
      <c r="D34" s="15"/>
      <c r="E34" s="15"/>
      <c r="F34" s="15"/>
      <c r="G34" s="15"/>
      <c r="H34" s="15"/>
      <c r="J34" s="9" t="s">
        <v>1935</v>
      </c>
      <c r="K34" s="322">
        <f>K28</f>
        <v>545946.49324662343</v>
      </c>
      <c r="L34" s="322">
        <f t="shared" ref="L34:P34" si="17">L28</f>
        <v>80508.381477689487</v>
      </c>
      <c r="M34" s="322">
        <f t="shared" si="17"/>
        <v>158033.20598072035</v>
      </c>
      <c r="N34" s="322">
        <f t="shared" si="17"/>
        <v>291614.96587038122</v>
      </c>
      <c r="O34" s="322">
        <f t="shared" si="17"/>
        <v>1618188.4393670866</v>
      </c>
      <c r="P34" s="322">
        <f t="shared" si="17"/>
        <v>4942480.8632524237</v>
      </c>
    </row>
    <row r="35" spans="1:17" x14ac:dyDescent="0.2">
      <c r="B35" s="15" t="s">
        <v>1799</v>
      </c>
      <c r="C35" s="470">
        <f>'Inversión del Proyecto'!J44</f>
        <v>4093.8353999999999</v>
      </c>
      <c r="D35" s="15"/>
      <c r="E35" s="15"/>
      <c r="F35" s="15"/>
      <c r="G35" s="15"/>
      <c r="H35" s="15"/>
      <c r="J35" s="9" t="s">
        <v>1936</v>
      </c>
      <c r="K35" s="322">
        <f>K23</f>
        <v>499782.81677545467</v>
      </c>
      <c r="L35" s="322">
        <f t="shared" ref="L35:P35" si="18">L23</f>
        <v>652251.50779036048</v>
      </c>
      <c r="M35" s="322">
        <f t="shared" si="18"/>
        <v>824678.25909182511</v>
      </c>
      <c r="N35" s="322">
        <f t="shared" si="18"/>
        <v>790547.47624574974</v>
      </c>
      <c r="O35" s="322">
        <f t="shared" si="18"/>
        <v>751163.96591966355</v>
      </c>
      <c r="P35" s="322">
        <f t="shared" si="18"/>
        <v>705719.33335439267</v>
      </c>
    </row>
    <row r="36" spans="1:17" x14ac:dyDescent="0.2">
      <c r="B36" s="15" t="s">
        <v>1800</v>
      </c>
      <c r="C36" s="470">
        <f>H30</f>
        <v>41864.405347987027</v>
      </c>
      <c r="D36" s="15"/>
      <c r="E36" s="15"/>
      <c r="F36" s="15"/>
      <c r="G36" s="15"/>
      <c r="H36" s="15"/>
    </row>
    <row r="37" spans="1:17" x14ac:dyDescent="0.2">
      <c r="B37" s="391" t="s">
        <v>1802</v>
      </c>
      <c r="C37" s="384"/>
      <c r="D37" s="384"/>
      <c r="E37" s="384"/>
      <c r="F37" s="384"/>
      <c r="G37" s="384"/>
      <c r="H37" s="384"/>
      <c r="J37" s="9" t="s">
        <v>1938</v>
      </c>
      <c r="K37" s="322">
        <f>K34+K35</f>
        <v>1045729.3100220781</v>
      </c>
      <c r="L37" s="322">
        <f>L34+L35</f>
        <v>732759.88926804997</v>
      </c>
      <c r="M37" s="322">
        <f t="shared" ref="M37:P37" si="19">M34+M35</f>
        <v>982711.46507254546</v>
      </c>
      <c r="N37" s="322">
        <f t="shared" si="19"/>
        <v>1082162.4421161311</v>
      </c>
      <c r="O37" s="322">
        <f t="shared" si="19"/>
        <v>2369352.4052867503</v>
      </c>
      <c r="P37" s="322">
        <f t="shared" si="19"/>
        <v>5648200.1966068167</v>
      </c>
    </row>
    <row r="38" spans="1:17" x14ac:dyDescent="0.2">
      <c r="B38" s="15" t="s">
        <v>1803</v>
      </c>
      <c r="C38" s="469"/>
      <c r="D38" s="470">
        <f>Presupuesto!B161</f>
        <v>53909.210957011055</v>
      </c>
      <c r="E38" s="470">
        <f>Presupuesto!C161</f>
        <v>99438.751817077369</v>
      </c>
      <c r="F38" s="470">
        <f>Presupuesto!D161</f>
        <v>160051.69885164415</v>
      </c>
      <c r="G38" s="470">
        <f>Presupuesto!E161</f>
        <v>237703.30841666542</v>
      </c>
      <c r="H38" s="470">
        <f>Presupuesto!F161</f>
        <v>333510.86985839991</v>
      </c>
    </row>
    <row r="39" spans="1:17" x14ac:dyDescent="0.2">
      <c r="B39" s="15" t="s">
        <v>1804</v>
      </c>
      <c r="C39" s="469"/>
      <c r="D39" s="469"/>
      <c r="E39" s="469"/>
      <c r="F39" s="469"/>
      <c r="G39" s="469"/>
      <c r="H39" s="469"/>
      <c r="Q39" s="327"/>
    </row>
    <row r="40" spans="1:17" x14ac:dyDescent="0.2">
      <c r="B40" s="15" t="s">
        <v>1805</v>
      </c>
      <c r="C40" s="469"/>
      <c r="D40" s="470">
        <f>Presupuesto!B199</f>
        <v>14724.712624390246</v>
      </c>
      <c r="E40" s="470">
        <f>Presupuesto!C199</f>
        <v>15778.371160975614</v>
      </c>
      <c r="F40" s="470">
        <f>Presupuesto!D199</f>
        <v>18939.346770731718</v>
      </c>
      <c r="G40" s="470">
        <f>Presupuesto!E199</f>
        <v>18939.346770731718</v>
      </c>
      <c r="H40" s="470">
        <f>Presupuesto!F199</f>
        <v>18939.346770731718</v>
      </c>
      <c r="J40" s="15"/>
      <c r="K40" s="15"/>
      <c r="L40" s="15"/>
      <c r="M40" s="15"/>
      <c r="N40" s="475"/>
      <c r="O40" s="475"/>
      <c r="P40" s="475"/>
    </row>
    <row r="41" spans="1:17" x14ac:dyDescent="0.2">
      <c r="B41" s="15" t="s">
        <v>1806</v>
      </c>
      <c r="C41" s="469"/>
      <c r="D41" s="470">
        <f>Presupuesto!B253</f>
        <v>29217.693267043913</v>
      </c>
      <c r="E41" s="470">
        <f>Presupuesto!C253</f>
        <v>29217.693267043913</v>
      </c>
      <c r="F41" s="470">
        <f>Presupuesto!D253</f>
        <v>29217.693267043913</v>
      </c>
      <c r="G41" s="470">
        <f>Presupuesto!E253</f>
        <v>29217.693267043913</v>
      </c>
      <c r="H41" s="470">
        <f>Presupuesto!F253</f>
        <v>29217.693267043913</v>
      </c>
      <c r="J41" s="15"/>
      <c r="K41" s="15"/>
      <c r="L41" s="15"/>
      <c r="M41" s="15"/>
      <c r="N41" s="15"/>
      <c r="O41" s="15"/>
      <c r="P41" s="15"/>
    </row>
    <row r="42" spans="1:17" x14ac:dyDescent="0.2">
      <c r="B42" s="15" t="s">
        <v>1807</v>
      </c>
      <c r="C42" s="470"/>
      <c r="D42" s="470">
        <f>Presupuesto!B280</f>
        <v>16331.707317073175</v>
      </c>
      <c r="E42" s="470">
        <f>Presupuesto!C280</f>
        <v>16331.707317073175</v>
      </c>
      <c r="F42" s="470">
        <f>Presupuesto!D280</f>
        <v>7902.4390243902453</v>
      </c>
      <c r="G42" s="470">
        <f>Presupuesto!E280</f>
        <v>7902.4390243902453</v>
      </c>
      <c r="H42" s="470">
        <f>Presupuesto!F280</f>
        <v>7902.4390243902453</v>
      </c>
      <c r="J42" s="15"/>
      <c r="K42" s="15"/>
      <c r="L42" s="15"/>
      <c r="M42" s="15"/>
      <c r="N42" s="15"/>
      <c r="O42" s="15"/>
      <c r="P42" s="15"/>
    </row>
    <row r="43" spans="1:17" x14ac:dyDescent="0.2">
      <c r="B43" s="386" t="s">
        <v>1808</v>
      </c>
      <c r="C43" s="471">
        <f t="shared" ref="C43:H43" si="20">C34+C35+C36+C38+C39+C40+C41+C42</f>
        <v>75235.985947987036</v>
      </c>
      <c r="D43" s="471">
        <f t="shared" si="20"/>
        <v>114183.32416551838</v>
      </c>
      <c r="E43" s="471">
        <f t="shared" si="20"/>
        <v>160766.5235621701</v>
      </c>
      <c r="F43" s="471">
        <f t="shared" si="20"/>
        <v>216111.17791381001</v>
      </c>
      <c r="G43" s="471">
        <f t="shared" si="20"/>
        <v>293762.78747883131</v>
      </c>
      <c r="H43" s="471">
        <f t="shared" si="20"/>
        <v>389570.3489205658</v>
      </c>
      <c r="J43" s="15"/>
      <c r="K43" s="15"/>
      <c r="L43" s="15"/>
      <c r="M43" s="15"/>
      <c r="N43" s="15"/>
      <c r="O43" s="15"/>
      <c r="P43" s="15"/>
    </row>
    <row r="44" spans="1:17" x14ac:dyDescent="0.2">
      <c r="B44" s="15" t="s">
        <v>1810</v>
      </c>
      <c r="C44" s="470">
        <f t="shared" ref="C44:H44" si="21">C31-C43</f>
        <v>-75235.985947987036</v>
      </c>
      <c r="D44" s="470">
        <f t="shared" si="21"/>
        <v>81169.235834481617</v>
      </c>
      <c r="E44" s="470">
        <f t="shared" si="21"/>
        <v>198601.31643782987</v>
      </c>
      <c r="F44" s="470">
        <f t="shared" si="21"/>
        <v>362870.34208619001</v>
      </c>
      <c r="G44" s="470">
        <f t="shared" si="21"/>
        <v>565990.65252116858</v>
      </c>
      <c r="H44" s="470">
        <f t="shared" si="21"/>
        <v>1049928.0216274213</v>
      </c>
    </row>
    <row r="45" spans="1:17" x14ac:dyDescent="0.2">
      <c r="A45" s="176" t="s">
        <v>1813</v>
      </c>
      <c r="B45" s="15" t="s">
        <v>1811</v>
      </c>
      <c r="C45" s="470">
        <f>-C44</f>
        <v>75235.985947987036</v>
      </c>
      <c r="D45" s="152">
        <v>0</v>
      </c>
      <c r="E45" s="152">
        <v>0</v>
      </c>
      <c r="F45" s="152">
        <v>0</v>
      </c>
      <c r="G45" s="152">
        <v>0</v>
      </c>
      <c r="H45" s="152">
        <v>0</v>
      </c>
      <c r="J45" s="176" t="s">
        <v>1939</v>
      </c>
      <c r="K45" s="176"/>
    </row>
    <row r="46" spans="1:17" x14ac:dyDescent="0.2">
      <c r="B46" s="386" t="s">
        <v>1812</v>
      </c>
      <c r="C46" s="471">
        <v>0</v>
      </c>
      <c r="D46" s="471">
        <f>(D44-C45)</f>
        <v>5933.249886494581</v>
      </c>
      <c r="E46" s="471">
        <f>E44</f>
        <v>198601.31643782987</v>
      </c>
      <c r="F46" s="471">
        <f>F44</f>
        <v>362870.34208619001</v>
      </c>
      <c r="G46" s="471">
        <f>G44</f>
        <v>565990.65252116858</v>
      </c>
      <c r="H46" s="471">
        <f>H44</f>
        <v>1049928.0216274213</v>
      </c>
      <c r="J46" s="15"/>
      <c r="K46" s="384" t="s">
        <v>1932</v>
      </c>
      <c r="L46" s="384" t="s">
        <v>1296</v>
      </c>
      <c r="M46" s="384" t="s">
        <v>1297</v>
      </c>
      <c r="N46" s="384" t="s">
        <v>1298</v>
      </c>
      <c r="O46" s="384" t="s">
        <v>1299</v>
      </c>
      <c r="P46" s="384" t="s">
        <v>1300</v>
      </c>
    </row>
    <row r="47" spans="1:17" x14ac:dyDescent="0.2">
      <c r="J47" s="15" t="s">
        <v>1894</v>
      </c>
      <c r="K47" s="475">
        <v>0</v>
      </c>
      <c r="L47" s="475">
        <f>C20</f>
        <v>-465438.11176893394</v>
      </c>
      <c r="M47" s="475">
        <f>D20</f>
        <v>-422475.1754969692</v>
      </c>
      <c r="N47" s="475">
        <f>E20</f>
        <v>133581.75988966081</v>
      </c>
      <c r="O47" s="475">
        <f>F20</f>
        <v>1326573.4734967053</v>
      </c>
      <c r="P47" s="475">
        <f>G20</f>
        <v>3324292.4238853375</v>
      </c>
    </row>
    <row r="48" spans="1:17" x14ac:dyDescent="0.2">
      <c r="B48" s="176"/>
      <c r="J48" s="15" t="s">
        <v>1940</v>
      </c>
      <c r="K48" s="475">
        <f>K11</f>
        <v>0</v>
      </c>
      <c r="L48" s="475">
        <f>-C11</f>
        <v>-27960.142000000003</v>
      </c>
      <c r="M48" s="475">
        <f t="shared" ref="M48:O48" si="22">-D11</f>
        <v>-25015.422000000002</v>
      </c>
      <c r="N48" s="475">
        <f t="shared" si="22"/>
        <v>-25015.421999999999</v>
      </c>
      <c r="O48" s="475">
        <f t="shared" si="22"/>
        <v>-25015.42199999998</v>
      </c>
      <c r="P48" s="475">
        <f>-G11</f>
        <v>-17031.612000000005</v>
      </c>
    </row>
    <row r="49" spans="1:16" x14ac:dyDescent="0.2">
      <c r="A49" s="176"/>
      <c r="J49" s="15" t="s">
        <v>1941</v>
      </c>
      <c r="K49" s="475">
        <v>0</v>
      </c>
      <c r="L49" s="475">
        <f>C13</f>
        <v>37534.591014905833</v>
      </c>
      <c r="M49" s="475">
        <f>D13</f>
        <v>24888.95130146456</v>
      </c>
      <c r="N49" s="475">
        <f>E13</f>
        <v>18307.717153924743</v>
      </c>
      <c r="O49" s="475">
        <f>F13</f>
        <v>13054.989673913762</v>
      </c>
      <c r="P49" s="475">
        <f>G13</f>
        <v>6993.8674347290898</v>
      </c>
    </row>
    <row r="50" spans="1:16" x14ac:dyDescent="0.2">
      <c r="A50" s="176"/>
      <c r="B50" s="15"/>
      <c r="C50" s="15"/>
      <c r="D50" s="384" t="s">
        <v>1296</v>
      </c>
      <c r="E50" s="384" t="s">
        <v>1297</v>
      </c>
      <c r="F50" s="384" t="s">
        <v>1298</v>
      </c>
      <c r="G50" s="384" t="s">
        <v>1299</v>
      </c>
      <c r="H50" s="384" t="s">
        <v>1300</v>
      </c>
      <c r="J50" s="15" t="s">
        <v>1942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</row>
    <row r="51" spans="1:16" x14ac:dyDescent="0.2">
      <c r="A51" s="176"/>
      <c r="B51" s="386" t="s">
        <v>1814</v>
      </c>
      <c r="C51" s="388"/>
      <c r="D51" s="388"/>
      <c r="E51" s="388"/>
      <c r="F51" s="388"/>
      <c r="G51" s="388"/>
      <c r="H51" s="388"/>
      <c r="J51" s="15" t="s">
        <v>1943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</row>
    <row r="52" spans="1:16" x14ac:dyDescent="0.2">
      <c r="B52" s="15" t="s">
        <v>1815</v>
      </c>
      <c r="C52" s="15"/>
      <c r="D52" s="392">
        <f>Presupuesto!B6</f>
        <v>1085292</v>
      </c>
      <c r="E52" s="392">
        <f>Presupuesto!C6</f>
        <v>1996488</v>
      </c>
      <c r="F52" s="392">
        <f>Presupuesto!D6</f>
        <v>3216564</v>
      </c>
      <c r="G52" s="392">
        <f>Presupuesto!E6</f>
        <v>4776408</v>
      </c>
      <c r="H52" s="392">
        <f>Presupuesto!F6</f>
        <v>6706908</v>
      </c>
      <c r="J52" s="15" t="s">
        <v>1944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</row>
    <row r="53" spans="1:16" x14ac:dyDescent="0.2">
      <c r="B53" s="15" t="s">
        <v>1816</v>
      </c>
      <c r="C53" s="15"/>
      <c r="D53" s="15"/>
      <c r="E53" s="15"/>
      <c r="F53" s="15"/>
      <c r="G53" s="15"/>
      <c r="H53" s="392">
        <f>'Inversión del Proyecto'!F76</f>
        <v>1248115.6651999999</v>
      </c>
      <c r="J53" s="391" t="s">
        <v>1945</v>
      </c>
      <c r="K53" s="476">
        <f>SUM(K47:K52)</f>
        <v>0</v>
      </c>
      <c r="L53" s="476">
        <f>SUM(L47:L52)</f>
        <v>-455863.6627540281</v>
      </c>
      <c r="M53" s="476">
        <f t="shared" ref="M53:P53" si="23">SUM(M47:M52)</f>
        <v>-422601.64619550464</v>
      </c>
      <c r="N53" s="476">
        <f t="shared" si="23"/>
        <v>126874.05504358557</v>
      </c>
      <c r="O53" s="476">
        <f t="shared" si="23"/>
        <v>1314613.041170619</v>
      </c>
      <c r="P53" s="476">
        <f t="shared" si="23"/>
        <v>3314254.6793200662</v>
      </c>
    </row>
    <row r="54" spans="1:16" x14ac:dyDescent="0.2">
      <c r="A54" s="176"/>
      <c r="B54" s="15" t="s">
        <v>1817</v>
      </c>
      <c r="C54" s="15"/>
      <c r="D54" s="15"/>
      <c r="E54" s="15"/>
      <c r="F54" s="15"/>
      <c r="G54" s="15"/>
      <c r="H54" s="392">
        <f>'Financiamiento del Proyecto'!E3</f>
        <v>274444.43505902606</v>
      </c>
      <c r="J54" s="15" t="s">
        <v>1946</v>
      </c>
      <c r="K54" s="475">
        <f>0-K10+K48</f>
        <v>-553731.88520000002</v>
      </c>
      <c r="L54" s="475">
        <v>0</v>
      </c>
      <c r="M54" s="475">
        <v>0</v>
      </c>
      <c r="N54" s="475">
        <v>0</v>
      </c>
      <c r="O54" s="475">
        <v>0</v>
      </c>
      <c r="P54" s="475">
        <v>0</v>
      </c>
    </row>
    <row r="55" spans="1:16" x14ac:dyDescent="0.2">
      <c r="A55" s="176"/>
      <c r="B55" s="386" t="s">
        <v>1818</v>
      </c>
      <c r="C55" s="388"/>
      <c r="D55" s="388">
        <f>D52+D53+D54</f>
        <v>1085292</v>
      </c>
      <c r="E55" s="388">
        <f>E52+E53+E54</f>
        <v>1996488</v>
      </c>
      <c r="F55" s="388">
        <f>F52+F53+F54</f>
        <v>3216564</v>
      </c>
      <c r="G55" s="388">
        <f>G52+G53+G54</f>
        <v>4776408</v>
      </c>
      <c r="H55" s="388">
        <f>H52+H53+H54</f>
        <v>8229468.1002590256</v>
      </c>
      <c r="J55" s="15" t="s">
        <v>1947</v>
      </c>
      <c r="K55" s="475">
        <f>0-K12+K13</f>
        <v>-26837.365400000002</v>
      </c>
      <c r="L55" s="475">
        <v>0</v>
      </c>
      <c r="M55" s="475">
        <v>0</v>
      </c>
      <c r="N55" s="475">
        <v>0</v>
      </c>
      <c r="O55" s="475">
        <v>0</v>
      </c>
      <c r="P55" s="475">
        <v>0</v>
      </c>
    </row>
    <row r="56" spans="1:16" x14ac:dyDescent="0.2">
      <c r="A56" s="176"/>
      <c r="B56" s="386" t="s">
        <v>1819</v>
      </c>
      <c r="C56" s="388"/>
      <c r="D56" s="388"/>
      <c r="E56" s="388"/>
      <c r="F56" s="388"/>
      <c r="G56" s="388"/>
      <c r="H56" s="388"/>
      <c r="J56" s="391" t="s">
        <v>1948</v>
      </c>
      <c r="K56" s="476">
        <f>K54+K55</f>
        <v>-580569.25060000003</v>
      </c>
      <c r="L56" s="476">
        <f>L54+L55</f>
        <v>0</v>
      </c>
      <c r="M56" s="476">
        <f t="shared" ref="M56:P56" si="24">M54+M55</f>
        <v>0</v>
      </c>
      <c r="N56" s="476">
        <f t="shared" si="24"/>
        <v>0</v>
      </c>
      <c r="O56" s="476">
        <f t="shared" si="24"/>
        <v>0</v>
      </c>
      <c r="P56" s="476">
        <f t="shared" si="24"/>
        <v>0</v>
      </c>
    </row>
    <row r="57" spans="1:16" x14ac:dyDescent="0.2">
      <c r="A57" s="176"/>
      <c r="B57" s="15" t="s">
        <v>1933</v>
      </c>
      <c r="C57" s="392">
        <f>'Inversión del Proyecto'!AD7</f>
        <v>553731.88520000002</v>
      </c>
      <c r="D57" s="392"/>
      <c r="E57" s="474"/>
      <c r="F57" s="474"/>
      <c r="G57" s="474"/>
      <c r="H57" s="474"/>
      <c r="J57" s="15" t="s">
        <v>1941</v>
      </c>
      <c r="K57" s="15">
        <v>0</v>
      </c>
      <c r="L57" s="475">
        <f>-C13</f>
        <v>-37534.591014905833</v>
      </c>
      <c r="M57" s="475">
        <f>-D13</f>
        <v>-24888.95130146456</v>
      </c>
      <c r="N57" s="475">
        <f>-E13</f>
        <v>-18307.717153924743</v>
      </c>
      <c r="O57" s="475">
        <f>-F13</f>
        <v>-13054.989673913762</v>
      </c>
      <c r="P57" s="475">
        <f>-G13</f>
        <v>-6993.8674347290898</v>
      </c>
    </row>
    <row r="58" spans="1:16" x14ac:dyDescent="0.2">
      <c r="A58" s="176"/>
      <c r="B58" s="15" t="s">
        <v>1820</v>
      </c>
      <c r="C58" s="392">
        <f>'Inversión del Proyecto'!AD8</f>
        <v>26837.365400000002</v>
      </c>
      <c r="D58" s="474"/>
      <c r="E58" s="474"/>
      <c r="F58" s="474"/>
      <c r="G58" s="474"/>
      <c r="H58" s="474"/>
      <c r="J58" s="15" t="s">
        <v>1949</v>
      </c>
      <c r="K58" s="15">
        <v>0</v>
      </c>
      <c r="L58" s="475">
        <f>-K17</f>
        <v>-80111.308985094161</v>
      </c>
      <c r="M58" s="475">
        <f>-L17</f>
        <v>-60153.248698535434</v>
      </c>
      <c r="N58" s="475">
        <f>-M17</f>
        <v>-34130.782846075257</v>
      </c>
      <c r="O58" s="475">
        <f>-N17</f>
        <v>-39383.510326086238</v>
      </c>
      <c r="P58" s="475">
        <f>-O17</f>
        <v>-45444.632565270913</v>
      </c>
    </row>
    <row r="59" spans="1:16" x14ac:dyDescent="0.2">
      <c r="B59" s="15" t="s">
        <v>1821</v>
      </c>
      <c r="C59" s="392">
        <f>'Inversión del Proyecto'!AD9</f>
        <v>232580.02971103904</v>
      </c>
      <c r="D59" s="474"/>
      <c r="E59" s="474"/>
      <c r="F59" s="474"/>
      <c r="G59" s="474"/>
      <c r="H59" s="474"/>
      <c r="J59" s="15" t="s">
        <v>1950</v>
      </c>
      <c r="K59" s="475">
        <f>K21+K17</f>
        <v>267202.78706441564</v>
      </c>
      <c r="L59" s="475">
        <f>L21-K21+L17</f>
        <v>0</v>
      </c>
      <c r="M59" s="475">
        <f>M21-L21+M17</f>
        <v>0</v>
      </c>
      <c r="N59" s="475">
        <f>N21-M21+N17</f>
        <v>0</v>
      </c>
      <c r="O59" s="475">
        <f>O21-N21+O17</f>
        <v>0</v>
      </c>
      <c r="P59" s="475">
        <f>P21-O21+P17</f>
        <v>0</v>
      </c>
    </row>
    <row r="60" spans="1:16" x14ac:dyDescent="0.2">
      <c r="B60" s="15" t="s">
        <v>1822</v>
      </c>
      <c r="C60" s="474"/>
      <c r="D60" s="392">
        <f>Presupuesto!B160</f>
        <v>299495.61642783921</v>
      </c>
      <c r="E60" s="392">
        <f>Presupuesto!C160</f>
        <v>552437.51009487431</v>
      </c>
      <c r="F60" s="392">
        <f>Presupuesto!D160</f>
        <v>889176.10473135638</v>
      </c>
      <c r="G60" s="392">
        <f>Presupuesto!E160</f>
        <v>1320573.9356481412</v>
      </c>
      <c r="H60" s="392">
        <f>Presupuesto!F160</f>
        <v>1852838.1658799995</v>
      </c>
      <c r="J60" s="15" t="s">
        <v>1951</v>
      </c>
      <c r="K60" s="475">
        <f>K18</f>
        <v>232580.02971103904</v>
      </c>
      <c r="L60" s="475">
        <f>L18-K18</f>
        <v>232580</v>
      </c>
      <c r="M60" s="475">
        <f t="shared" ref="M60:P60" si="25">M18-L18</f>
        <v>232580</v>
      </c>
      <c r="N60" s="475">
        <f t="shared" si="25"/>
        <v>0</v>
      </c>
      <c r="O60" s="475">
        <f t="shared" si="25"/>
        <v>0</v>
      </c>
      <c r="P60" s="475">
        <f t="shared" si="25"/>
        <v>0</v>
      </c>
    </row>
    <row r="61" spans="1:16" x14ac:dyDescent="0.2">
      <c r="A61" s="176"/>
      <c r="B61" s="15" t="s">
        <v>1823</v>
      </c>
      <c r="C61" s="474"/>
      <c r="D61" s="392">
        <f>Presupuesto!B205</f>
        <v>214617.3</v>
      </c>
      <c r="E61" s="392">
        <f>Presupuesto!C205</f>
        <v>241742.3</v>
      </c>
      <c r="F61" s="392">
        <f>Presupuesto!D205</f>
        <v>268867.3</v>
      </c>
      <c r="G61" s="392">
        <f>Presupuesto!E205</f>
        <v>295992.30000000005</v>
      </c>
      <c r="H61" s="392">
        <f>Presupuesto!F205</f>
        <v>323117.30000000005</v>
      </c>
      <c r="J61" s="15" t="s">
        <v>1952</v>
      </c>
      <c r="K61" s="475">
        <f>K25</f>
        <v>545946.49324662343</v>
      </c>
      <c r="L61" s="475">
        <f>L25-K25</f>
        <v>0</v>
      </c>
      <c r="M61" s="475">
        <f t="shared" ref="M61:P61" si="26">M25-L25</f>
        <v>500000</v>
      </c>
      <c r="N61" s="475">
        <f t="shared" si="26"/>
        <v>0</v>
      </c>
      <c r="O61" s="475">
        <f t="shared" si="26"/>
        <v>0</v>
      </c>
      <c r="P61" s="475">
        <f t="shared" si="26"/>
        <v>0</v>
      </c>
    </row>
    <row r="62" spans="1:16" x14ac:dyDescent="0.2">
      <c r="B62" s="15" t="s">
        <v>1696</v>
      </c>
      <c r="C62" s="474"/>
      <c r="D62" s="392">
        <f>Presupuesto!B201</f>
        <v>255073.29235772358</v>
      </c>
      <c r="E62" s="392">
        <f>Presupuesto!C201</f>
        <v>260926.95089430892</v>
      </c>
      <c r="F62" s="392">
        <f>Presupuesto!D201</f>
        <v>278487.92650406505</v>
      </c>
      <c r="G62" s="392">
        <f>Presupuesto!E201</f>
        <v>278487.92650406505</v>
      </c>
      <c r="H62" s="392">
        <f>Presupuesto!F201</f>
        <v>278487.92650406505</v>
      </c>
      <c r="J62" s="391" t="s">
        <v>1953</v>
      </c>
      <c r="K62" s="476">
        <f>SUM(K57:K61)</f>
        <v>1045729.3100220781</v>
      </c>
      <c r="L62" s="476">
        <f>SUM(L57:L61)</f>
        <v>114934.1</v>
      </c>
      <c r="M62" s="476">
        <f t="shared" ref="M62:P62" si="27">SUM(M57:M61)</f>
        <v>647537.80000000005</v>
      </c>
      <c r="N62" s="476">
        <f t="shared" si="27"/>
        <v>-52438.5</v>
      </c>
      <c r="O62" s="476">
        <f t="shared" si="27"/>
        <v>-52438.5</v>
      </c>
      <c r="P62" s="476">
        <f t="shared" si="27"/>
        <v>-52438.5</v>
      </c>
    </row>
    <row r="63" spans="1:16" x14ac:dyDescent="0.2">
      <c r="B63" s="15" t="s">
        <v>1824</v>
      </c>
      <c r="C63" s="474"/>
      <c r="D63" s="392">
        <f>Presupuesto!B255</f>
        <v>339786.08481691056</v>
      </c>
      <c r="E63" s="392">
        <f>Presupuesto!C255</f>
        <v>339786.08481691056</v>
      </c>
      <c r="F63" s="392">
        <f>Presupuesto!D255</f>
        <v>339786.08481691056</v>
      </c>
      <c r="G63" s="392">
        <f>Presupuesto!E255</f>
        <v>339786.08481691056</v>
      </c>
      <c r="H63" s="392">
        <f>Presupuesto!F255</f>
        <v>339786.08481691056</v>
      </c>
      <c r="J63" s="391" t="s">
        <v>1954</v>
      </c>
      <c r="K63" s="476">
        <f t="shared" ref="K63:P63" si="28">K62+K56+K53</f>
        <v>465160.05942207808</v>
      </c>
      <c r="L63" s="476">
        <f t="shared" si="28"/>
        <v>-340929.56275402813</v>
      </c>
      <c r="M63" s="476">
        <f t="shared" si="28"/>
        <v>224936.15380449541</v>
      </c>
      <c r="N63" s="476">
        <f t="shared" si="28"/>
        <v>74435.555043585569</v>
      </c>
      <c r="O63" s="476">
        <f t="shared" si="28"/>
        <v>1262174.541170619</v>
      </c>
      <c r="P63" s="476">
        <f t="shared" si="28"/>
        <v>3261816.1793200662</v>
      </c>
    </row>
    <row r="64" spans="1:16" x14ac:dyDescent="0.2">
      <c r="B64" s="15" t="s">
        <v>1825</v>
      </c>
      <c r="C64" s="474"/>
      <c r="D64" s="392">
        <f>Presupuesto!B281</f>
        <v>267133.70731707319</v>
      </c>
      <c r="E64" s="392">
        <f>Presupuesto!C281</f>
        <v>267133.70731707319</v>
      </c>
      <c r="F64" s="392">
        <f>Presupuesto!D281</f>
        <v>220304.43902439025</v>
      </c>
      <c r="G64" s="392">
        <f>Presupuesto!E281</f>
        <v>220304.43902439025</v>
      </c>
      <c r="H64" s="392">
        <f>Presupuesto!F281</f>
        <v>220304.43902439025</v>
      </c>
      <c r="J64" s="15"/>
      <c r="K64" s="15"/>
      <c r="L64" s="15"/>
      <c r="M64" s="15"/>
      <c r="N64" s="15"/>
      <c r="O64" s="15"/>
      <c r="P64" s="15"/>
    </row>
    <row r="65" spans="1:16" x14ac:dyDescent="0.2">
      <c r="B65" s="15" t="s">
        <v>1812</v>
      </c>
      <c r="C65" s="474"/>
      <c r="D65" s="392">
        <f>D46</f>
        <v>5933.249886494581</v>
      </c>
      <c r="E65" s="392">
        <f>E46</f>
        <v>198601.31643782987</v>
      </c>
      <c r="F65" s="392">
        <f>F46</f>
        <v>362870.34208619001</v>
      </c>
      <c r="G65" s="392">
        <f>G46</f>
        <v>565990.65252116858</v>
      </c>
      <c r="H65" s="392">
        <f>H46</f>
        <v>1049928.0216274213</v>
      </c>
      <c r="J65" s="386" t="s">
        <v>1955</v>
      </c>
      <c r="K65" s="388">
        <v>0</v>
      </c>
      <c r="L65" s="388">
        <f>K66</f>
        <v>465160.05942207808</v>
      </c>
      <c r="M65" s="388">
        <f>L66</f>
        <v>124230.49666804995</v>
      </c>
      <c r="N65" s="388">
        <f t="shared" ref="N65:P65" si="29">M66</f>
        <v>349166.65047254536</v>
      </c>
      <c r="O65" s="388">
        <f t="shared" si="29"/>
        <v>423602.2055161309</v>
      </c>
      <c r="P65" s="388">
        <f t="shared" si="29"/>
        <v>1685776.7466867499</v>
      </c>
    </row>
    <row r="66" spans="1:16" x14ac:dyDescent="0.2">
      <c r="B66" s="15" t="s">
        <v>1826</v>
      </c>
      <c r="C66" s="474"/>
      <c r="D66" s="392">
        <f>C15</f>
        <v>0</v>
      </c>
      <c r="E66" s="392">
        <f>D10*29.5%</f>
        <v>32699.188989505947</v>
      </c>
      <c r="F66" s="392">
        <f>E10*29.5%</f>
        <v>245456.6323469409</v>
      </c>
      <c r="G66" s="392">
        <f>F10*29.5%</f>
        <v>510425.88564817066</v>
      </c>
      <c r="H66" s="392">
        <f>G10*29.5%</f>
        <v>843012.46730508411</v>
      </c>
      <c r="J66" s="386" t="s">
        <v>1956</v>
      </c>
      <c r="K66" s="388">
        <f>K63</f>
        <v>465160.05942207808</v>
      </c>
      <c r="L66" s="388">
        <f>L65+L63</f>
        <v>124230.49666804995</v>
      </c>
      <c r="M66" s="388">
        <f t="shared" ref="M66:P66" si="30">M65+M63</f>
        <v>349166.65047254536</v>
      </c>
      <c r="N66" s="388">
        <f t="shared" si="30"/>
        <v>423602.2055161309</v>
      </c>
      <c r="O66" s="388">
        <f t="shared" si="30"/>
        <v>1685776.7466867499</v>
      </c>
      <c r="P66" s="388">
        <f t="shared" si="30"/>
        <v>4947592.9260068163</v>
      </c>
    </row>
    <row r="67" spans="1:16" x14ac:dyDescent="0.2">
      <c r="A67" s="176"/>
      <c r="B67" s="386" t="s">
        <v>1827</v>
      </c>
      <c r="C67" s="388">
        <f>-(C57+C58+C59)</f>
        <v>-813149.28031103907</v>
      </c>
      <c r="D67" s="388">
        <f>-(D60+D61+D62+D63+D64+D65)</f>
        <v>-1382039.2508060411</v>
      </c>
      <c r="E67" s="388">
        <f>-(E60+E61+E62+E63+E64+E65)</f>
        <v>-1860627.869560997</v>
      </c>
      <c r="F67" s="388">
        <f>-(F60+F61+F62+F63+F64+F65)</f>
        <v>-2359492.1971629122</v>
      </c>
      <c r="G67" s="388">
        <f>-(G60+G61+G62+G63+G64+G65)</f>
        <v>-3021135.3385146754</v>
      </c>
      <c r="H67" s="388">
        <f>-(H60+H61+H62+H63+H64+H65)</f>
        <v>-4064461.9378527859</v>
      </c>
    </row>
    <row r="68" spans="1:16" x14ac:dyDescent="0.2">
      <c r="A68" s="176"/>
      <c r="B68" s="386" t="s">
        <v>1828</v>
      </c>
      <c r="C68" s="388">
        <f>C67</f>
        <v>-813149.28031103907</v>
      </c>
      <c r="D68" s="388">
        <f>D55+D67</f>
        <v>-296747.25080604106</v>
      </c>
      <c r="E68" s="388">
        <f>E55+E67</f>
        <v>135860.130439003</v>
      </c>
      <c r="F68" s="388">
        <f>F55+F67</f>
        <v>857071.80283708777</v>
      </c>
      <c r="G68" s="388">
        <f>G55+G67</f>
        <v>1755272.6614853246</v>
      </c>
      <c r="H68" s="388">
        <f>H55+H67</f>
        <v>4165006.1624062397</v>
      </c>
    </row>
    <row r="69" spans="1:16" x14ac:dyDescent="0.2">
      <c r="A69" s="176"/>
      <c r="B69" s="386" t="s">
        <v>1829</v>
      </c>
      <c r="C69" s="388"/>
      <c r="D69" s="388"/>
      <c r="E69" s="388"/>
      <c r="F69" s="388"/>
      <c r="G69" s="388"/>
      <c r="H69" s="388"/>
    </row>
    <row r="70" spans="1:16" x14ac:dyDescent="0.2">
      <c r="A70" s="176"/>
      <c r="B70" s="15" t="s">
        <v>1829</v>
      </c>
      <c r="C70" s="392">
        <f>'Financiamiento del Proyecto'!E8+'Financiamiento del Proyecto'!F8</f>
        <v>267202.78706441564</v>
      </c>
      <c r="D70" s="15"/>
      <c r="E70" s="15"/>
      <c r="F70" s="15"/>
      <c r="G70" s="15"/>
      <c r="H70" s="15"/>
    </row>
    <row r="71" spans="1:16" x14ac:dyDescent="0.2">
      <c r="B71" s="15" t="s">
        <v>1934</v>
      </c>
      <c r="C71" s="392">
        <v>545946</v>
      </c>
      <c r="D71" s="15"/>
      <c r="E71" s="15"/>
      <c r="F71" s="15"/>
      <c r="G71" s="15"/>
      <c r="H71" s="15"/>
    </row>
    <row r="72" spans="1:16" x14ac:dyDescent="0.2">
      <c r="B72" s="15" t="s">
        <v>1830</v>
      </c>
      <c r="C72" s="15"/>
      <c r="D72" s="392">
        <f>'Financiamiento del Proyecto'!AD47</f>
        <v>80111.308985094161</v>
      </c>
      <c r="E72" s="392">
        <f>'Financiamiento del Proyecto'!AD48</f>
        <v>60153.248698535434</v>
      </c>
      <c r="F72" s="392">
        <f>'Financiamiento del Proyecto'!AD49</f>
        <v>34130.782846075257</v>
      </c>
      <c r="G72" s="392">
        <f>'Financiamiento del Proyecto'!AD50</f>
        <v>39383.510326086238</v>
      </c>
      <c r="H72" s="392">
        <f>'Financiamiento del Proyecto'!AD51</f>
        <v>45444.632565270913</v>
      </c>
    </row>
    <row r="73" spans="1:16" x14ac:dyDescent="0.2">
      <c r="B73" s="15" t="s">
        <v>1861</v>
      </c>
      <c r="C73" s="15"/>
      <c r="D73" s="392">
        <f>Presupuesto!B285</f>
        <v>37534.591014905833</v>
      </c>
      <c r="E73" s="392">
        <f>Presupuesto!C285</f>
        <v>24888.95130146456</v>
      </c>
      <c r="F73" s="392">
        <f>Presupuesto!D285</f>
        <v>18307.717153924743</v>
      </c>
      <c r="G73" s="392">
        <f>Presupuesto!E285</f>
        <v>13054.989673913762</v>
      </c>
      <c r="H73" s="392">
        <f>Presupuesto!F285</f>
        <v>6993.8674347290898</v>
      </c>
    </row>
    <row r="74" spans="1:16" x14ac:dyDescent="0.2">
      <c r="B74" s="15" t="s">
        <v>1831</v>
      </c>
      <c r="C74" s="15"/>
      <c r="D74" s="392">
        <f>D73*29.5%</f>
        <v>11072.70434939722</v>
      </c>
      <c r="E74" s="392">
        <f>E73*29.5%</f>
        <v>7342.2406339320451</v>
      </c>
      <c r="F74" s="392">
        <f>F73*29.5%</f>
        <v>5400.7765604077986</v>
      </c>
      <c r="G74" s="392">
        <f>G73*29.5%</f>
        <v>3851.2219538045597</v>
      </c>
      <c r="H74" s="392">
        <f>H73*29.5%</f>
        <v>2063.1908932450815</v>
      </c>
    </row>
    <row r="75" spans="1:16" x14ac:dyDescent="0.2">
      <c r="B75" s="386" t="s">
        <v>1832</v>
      </c>
      <c r="C75" s="388">
        <f>C70+C71</f>
        <v>813148.78706441564</v>
      </c>
      <c r="D75" s="388">
        <f>-((D72+D73)-D74)</f>
        <v>-106573.19565060278</v>
      </c>
      <c r="E75" s="388">
        <f>-((E72+E73)-E74)</f>
        <v>-77699.959366067953</v>
      </c>
      <c r="F75" s="388">
        <f>-((F72+F73)-F74)</f>
        <v>-47037.723439592199</v>
      </c>
      <c r="G75" s="388">
        <f>-((G72+G73)-G74)</f>
        <v>-48587.278046195439</v>
      </c>
      <c r="H75" s="388">
        <f>-((H72+H73)-H74)</f>
        <v>-50375.309106754918</v>
      </c>
    </row>
    <row r="76" spans="1:16" x14ac:dyDescent="0.2">
      <c r="B76" s="386" t="s">
        <v>1833</v>
      </c>
      <c r="C76" s="388">
        <f t="shared" ref="C76:H76" si="31">C55+C67+C75</f>
        <v>-0.49324662343133241</v>
      </c>
      <c r="D76" s="388">
        <f t="shared" si="31"/>
        <v>-403320.44645664387</v>
      </c>
      <c r="E76" s="388">
        <f t="shared" si="31"/>
        <v>58160.171072935045</v>
      </c>
      <c r="F76" s="388">
        <f t="shared" si="31"/>
        <v>810034.0793974956</v>
      </c>
      <c r="G76" s="388">
        <f t="shared" si="31"/>
        <v>1706685.3834391292</v>
      </c>
      <c r="H76" s="388">
        <f t="shared" si="31"/>
        <v>4114630.8532994846</v>
      </c>
    </row>
  </sheetData>
  <mergeCells count="1">
    <mergeCell ref="B21:G21"/>
  </mergeCells>
  <pageMargins left="0.7" right="0.7" top="0.75" bottom="0.75" header="0.3" footer="0.3"/>
  <pageSetup orientation="portrait" r:id="rId1"/>
  <ignoredErrors>
    <ignoredError sqref="C13 D13:G13 D15:G15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workbookViewId="0">
      <selection activeCell="F24" sqref="F24"/>
    </sheetView>
  </sheetViews>
  <sheetFormatPr baseColWidth="10" defaultColWidth="10.85546875" defaultRowHeight="12.75" x14ac:dyDescent="0.2"/>
  <cols>
    <col min="1" max="1" width="10.85546875" style="9"/>
    <col min="2" max="2" width="32.28515625" style="9" bestFit="1" customWidth="1"/>
    <col min="3" max="3" width="20.28515625" style="9" bestFit="1" customWidth="1"/>
    <col min="4" max="4" width="18.42578125" style="9" bestFit="1" customWidth="1"/>
    <col min="5" max="5" width="16" style="9" bestFit="1" customWidth="1"/>
    <col min="6" max="6" width="31.42578125" style="9" bestFit="1" customWidth="1"/>
    <col min="7" max="7" width="17.85546875" style="9" bestFit="1" customWidth="1"/>
    <col min="8" max="8" width="9.140625" style="9" bestFit="1" customWidth="1"/>
    <col min="9" max="9" width="16.28515625" style="9" bestFit="1" customWidth="1"/>
    <col min="10" max="16384" width="10.85546875" style="9"/>
  </cols>
  <sheetData>
    <row r="1" spans="1:7" x14ac:dyDescent="0.2">
      <c r="A1" s="176" t="s">
        <v>1862</v>
      </c>
      <c r="B1" s="176"/>
    </row>
    <row r="2" spans="1:7" x14ac:dyDescent="0.2">
      <c r="B2" s="9" t="s">
        <v>1857</v>
      </c>
      <c r="C2" s="481">
        <f>NPV('Financiamiento del Proyecto'!Y20,'Estados Financieros'!D68:H68)+'Estados Financieros'!C68</f>
        <v>1599953.0155298947</v>
      </c>
      <c r="F2" s="9" t="s">
        <v>1858</v>
      </c>
      <c r="G2" s="481">
        <f>NPV('Financiamiento del Proyecto'!U27,'Estados Financieros'!D76:H76)+'Estados Financieros'!C76</f>
        <v>2216795.4407993644</v>
      </c>
    </row>
    <row r="3" spans="1:7" x14ac:dyDescent="0.2">
      <c r="C3" s="414"/>
      <c r="G3" s="414"/>
    </row>
    <row r="4" spans="1:7" x14ac:dyDescent="0.2">
      <c r="D4" s="395" t="s">
        <v>1864</v>
      </c>
      <c r="E4" s="394">
        <f>C2</f>
        <v>1599953.0155298947</v>
      </c>
    </row>
    <row r="5" spans="1:7" x14ac:dyDescent="0.2">
      <c r="D5" s="395" t="s">
        <v>1865</v>
      </c>
      <c r="E5" s="394">
        <f>G2</f>
        <v>2216795.4407993644</v>
      </c>
    </row>
    <row r="7" spans="1:7" x14ac:dyDescent="0.2">
      <c r="A7" s="176" t="s">
        <v>1863</v>
      </c>
      <c r="B7" s="176"/>
    </row>
    <row r="8" spans="1:7" x14ac:dyDescent="0.2">
      <c r="B8" s="9" t="s">
        <v>1859</v>
      </c>
      <c r="C8" s="260">
        <f>IRR('Estados Financieros'!C68:H68)</f>
        <v>0.44862593480281432</v>
      </c>
      <c r="F8" s="9" t="s">
        <v>1860</v>
      </c>
      <c r="G8" s="260">
        <f>IRR('Estados Financieros'!C76:H76)</f>
        <v>0.61489392919937047</v>
      </c>
    </row>
    <row r="10" spans="1:7" x14ac:dyDescent="0.2">
      <c r="D10" s="395" t="s">
        <v>1866</v>
      </c>
      <c r="E10" s="396">
        <f>C8</f>
        <v>0.44862593480281432</v>
      </c>
    </row>
    <row r="11" spans="1:7" x14ac:dyDescent="0.2">
      <c r="D11" s="395" t="s">
        <v>1867</v>
      </c>
      <c r="E11" s="396">
        <f>G8</f>
        <v>0.61489392919937047</v>
      </c>
    </row>
    <row r="13" spans="1:7" x14ac:dyDescent="0.2">
      <c r="A13" s="176" t="s">
        <v>1880</v>
      </c>
      <c r="B13" s="176"/>
    </row>
    <row r="15" spans="1:7" x14ac:dyDescent="0.2">
      <c r="C15" s="395" t="s">
        <v>1881</v>
      </c>
      <c r="D15" s="181">
        <f>NPV('Financiamiento del Proyecto'!Y20,'Estados Financieros'!D55:H55)</f>
        <v>11369012.08687117</v>
      </c>
    </row>
    <row r="16" spans="1:7" x14ac:dyDescent="0.2">
      <c r="C16" s="395" t="s">
        <v>1882</v>
      </c>
      <c r="D16" s="482">
        <f>NPV('Financiamiento del Proyecto'!Y20,'Estados Financieros'!D67:H67)+'Estados Financieros'!C67</f>
        <v>-9769059.0713412743</v>
      </c>
    </row>
    <row r="17" spans="1:9" x14ac:dyDescent="0.2">
      <c r="C17" s="395" t="s">
        <v>1883</v>
      </c>
      <c r="D17" s="164">
        <f>-D15/D16</f>
        <v>1.1637775965777044</v>
      </c>
    </row>
    <row r="19" spans="1:9" x14ac:dyDescent="0.2">
      <c r="A19" s="176" t="s">
        <v>1884</v>
      </c>
      <c r="B19" s="176"/>
    </row>
    <row r="21" spans="1:9" x14ac:dyDescent="0.2">
      <c r="C21" s="395" t="s">
        <v>1885</v>
      </c>
      <c r="D21" s="395" t="s">
        <v>1887</v>
      </c>
      <c r="E21" s="395" t="s">
        <v>1888</v>
      </c>
      <c r="F21" s="395" t="s">
        <v>1889</v>
      </c>
      <c r="G21" s="395" t="s">
        <v>1890</v>
      </c>
      <c r="H21" s="395" t="s">
        <v>1891</v>
      </c>
      <c r="I21" s="395" t="s">
        <v>1892</v>
      </c>
    </row>
    <row r="22" spans="1:9" x14ac:dyDescent="0.2">
      <c r="C22" s="400" t="s">
        <v>1833</v>
      </c>
      <c r="D22" s="319">
        <f>'Estados Financieros'!C76</f>
        <v>-545946.49324662343</v>
      </c>
      <c r="E22" s="319">
        <f>'Estados Financieros'!D76</f>
        <v>-403320.44645664387</v>
      </c>
      <c r="F22" s="319">
        <f>'Estados Financieros'!E76</f>
        <v>558160.17107293499</v>
      </c>
      <c r="G22" s="319">
        <f>'Estados Financieros'!F76</f>
        <v>673677.27633722429</v>
      </c>
      <c r="H22" s="319">
        <f>'Estados Financieros'!G76</f>
        <v>1103979.1735872719</v>
      </c>
      <c r="I22" s="319">
        <f>'Estados Financieros'!H76</f>
        <v>2848773.6989420857</v>
      </c>
    </row>
    <row r="23" spans="1:9" x14ac:dyDescent="0.2">
      <c r="C23" s="400" t="s">
        <v>1886</v>
      </c>
      <c r="D23" s="400"/>
      <c r="E23" s="319">
        <f>NPV('Financiamiento del Proyecto'!$Y$19,'Evaluación Económica y Financie'!E22)</f>
        <v>-348400.83303714375</v>
      </c>
      <c r="F23" s="319">
        <f>NPV('Financiamiento del Proyecto'!$Y$19,'Evaluación Económica y Financie'!F22)</f>
        <v>482156.23650726484</v>
      </c>
      <c r="G23" s="319">
        <f>NPV('Financiamiento del Proyecto'!$Y$19,'Evaluación Económica y Financie'!G22)</f>
        <v>581943.52985601453</v>
      </c>
      <c r="H23" s="319">
        <f>NPV('Financiamiento del Proyecto'!$Y$19,'Evaluación Económica y Financie'!H22)</f>
        <v>953651.78510683251</v>
      </c>
      <c r="I23" s="319">
        <f>NPV('Financiamiento del Proyecto'!$Y$19,'Evaluación Económica y Financie'!I22)</f>
        <v>2460859.940440489</v>
      </c>
    </row>
    <row r="24" spans="1:9" x14ac:dyDescent="0.2">
      <c r="C24" s="293" t="s">
        <v>1507</v>
      </c>
      <c r="D24" s="293"/>
      <c r="E24" s="293">
        <f>NPV('Financiamiento del Proyecto'!Y19,E22)+'Evaluación Económica y Financie'!D22</f>
        <v>-894347.32628376712</v>
      </c>
      <c r="F24" s="293">
        <f>NPV('Financiamiento del Proyecto'!Y19,E22:F22)+'Evaluación Económica y Financie'!D22</f>
        <v>-477845.66878289194</v>
      </c>
      <c r="G24" s="293">
        <f>NPV('Financiamiento del Proyecto'!Y19,E22:G22)+D22</f>
        <v>-43596.76081975433</v>
      </c>
      <c r="H24" s="293">
        <f>NPV('Financiamiento del Proyecto'!Y19,'Evaluación Económica y Financie'!E22:H22)+'Evaluación Económica y Financie'!D22</f>
        <v>571122.27573632018</v>
      </c>
      <c r="I24" s="293">
        <f>NPV('Financiamiento del Proyecto'!Y19,'Evaluación Económica y Financie'!E22:I22)+'Evaluación Económica y Financie'!D22</f>
        <v>1941381.3239858672</v>
      </c>
    </row>
    <row r="26" spans="1:9" x14ac:dyDescent="0.2">
      <c r="A26" s="176" t="s">
        <v>1893</v>
      </c>
      <c r="B26" s="176"/>
    </row>
    <row r="28" spans="1:9" x14ac:dyDescent="0.2">
      <c r="C28" s="401" t="s">
        <v>22</v>
      </c>
      <c r="D28" s="395" t="s">
        <v>1888</v>
      </c>
      <c r="E28" s="395" t="s">
        <v>1889</v>
      </c>
      <c r="F28" s="395" t="s">
        <v>1890</v>
      </c>
      <c r="G28" s="395" t="s">
        <v>1891</v>
      </c>
      <c r="H28" s="395" t="s">
        <v>1892</v>
      </c>
    </row>
    <row r="29" spans="1:9" x14ac:dyDescent="0.2">
      <c r="C29" s="400" t="s">
        <v>1894</v>
      </c>
      <c r="D29" s="319">
        <f>'Estados Financieros'!C16</f>
        <v>-437477.96976893395</v>
      </c>
      <c r="E29" s="319">
        <f>'Estados Financieros'!D16</f>
        <v>85955.757137538647</v>
      </c>
      <c r="F29" s="319">
        <f>'Estados Financieros'!E16</f>
        <v>677391.86062289169</v>
      </c>
      <c r="G29" s="319">
        <f>'Estados Financieros'!F16</f>
        <v>1114496.0399595532</v>
      </c>
      <c r="H29" s="319">
        <f>'Estados Financieros'!G16</f>
        <v>1584818.3589030728</v>
      </c>
    </row>
    <row r="30" spans="1:9" x14ac:dyDescent="0.2">
      <c r="C30" s="400" t="s">
        <v>1895</v>
      </c>
      <c r="D30" s="319">
        <f>'Estados Financieros'!K15</f>
        <v>760720.10860000004</v>
      </c>
      <c r="E30" s="319">
        <f>'Estados Financieros'!L15</f>
        <v>1519102.539707053</v>
      </c>
      <c r="F30" s="319">
        <f>'Estados Financieros'!M15</f>
        <v>2162363.6174838697</v>
      </c>
      <c r="G30" s="319">
        <f>'Estados Financieros'!N15</f>
        <v>3237476.1471173367</v>
      </c>
      <c r="H30" s="319">
        <f>'Estados Financieros'!O15</f>
        <v>4776849.8734551389</v>
      </c>
    </row>
    <row r="31" spans="1:9" x14ac:dyDescent="0.2">
      <c r="C31" s="293" t="s">
        <v>1896</v>
      </c>
      <c r="D31" s="344">
        <f>D29/D30</f>
        <v>-0.57508400898466006</v>
      </c>
      <c r="E31" s="344">
        <f t="shared" ref="E31:H31" si="0">E29/E30</f>
        <v>5.6583248918874521E-2</v>
      </c>
      <c r="F31" s="344">
        <f t="shared" si="0"/>
        <v>0.31326454771335183</v>
      </c>
      <c r="G31" s="344">
        <f t="shared" si="0"/>
        <v>0.34424841738275214</v>
      </c>
      <c r="H31" s="344">
        <f t="shared" si="0"/>
        <v>0.33177060215140469</v>
      </c>
    </row>
    <row r="33" spans="1:8" x14ac:dyDescent="0.2">
      <c r="A33" s="176" t="s">
        <v>1897</v>
      </c>
      <c r="B33" s="176"/>
    </row>
    <row r="35" spans="1:8" x14ac:dyDescent="0.2">
      <c r="C35" s="401" t="s">
        <v>22</v>
      </c>
      <c r="D35" s="395" t="s">
        <v>1888</v>
      </c>
      <c r="E35" s="395" t="s">
        <v>1889</v>
      </c>
      <c r="F35" s="395" t="s">
        <v>1890</v>
      </c>
      <c r="G35" s="395" t="s">
        <v>1891</v>
      </c>
      <c r="H35" s="395" t="s">
        <v>1892</v>
      </c>
    </row>
    <row r="36" spans="1:8" x14ac:dyDescent="0.2">
      <c r="C36" s="400" t="s">
        <v>1899</v>
      </c>
      <c r="D36" s="319">
        <f>'Estados Financieros'!C20</f>
        <v>-437477.96976893395</v>
      </c>
      <c r="E36" s="319">
        <f>'Estados Financieros'!D20</f>
        <v>-351522.21263139532</v>
      </c>
      <c r="F36" s="319">
        <f>'Estados Financieros'!E20</f>
        <v>325869.64799149637</v>
      </c>
      <c r="G36" s="319">
        <f>'Estados Financieros'!F20</f>
        <v>1440365.6879510495</v>
      </c>
      <c r="H36" s="319">
        <f>'Estados Financieros'!G20</f>
        <v>3025184.0468541225</v>
      </c>
    </row>
    <row r="37" spans="1:8" x14ac:dyDescent="0.2">
      <c r="C37" s="400" t="s">
        <v>1853</v>
      </c>
      <c r="D37" s="319">
        <f>'Estados Financieros'!K25</f>
        <v>545946.49324662343</v>
      </c>
      <c r="E37" s="319">
        <f>'Estados Financieros'!L25</f>
        <v>1045946.4932466234</v>
      </c>
      <c r="F37" s="319">
        <f>'Estados Financieros'!M25</f>
        <v>1045946.4932466234</v>
      </c>
      <c r="G37" s="319">
        <f>'Estados Financieros'!N25</f>
        <v>1045946.4932466234</v>
      </c>
      <c r="H37" s="319">
        <f>'Estados Financieros'!O25</f>
        <v>1045946.4932466234</v>
      </c>
    </row>
    <row r="38" spans="1:8" x14ac:dyDescent="0.2">
      <c r="C38" s="293" t="s">
        <v>1898</v>
      </c>
      <c r="D38" s="344">
        <f>D36/D37</f>
        <v>-0.80132023042651834</v>
      </c>
      <c r="E38" s="344">
        <f t="shared" ref="E38" si="1">E36/E37</f>
        <v>-0.3360804925501194</v>
      </c>
      <c r="F38" s="344">
        <f t="shared" ref="F38" si="2">F36/F37</f>
        <v>0.3115547975881589</v>
      </c>
      <c r="G38" s="344">
        <f t="shared" ref="G38" si="3">G36/G37</f>
        <v>1.3770930896093421</v>
      </c>
      <c r="H38" s="344">
        <f t="shared" ref="H38" si="4">H36/H37</f>
        <v>2.8922933117390501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56"/>
  <sheetViews>
    <sheetView zoomScale="85" zoomScaleNormal="85" zoomScalePageLayoutView="85" workbookViewId="0"/>
  </sheetViews>
  <sheetFormatPr baseColWidth="10" defaultColWidth="11" defaultRowHeight="12.75" x14ac:dyDescent="0.2"/>
  <cols>
    <col min="1" max="1" width="11" style="452"/>
    <col min="2" max="9" width="14.28515625" style="452" customWidth="1"/>
    <col min="10" max="10" width="11" style="452"/>
    <col min="11" max="16" width="18.42578125" style="452" customWidth="1"/>
    <col min="17" max="17" width="24.85546875" style="452" bestFit="1" customWidth="1"/>
    <col min="18" max="16384" width="11" style="452"/>
  </cols>
  <sheetData>
    <row r="2" spans="2:18" x14ac:dyDescent="0.2">
      <c r="B2" s="460"/>
      <c r="C2" s="453">
        <v>2015</v>
      </c>
    </row>
    <row r="3" spans="2:18" x14ac:dyDescent="0.2">
      <c r="B3" s="453" t="s">
        <v>78</v>
      </c>
      <c r="C3" s="455">
        <v>8890792</v>
      </c>
    </row>
    <row r="4" spans="2:18" x14ac:dyDescent="0.2">
      <c r="B4" s="453" t="s">
        <v>75</v>
      </c>
      <c r="C4" s="455">
        <v>1013935</v>
      </c>
    </row>
    <row r="5" spans="2:18" x14ac:dyDescent="0.2">
      <c r="B5" s="453" t="s">
        <v>10</v>
      </c>
      <c r="C5" s="455">
        <f>C3+C4</f>
        <v>9904727</v>
      </c>
    </row>
    <row r="7" spans="2:18" ht="12.75" customHeight="1" x14ac:dyDescent="0.2">
      <c r="C7" s="456" t="s">
        <v>70</v>
      </c>
      <c r="D7" s="456" t="s">
        <v>72</v>
      </c>
      <c r="E7" s="456" t="s">
        <v>73</v>
      </c>
      <c r="F7" s="456" t="s">
        <v>74</v>
      </c>
      <c r="G7" s="456" t="s">
        <v>71</v>
      </c>
      <c r="H7" s="456" t="s">
        <v>75</v>
      </c>
      <c r="I7" s="456" t="s">
        <v>10</v>
      </c>
    </row>
    <row r="8" spans="2:18" x14ac:dyDescent="0.2">
      <c r="B8" s="453" t="s">
        <v>77</v>
      </c>
      <c r="C8" s="461">
        <v>0.255</v>
      </c>
      <c r="D8" s="461">
        <v>0.248</v>
      </c>
      <c r="E8" s="461">
        <v>7.4999999999999997E-2</v>
      </c>
      <c r="F8" s="461">
        <v>0.129</v>
      </c>
      <c r="G8" s="461">
        <v>0.191</v>
      </c>
      <c r="H8" s="461">
        <v>0.10199999999999999</v>
      </c>
      <c r="I8" s="461">
        <f>SUM(C8:H8)</f>
        <v>0.99999999999999989</v>
      </c>
    </row>
    <row r="9" spans="2:18" x14ac:dyDescent="0.2">
      <c r="B9" s="453" t="s">
        <v>76</v>
      </c>
      <c r="C9" s="455">
        <f t="shared" ref="C9:H9" si="0">$I$9*C8</f>
        <v>2525705.3850000002</v>
      </c>
      <c r="D9" s="455">
        <f t="shared" si="0"/>
        <v>2456372.2960000001</v>
      </c>
      <c r="E9" s="455">
        <f t="shared" si="0"/>
        <v>742854.52500000002</v>
      </c>
      <c r="F9" s="455">
        <f t="shared" si="0"/>
        <v>1277709.7830000001</v>
      </c>
      <c r="G9" s="455">
        <f t="shared" si="0"/>
        <v>1891802.8570000001</v>
      </c>
      <c r="H9" s="455">
        <f t="shared" si="0"/>
        <v>1010282.154</v>
      </c>
      <c r="I9" s="455">
        <f>C5</f>
        <v>9904727</v>
      </c>
      <c r="J9" s="462"/>
      <c r="K9" s="462"/>
      <c r="L9" s="462"/>
      <c r="M9" s="462"/>
      <c r="N9" s="462"/>
      <c r="O9" s="462"/>
      <c r="P9" s="462"/>
      <c r="Q9" s="462"/>
      <c r="R9" s="462"/>
    </row>
    <row r="10" spans="2:18" ht="15" customHeight="1" x14ac:dyDescent="0.2">
      <c r="J10" s="462"/>
      <c r="K10" s="462"/>
      <c r="L10" s="456" t="s">
        <v>79</v>
      </c>
      <c r="M10" s="456" t="s">
        <v>76</v>
      </c>
      <c r="N10" s="456" t="s">
        <v>34</v>
      </c>
      <c r="O10" s="456" t="s">
        <v>35</v>
      </c>
      <c r="P10" s="456" t="s">
        <v>36</v>
      </c>
      <c r="Q10" s="463" t="s">
        <v>80</v>
      </c>
      <c r="R10" s="462"/>
    </row>
    <row r="11" spans="2:18" ht="15" customHeight="1" x14ac:dyDescent="0.2">
      <c r="J11" s="462"/>
      <c r="K11" s="490" t="s">
        <v>33</v>
      </c>
      <c r="L11" s="453" t="s">
        <v>23</v>
      </c>
      <c r="M11" s="455">
        <v>71589</v>
      </c>
      <c r="N11" s="461">
        <v>0.19900000000000001</v>
      </c>
      <c r="O11" s="461">
        <v>0.48799999999999999</v>
      </c>
      <c r="P11" s="461">
        <v>0.22700000000000001</v>
      </c>
      <c r="Q11" s="455">
        <f>(N11+O11+P11)*M11</f>
        <v>65432.346000000005</v>
      </c>
      <c r="R11" s="462"/>
    </row>
    <row r="12" spans="2:18" ht="15" customHeight="1" x14ac:dyDescent="0.2">
      <c r="J12" s="462"/>
      <c r="K12" s="490"/>
      <c r="L12" s="453" t="s">
        <v>24</v>
      </c>
      <c r="M12" s="455">
        <v>50228</v>
      </c>
      <c r="N12" s="461">
        <v>0.19900000000000001</v>
      </c>
      <c r="O12" s="461">
        <v>0.48799999999999999</v>
      </c>
      <c r="P12" s="461">
        <v>0.22700000000000001</v>
      </c>
      <c r="Q12" s="455">
        <f t="shared" ref="Q12:Q20" si="1">(N12+O12+P12)*M12</f>
        <v>45908.392</v>
      </c>
      <c r="R12" s="462"/>
    </row>
    <row r="13" spans="2:18" ht="15" customHeight="1" x14ac:dyDescent="0.2">
      <c r="J13" s="462"/>
      <c r="K13" s="490"/>
      <c r="L13" s="453" t="s">
        <v>25</v>
      </c>
      <c r="M13" s="455">
        <v>74164</v>
      </c>
      <c r="N13" s="461">
        <v>0.19900000000000001</v>
      </c>
      <c r="O13" s="461">
        <v>0.48799999999999999</v>
      </c>
      <c r="P13" s="461">
        <v>0.22700000000000001</v>
      </c>
      <c r="Q13" s="455">
        <f t="shared" si="1"/>
        <v>67785.896000000008</v>
      </c>
      <c r="R13" s="462"/>
    </row>
    <row r="14" spans="2:18" ht="15" customHeight="1" x14ac:dyDescent="0.2">
      <c r="J14" s="462"/>
      <c r="K14" s="490"/>
      <c r="L14" s="453" t="s">
        <v>32</v>
      </c>
      <c r="M14" s="455">
        <v>54656</v>
      </c>
      <c r="N14" s="461">
        <v>0.19900000000000001</v>
      </c>
      <c r="O14" s="461">
        <v>0.48799999999999999</v>
      </c>
      <c r="P14" s="461">
        <v>0.22700000000000001</v>
      </c>
      <c r="Q14" s="455">
        <f t="shared" si="1"/>
        <v>49955.584000000003</v>
      </c>
      <c r="R14" s="462"/>
    </row>
    <row r="15" spans="2:18" ht="15" customHeight="1" x14ac:dyDescent="0.2">
      <c r="J15" s="462"/>
      <c r="K15" s="490"/>
      <c r="L15" s="453" t="s">
        <v>26</v>
      </c>
      <c r="M15" s="455">
        <v>135506</v>
      </c>
      <c r="N15" s="461">
        <v>0.19900000000000001</v>
      </c>
      <c r="O15" s="461">
        <v>0.48799999999999999</v>
      </c>
      <c r="P15" s="461">
        <v>0.22700000000000001</v>
      </c>
      <c r="Q15" s="455">
        <f t="shared" si="1"/>
        <v>123852.48400000001</v>
      </c>
      <c r="R15" s="462"/>
    </row>
    <row r="16" spans="2:18" ht="15" customHeight="1" x14ac:dyDescent="0.2">
      <c r="J16" s="462"/>
      <c r="K16" s="490" t="s">
        <v>39</v>
      </c>
      <c r="L16" s="453" t="s">
        <v>27</v>
      </c>
      <c r="M16" s="455">
        <v>81932</v>
      </c>
      <c r="N16" s="461">
        <v>0.28999999999999998</v>
      </c>
      <c r="O16" s="461">
        <v>0.44900000000000001</v>
      </c>
      <c r="P16" s="461">
        <v>0.188</v>
      </c>
      <c r="Q16" s="455">
        <f t="shared" si="1"/>
        <v>75950.964000000007</v>
      </c>
      <c r="R16" s="462"/>
    </row>
    <row r="17" spans="2:18" ht="15" customHeight="1" x14ac:dyDescent="0.2">
      <c r="J17" s="462"/>
      <c r="K17" s="490"/>
      <c r="L17" s="453" t="s">
        <v>28</v>
      </c>
      <c r="M17" s="455">
        <v>54206</v>
      </c>
      <c r="N17" s="461">
        <v>0.28999999999999998</v>
      </c>
      <c r="O17" s="461">
        <v>0.44900000000000001</v>
      </c>
      <c r="P17" s="461">
        <v>0.188</v>
      </c>
      <c r="Q17" s="455">
        <f t="shared" si="1"/>
        <v>50248.962</v>
      </c>
      <c r="R17" s="462"/>
    </row>
    <row r="18" spans="2:18" ht="15" customHeight="1" x14ac:dyDescent="0.2">
      <c r="J18" s="462"/>
      <c r="K18" s="490"/>
      <c r="L18" s="453" t="s">
        <v>29</v>
      </c>
      <c r="M18" s="455">
        <v>111928</v>
      </c>
      <c r="N18" s="461">
        <v>0.28999999999999998</v>
      </c>
      <c r="O18" s="461">
        <v>0.44900000000000001</v>
      </c>
      <c r="P18" s="461">
        <v>0.188</v>
      </c>
      <c r="Q18" s="455">
        <f t="shared" si="1"/>
        <v>103757.25600000001</v>
      </c>
      <c r="R18" s="462"/>
    </row>
    <row r="19" spans="2:18" ht="15" customHeight="1" x14ac:dyDescent="0.2">
      <c r="J19" s="462"/>
      <c r="K19" s="490"/>
      <c r="L19" s="453" t="s">
        <v>30</v>
      </c>
      <c r="M19" s="455">
        <v>344242</v>
      </c>
      <c r="N19" s="461">
        <v>0.28999999999999998</v>
      </c>
      <c r="O19" s="461">
        <v>0.44900000000000001</v>
      </c>
      <c r="P19" s="461">
        <v>0.188</v>
      </c>
      <c r="Q19" s="455">
        <f t="shared" si="1"/>
        <v>319112.33400000003</v>
      </c>
      <c r="R19" s="462"/>
    </row>
    <row r="20" spans="2:18" ht="15" customHeight="1" x14ac:dyDescent="0.2">
      <c r="J20" s="462"/>
      <c r="K20" s="490"/>
      <c r="L20" s="453" t="s">
        <v>31</v>
      </c>
      <c r="M20" s="455">
        <v>171646</v>
      </c>
      <c r="N20" s="461">
        <v>0.28999999999999998</v>
      </c>
      <c r="O20" s="461">
        <v>0.44900000000000001</v>
      </c>
      <c r="P20" s="461">
        <v>0.188</v>
      </c>
      <c r="Q20" s="455">
        <f t="shared" si="1"/>
        <v>159115.842</v>
      </c>
      <c r="R20" s="462"/>
    </row>
    <row r="21" spans="2:18" ht="15" customHeight="1" x14ac:dyDescent="0.2">
      <c r="J21" s="462"/>
      <c r="K21" s="462"/>
      <c r="L21" s="456" t="s">
        <v>10</v>
      </c>
      <c r="M21" s="455">
        <f>SUM(M11:M20)</f>
        <v>1150097</v>
      </c>
      <c r="N21" s="462"/>
      <c r="O21" s="462"/>
      <c r="P21" s="456" t="s">
        <v>10</v>
      </c>
      <c r="Q21" s="464">
        <f>SUM(Q11:Q20)</f>
        <v>1061120.06</v>
      </c>
      <c r="R21" s="462"/>
    </row>
    <row r="22" spans="2:18" ht="15" customHeight="1" x14ac:dyDescent="0.2">
      <c r="J22" s="462"/>
      <c r="K22" s="462"/>
      <c r="L22" s="462"/>
      <c r="M22" s="462"/>
      <c r="N22" s="462"/>
      <c r="O22" s="462"/>
      <c r="P22" s="462"/>
      <c r="Q22" s="462"/>
      <c r="R22" s="462"/>
    </row>
    <row r="23" spans="2:18" ht="12.75" customHeight="1" x14ac:dyDescent="0.2">
      <c r="B23" s="456" t="s">
        <v>92</v>
      </c>
      <c r="C23" s="456" t="s">
        <v>93</v>
      </c>
    </row>
    <row r="24" spans="2:18" x14ac:dyDescent="0.2">
      <c r="B24" s="489" t="s">
        <v>81</v>
      </c>
      <c r="C24" s="453" t="s">
        <v>82</v>
      </c>
    </row>
    <row r="25" spans="2:18" x14ac:dyDescent="0.2">
      <c r="B25" s="489"/>
      <c r="C25" s="453" t="s">
        <v>83</v>
      </c>
    </row>
    <row r="26" spans="2:18" x14ac:dyDescent="0.2">
      <c r="B26" s="489" t="s">
        <v>84</v>
      </c>
      <c r="C26" s="453" t="s">
        <v>85</v>
      </c>
    </row>
    <row r="27" spans="2:18" x14ac:dyDescent="0.2">
      <c r="B27" s="489"/>
      <c r="C27" s="453" t="s">
        <v>91</v>
      </c>
    </row>
    <row r="28" spans="2:18" x14ac:dyDescent="0.2">
      <c r="B28" s="489" t="s">
        <v>86</v>
      </c>
      <c r="C28" s="453" t="s">
        <v>87</v>
      </c>
    </row>
    <row r="29" spans="2:18" x14ac:dyDescent="0.2">
      <c r="B29" s="489"/>
      <c r="C29" s="453" t="s">
        <v>88</v>
      </c>
    </row>
    <row r="30" spans="2:18" x14ac:dyDescent="0.2">
      <c r="B30" s="453" t="s">
        <v>89</v>
      </c>
      <c r="C30" s="453" t="s">
        <v>90</v>
      </c>
    </row>
    <row r="46" spans="2:9" ht="15" x14ac:dyDescent="0.25">
      <c r="B46" s="448"/>
      <c r="C46" s="448"/>
      <c r="D46" s="448"/>
      <c r="E46" s="448"/>
      <c r="F46" s="448"/>
      <c r="G46" s="448"/>
      <c r="H46" s="448"/>
      <c r="I46" s="448"/>
    </row>
    <row r="47" spans="2:9" ht="15" x14ac:dyDescent="0.25">
      <c r="B47" s="448"/>
      <c r="C47" s="448"/>
      <c r="D47" s="448"/>
      <c r="E47" s="448"/>
      <c r="F47" s="448"/>
      <c r="G47" s="448"/>
      <c r="H47" s="448"/>
      <c r="I47" s="448"/>
    </row>
    <row r="48" spans="2:9" ht="15" x14ac:dyDescent="0.25">
      <c r="B48" s="448"/>
      <c r="C48" s="447" t="s">
        <v>66</v>
      </c>
      <c r="D48" s="447">
        <v>1.96</v>
      </c>
      <c r="E48" s="448"/>
      <c r="F48" s="448"/>
      <c r="G48" s="448"/>
      <c r="H48" s="448"/>
      <c r="I48" s="448"/>
    </row>
    <row r="49" spans="2:9" ht="15" x14ac:dyDescent="0.25">
      <c r="B49" s="448"/>
      <c r="C49" s="447" t="s">
        <v>67</v>
      </c>
      <c r="D49" s="447">
        <v>0.5</v>
      </c>
      <c r="E49" s="448"/>
      <c r="F49" s="448"/>
      <c r="G49" s="448"/>
      <c r="H49" s="448"/>
      <c r="I49" s="448"/>
    </row>
    <row r="50" spans="2:9" ht="15" x14ac:dyDescent="0.25">
      <c r="B50" s="448"/>
      <c r="C50" s="447" t="s">
        <v>68</v>
      </c>
      <c r="D50" s="447">
        <v>0.5</v>
      </c>
      <c r="E50" s="448"/>
      <c r="F50" s="448"/>
      <c r="G50" s="448"/>
      <c r="H50" s="448"/>
      <c r="I50" s="448"/>
    </row>
    <row r="51" spans="2:9" ht="15" x14ac:dyDescent="0.25">
      <c r="B51" s="448"/>
      <c r="C51" s="447"/>
      <c r="D51" s="465">
        <f>0.05*0.05</f>
        <v>2.5000000000000005E-3</v>
      </c>
      <c r="E51" s="448"/>
      <c r="F51" s="448"/>
      <c r="G51" s="448"/>
      <c r="H51" s="448"/>
      <c r="I51" s="448"/>
    </row>
    <row r="52" spans="2:9" ht="15" x14ac:dyDescent="0.25">
      <c r="B52" s="448"/>
      <c r="C52" s="451"/>
      <c r="D52" s="451"/>
      <c r="E52" s="448"/>
      <c r="F52" s="448"/>
      <c r="G52" s="448"/>
      <c r="H52" s="448"/>
      <c r="I52" s="448"/>
    </row>
    <row r="53" spans="2:9" ht="15" x14ac:dyDescent="0.25">
      <c r="B53" s="448"/>
      <c r="C53" s="466" t="s">
        <v>69</v>
      </c>
      <c r="D53" s="466">
        <f>(D48*D48*D49*D50)/D51</f>
        <v>384.15999999999991</v>
      </c>
      <c r="E53" s="448"/>
      <c r="F53" s="448"/>
      <c r="G53" s="448"/>
      <c r="H53" s="448"/>
      <c r="I53" s="448"/>
    </row>
    <row r="54" spans="2:9" ht="15" x14ac:dyDescent="0.25">
      <c r="B54" s="448"/>
      <c r="C54" s="448"/>
      <c r="D54" s="448"/>
      <c r="E54" s="448"/>
      <c r="F54" s="448"/>
      <c r="G54" s="448"/>
      <c r="H54" s="448"/>
      <c r="I54" s="448"/>
    </row>
    <row r="55" spans="2:9" ht="15" x14ac:dyDescent="0.25">
      <c r="B55" s="448"/>
      <c r="C55" s="448"/>
      <c r="D55" s="448"/>
      <c r="E55" s="448"/>
      <c r="F55" s="448"/>
      <c r="G55" s="448"/>
      <c r="H55" s="448"/>
      <c r="I55" s="448"/>
    </row>
    <row r="56" spans="2:9" ht="15" x14ac:dyDescent="0.25">
      <c r="B56" s="448"/>
      <c r="C56" s="448"/>
      <c r="D56" s="448"/>
      <c r="E56" s="448"/>
      <c r="F56" s="448"/>
      <c r="G56" s="448"/>
      <c r="H56" s="448"/>
      <c r="I56" s="448"/>
    </row>
  </sheetData>
  <mergeCells count="5">
    <mergeCell ref="B24:B25"/>
    <mergeCell ref="B26:B27"/>
    <mergeCell ref="B28:B29"/>
    <mergeCell ref="K11:K15"/>
    <mergeCell ref="K16:K2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0"/>
  <sheetViews>
    <sheetView topLeftCell="B1" workbookViewId="0">
      <selection activeCell="E22" sqref="E22"/>
    </sheetView>
  </sheetViews>
  <sheetFormatPr baseColWidth="10" defaultColWidth="10.85546875" defaultRowHeight="14.25" x14ac:dyDescent="0.2"/>
  <cols>
    <col min="1" max="1" width="10.85546875" style="4"/>
    <col min="2" max="2" width="22.42578125" style="4" bestFit="1" customWidth="1"/>
    <col min="3" max="3" width="53.42578125" style="4" bestFit="1" customWidth="1"/>
    <col min="4" max="4" width="14.28515625" style="4" bestFit="1" customWidth="1"/>
    <col min="5" max="9" width="10.85546875" style="4"/>
    <col min="10" max="10" width="13.28515625" style="4" bestFit="1" customWidth="1"/>
    <col min="11" max="16384" width="10.85546875" style="4"/>
  </cols>
  <sheetData>
    <row r="2" spans="2:10" x14ac:dyDescent="0.2">
      <c r="B2" s="401" t="s">
        <v>1900</v>
      </c>
      <c r="C2" s="401" t="s">
        <v>170</v>
      </c>
      <c r="D2" s="401" t="s">
        <v>1901</v>
      </c>
      <c r="I2" s="410" t="s">
        <v>1864</v>
      </c>
      <c r="J2" s="426">
        <f>'Evaluación Económica y Financie'!E4</f>
        <v>1599953.0155298947</v>
      </c>
    </row>
    <row r="3" spans="2:10" x14ac:dyDescent="0.2">
      <c r="B3" s="415" t="s">
        <v>1902</v>
      </c>
      <c r="C3" s="415" t="s">
        <v>1905</v>
      </c>
      <c r="D3" s="415"/>
      <c r="I3" s="410" t="s">
        <v>1865</v>
      </c>
      <c r="J3" s="426">
        <f>'Evaluación Económica y Financie'!E5</f>
        <v>2216795.4407993644</v>
      </c>
    </row>
    <row r="4" spans="2:10" x14ac:dyDescent="0.2">
      <c r="B4" s="415" t="s">
        <v>1903</v>
      </c>
      <c r="C4" s="415" t="s">
        <v>1906</v>
      </c>
      <c r="D4" s="415"/>
    </row>
    <row r="5" spans="2:10" x14ac:dyDescent="0.2">
      <c r="B5" s="415" t="s">
        <v>1904</v>
      </c>
      <c r="C5" s="415" t="s">
        <v>1907</v>
      </c>
      <c r="D5" s="415"/>
      <c r="I5" s="410" t="s">
        <v>1866</v>
      </c>
      <c r="J5" s="2">
        <f>'Evaluación Económica y Financie'!E10</f>
        <v>0.44862593480281432</v>
      </c>
    </row>
    <row r="6" spans="2:10" x14ac:dyDescent="0.2">
      <c r="B6" s="430" t="s">
        <v>1914</v>
      </c>
      <c r="I6" s="410" t="s">
        <v>1867</v>
      </c>
      <c r="J6" s="2">
        <f>'Evaluación Económica y Financie'!E11</f>
        <v>0.61489392919937047</v>
      </c>
    </row>
    <row r="7" spans="2:10" x14ac:dyDescent="0.2">
      <c r="B7" s="423" t="s">
        <v>1900</v>
      </c>
      <c r="C7" s="423" t="s">
        <v>1864</v>
      </c>
      <c r="D7" s="423" t="s">
        <v>1865</v>
      </c>
      <c r="E7" s="423" t="s">
        <v>1866</v>
      </c>
      <c r="F7" s="423" t="s">
        <v>1867</v>
      </c>
      <c r="G7" s="423" t="s">
        <v>1912</v>
      </c>
      <c r="I7" s="413" t="s">
        <v>1912</v>
      </c>
      <c r="J7" s="425">
        <f>'Evaluación Económica y Financie'!D17</f>
        <v>1.1637775965777044</v>
      </c>
    </row>
    <row r="8" spans="2:10" ht="15" x14ac:dyDescent="0.2">
      <c r="B8" s="424" t="s">
        <v>1904</v>
      </c>
      <c r="C8" s="429">
        <v>1357591.138977793</v>
      </c>
      <c r="D8" s="429">
        <v>1960903.8470614366</v>
      </c>
      <c r="E8" s="428">
        <v>0.40288757899311767</v>
      </c>
      <c r="F8" s="428">
        <v>0.55636179901280713</v>
      </c>
      <c r="G8" s="427">
        <v>1.1431949281832854</v>
      </c>
    </row>
    <row r="9" spans="2:10" ht="15" x14ac:dyDescent="0.2">
      <c r="B9" s="424" t="s">
        <v>1903</v>
      </c>
      <c r="C9" s="429">
        <v>1599953.0155298947</v>
      </c>
      <c r="D9" s="429">
        <v>2216795.9340459877</v>
      </c>
      <c r="E9" s="428">
        <v>0.44862593480281432</v>
      </c>
      <c r="F9" s="428">
        <v>0.61489423504400165</v>
      </c>
      <c r="G9" s="427">
        <v>1.1637775965777044</v>
      </c>
      <c r="I9" s="413" t="s">
        <v>1619</v>
      </c>
      <c r="J9" s="2">
        <f>'Financiamiento del Proyecto'!U25</f>
        <v>0.13066063216112347</v>
      </c>
    </row>
    <row r="10" spans="2:10" ht="15" x14ac:dyDescent="0.2">
      <c r="B10" s="424" t="s">
        <v>1902</v>
      </c>
      <c r="C10" s="429">
        <v>1745370.1414611563</v>
      </c>
      <c r="D10" s="429">
        <v>2370331.1862367182</v>
      </c>
      <c r="E10" s="428">
        <v>0.47621056161868891</v>
      </c>
      <c r="F10" s="428">
        <v>0.65041457463624286</v>
      </c>
      <c r="G10" s="427">
        <v>1.1755541394801325</v>
      </c>
    </row>
    <row r="11" spans="2:10" x14ac:dyDescent="0.2">
      <c r="B11" s="430" t="s">
        <v>1913</v>
      </c>
    </row>
    <row r="12" spans="2:10" x14ac:dyDescent="0.2">
      <c r="B12" s="423" t="s">
        <v>1900</v>
      </c>
      <c r="C12" s="423" t="s">
        <v>1864</v>
      </c>
      <c r="D12" s="423" t="s">
        <v>1865</v>
      </c>
      <c r="E12" s="423" t="s">
        <v>1866</v>
      </c>
      <c r="F12" s="423" t="s">
        <v>1867</v>
      </c>
      <c r="G12" s="423" t="s">
        <v>1912</v>
      </c>
    </row>
    <row r="13" spans="2:10" ht="15" x14ac:dyDescent="0.2">
      <c r="B13" s="424" t="s">
        <v>1904</v>
      </c>
      <c r="C13" s="429">
        <v>1212174.0130465305</v>
      </c>
      <c r="D13" s="429">
        <v>1807368.5948707042</v>
      </c>
      <c r="E13" s="428">
        <v>0.37557702815918881</v>
      </c>
      <c r="F13" s="428">
        <v>0.52163353569996396</v>
      </c>
      <c r="G13" s="427">
        <v>1.1302332136754232</v>
      </c>
    </row>
    <row r="14" spans="2:10" ht="15" x14ac:dyDescent="0.2">
      <c r="B14" s="424" t="s">
        <v>1903</v>
      </c>
      <c r="C14" s="429">
        <v>1599953.0155298947</v>
      </c>
      <c r="D14" s="429">
        <v>2216795.9340459877</v>
      </c>
      <c r="E14" s="428">
        <v>0.44862593480281432</v>
      </c>
      <c r="F14" s="428">
        <v>0.61489423504400165</v>
      </c>
      <c r="G14" s="427">
        <v>1.1637775965777044</v>
      </c>
    </row>
    <row r="15" spans="2:10" ht="15" x14ac:dyDescent="0.2">
      <c r="B15" s="424" t="s">
        <v>1902</v>
      </c>
      <c r="C15" s="429">
        <v>1793842.5167715778</v>
      </c>
      <c r="D15" s="429">
        <v>2421509.6036336296</v>
      </c>
      <c r="E15" s="428">
        <v>0.48543012171310629</v>
      </c>
      <c r="F15" s="428">
        <v>0.66232255169602072</v>
      </c>
      <c r="G15" s="427">
        <v>1.1793891012630828</v>
      </c>
    </row>
    <row r="16" spans="2:10" x14ac:dyDescent="0.2">
      <c r="B16" s="430" t="s">
        <v>1728</v>
      </c>
    </row>
    <row r="17" spans="2:7" x14ac:dyDescent="0.2">
      <c r="B17" s="423" t="s">
        <v>1900</v>
      </c>
      <c r="C17" s="423" t="s">
        <v>1864</v>
      </c>
      <c r="D17" s="423" t="s">
        <v>1865</v>
      </c>
      <c r="E17" s="423" t="s">
        <v>1866</v>
      </c>
      <c r="F17" s="423" t="s">
        <v>1867</v>
      </c>
      <c r="G17" s="423" t="s">
        <v>1912</v>
      </c>
    </row>
    <row r="18" spans="2:7" ht="15" x14ac:dyDescent="0.2">
      <c r="B18" s="424" t="s">
        <v>1904</v>
      </c>
      <c r="C18" s="429">
        <v>1399010.549436566</v>
      </c>
      <c r="D18" s="429">
        <v>2004636.2003623121</v>
      </c>
      <c r="E18" s="428">
        <v>0.41068400766763324</v>
      </c>
      <c r="F18" s="428">
        <v>0.56630744342468287</v>
      </c>
      <c r="G18" s="427">
        <v>1.1403219993681715</v>
      </c>
    </row>
    <row r="19" spans="2:7" ht="15" x14ac:dyDescent="0.2">
      <c r="B19" s="424" t="s">
        <v>1903</v>
      </c>
      <c r="C19" s="429">
        <v>1599953.0155298947</v>
      </c>
      <c r="D19" s="429">
        <v>2216795.9340459877</v>
      </c>
      <c r="E19" s="428">
        <v>0.44862593480281432</v>
      </c>
      <c r="F19" s="428">
        <v>0.61489423504400165</v>
      </c>
      <c r="G19" s="427">
        <v>1.1637775965777044</v>
      </c>
    </row>
    <row r="20" spans="2:7" ht="15" x14ac:dyDescent="0.2">
      <c r="B20" s="424" t="s">
        <v>1902</v>
      </c>
      <c r="C20" s="429">
        <v>1680330.0019672262</v>
      </c>
      <c r="D20" s="429">
        <v>2301659.8275194569</v>
      </c>
      <c r="E20" s="428">
        <v>0.46385928312066604</v>
      </c>
      <c r="F20" s="428">
        <v>0.63448933957665132</v>
      </c>
      <c r="G20" s="427">
        <v>1.1734322570647013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S62"/>
  <sheetViews>
    <sheetView zoomScale="85" zoomScaleNormal="85" zoomScalePageLayoutView="85" workbookViewId="0">
      <selection activeCell="AK62" activeCellId="3" sqref="AK17 AK32 AK47 AK62"/>
    </sheetView>
  </sheetViews>
  <sheetFormatPr baseColWidth="10" defaultColWidth="11.42578125" defaultRowHeight="12.75" x14ac:dyDescent="0.2"/>
  <cols>
    <col min="1" max="1" width="11.42578125" style="9"/>
    <col min="2" max="3" width="14.28515625" style="9" customWidth="1"/>
    <col min="4" max="5" width="11.42578125" style="9"/>
    <col min="6" max="7" width="21.42578125" style="9" customWidth="1"/>
    <col min="8" max="10" width="11.42578125" style="9"/>
    <col min="11" max="11" width="13.85546875" style="9" bestFit="1" customWidth="1"/>
    <col min="12" max="12" width="31.7109375" style="9" bestFit="1" customWidth="1"/>
    <col min="13" max="13" width="21.7109375" style="9" bestFit="1" customWidth="1"/>
    <col min="14" max="14" width="4.85546875" style="9" customWidth="1"/>
    <col min="15" max="15" width="11.42578125" style="9"/>
    <col min="16" max="16" width="4.28515625" style="9" bestFit="1" customWidth="1"/>
    <col min="17" max="18" width="4.140625" style="9" bestFit="1" customWidth="1"/>
    <col min="19" max="19" width="3.85546875" style="9" bestFit="1" customWidth="1"/>
    <col min="20" max="20" width="4.42578125" style="9" bestFit="1" customWidth="1"/>
    <col min="21" max="21" width="3.85546875" style="9" bestFit="1" customWidth="1"/>
    <col min="22" max="22" width="3.28515625" style="9" bestFit="1" customWidth="1"/>
    <col min="23" max="23" width="4.28515625" style="9" bestFit="1" customWidth="1"/>
    <col min="24" max="24" width="3.85546875" style="9" bestFit="1" customWidth="1"/>
    <col min="25" max="26" width="4" style="9" bestFit="1" customWidth="1"/>
    <col min="27" max="27" width="3.7109375" style="9" bestFit="1" customWidth="1"/>
    <col min="28" max="28" width="11.42578125" style="9"/>
    <col min="29" max="29" width="10.7109375" style="9" customWidth="1"/>
    <col min="30" max="31" width="15" style="9" customWidth="1"/>
    <col min="32" max="32" width="10.7109375" style="9" customWidth="1"/>
    <col min="33" max="34" width="15" style="9" customWidth="1"/>
    <col min="35" max="35" width="11.42578125" style="9"/>
    <col min="36" max="37" width="19.28515625" style="9" customWidth="1"/>
    <col min="38" max="38" width="13" style="9" bestFit="1" customWidth="1"/>
    <col min="39" max="39" width="16.7109375" style="9" bestFit="1" customWidth="1"/>
    <col min="40" max="40" width="13.140625" style="9" bestFit="1" customWidth="1"/>
    <col min="41" max="41" width="20.7109375" style="9" bestFit="1" customWidth="1"/>
    <col min="42" max="42" width="23" style="9" bestFit="1" customWidth="1"/>
    <col min="43" max="43" width="13.140625" style="9" bestFit="1" customWidth="1"/>
    <col min="44" max="44" width="13.42578125" style="9" bestFit="1" customWidth="1"/>
    <col min="45" max="16384" width="11.42578125" style="9"/>
  </cols>
  <sheetData>
    <row r="2" spans="2:45" ht="12.75" customHeight="1" x14ac:dyDescent="0.2">
      <c r="B2" s="194" t="s">
        <v>94</v>
      </c>
      <c r="C2" s="194" t="s">
        <v>9</v>
      </c>
      <c r="F2" s="496" t="s">
        <v>119</v>
      </c>
      <c r="G2" s="497"/>
      <c r="H2" s="498"/>
      <c r="I2" s="498"/>
      <c r="K2" s="193" t="s">
        <v>137</v>
      </c>
      <c r="L2" s="193" t="s">
        <v>136</v>
      </c>
      <c r="M2" s="193" t="s">
        <v>138</v>
      </c>
      <c r="O2" s="15"/>
      <c r="P2" s="498" t="s">
        <v>965</v>
      </c>
      <c r="Q2" s="498"/>
      <c r="R2" s="498"/>
      <c r="S2" s="498" t="s">
        <v>966</v>
      </c>
      <c r="T2" s="498"/>
      <c r="U2" s="498"/>
      <c r="V2" s="498" t="s">
        <v>967</v>
      </c>
      <c r="W2" s="498"/>
      <c r="X2" s="498"/>
      <c r="Y2" s="498" t="s">
        <v>968</v>
      </c>
      <c r="Z2" s="498"/>
      <c r="AA2" s="498"/>
    </row>
    <row r="3" spans="2:45" x14ac:dyDescent="0.2">
      <c r="B3" s="13" t="s">
        <v>95</v>
      </c>
      <c r="C3" s="13" t="s">
        <v>101</v>
      </c>
      <c r="F3" s="13" t="s">
        <v>107</v>
      </c>
      <c r="G3" s="13" t="s">
        <v>990</v>
      </c>
      <c r="H3" s="498"/>
      <c r="I3" s="498"/>
      <c r="K3" s="16" t="s">
        <v>126</v>
      </c>
      <c r="L3" s="16" t="s">
        <v>173</v>
      </c>
      <c r="M3" s="16" t="s">
        <v>174</v>
      </c>
      <c r="O3" s="101"/>
      <c r="P3" s="211" t="s">
        <v>953</v>
      </c>
      <c r="Q3" s="211" t="s">
        <v>954</v>
      </c>
      <c r="R3" s="211" t="s">
        <v>955</v>
      </c>
      <c r="S3" s="211" t="s">
        <v>956</v>
      </c>
      <c r="T3" s="211" t="s">
        <v>957</v>
      </c>
      <c r="U3" s="211" t="s">
        <v>958</v>
      </c>
      <c r="V3" s="211" t="s">
        <v>959</v>
      </c>
      <c r="W3" s="211" t="s">
        <v>960</v>
      </c>
      <c r="X3" s="211" t="s">
        <v>961</v>
      </c>
      <c r="Y3" s="211" t="s">
        <v>962</v>
      </c>
      <c r="Z3" s="211" t="s">
        <v>963</v>
      </c>
      <c r="AA3" s="211" t="s">
        <v>964</v>
      </c>
    </row>
    <row r="4" spans="2:45" x14ac:dyDescent="0.2">
      <c r="B4" s="13" t="s">
        <v>96</v>
      </c>
      <c r="C4" s="13" t="s">
        <v>102</v>
      </c>
      <c r="F4" s="13" t="s">
        <v>108</v>
      </c>
      <c r="G4" s="13" t="s">
        <v>116</v>
      </c>
      <c r="H4" s="498"/>
      <c r="I4" s="498"/>
      <c r="K4" s="491" t="s">
        <v>127</v>
      </c>
      <c r="L4" s="212" t="s">
        <v>131</v>
      </c>
      <c r="M4" s="212" t="s">
        <v>139</v>
      </c>
      <c r="O4" s="211" t="s">
        <v>147</v>
      </c>
      <c r="P4" s="216"/>
      <c r="Q4" s="218"/>
      <c r="R4" s="218"/>
      <c r="S4" s="218"/>
      <c r="T4" s="218"/>
      <c r="U4" s="218"/>
      <c r="V4" s="218"/>
      <c r="W4" s="218"/>
      <c r="X4" s="217"/>
      <c r="Y4" s="217"/>
      <c r="Z4" s="217"/>
      <c r="AA4" s="217"/>
      <c r="AC4" s="15"/>
      <c r="AD4" s="213" t="s">
        <v>972</v>
      </c>
      <c r="AE4" s="213" t="s">
        <v>981</v>
      </c>
      <c r="AF4" s="15"/>
      <c r="AG4" s="213" t="s">
        <v>972</v>
      </c>
      <c r="AH4" s="213" t="s">
        <v>981</v>
      </c>
      <c r="AJ4" s="327" t="s">
        <v>1511</v>
      </c>
    </row>
    <row r="5" spans="2:45" x14ac:dyDescent="0.2">
      <c r="B5" s="13" t="s">
        <v>97</v>
      </c>
      <c r="C5" s="13" t="s">
        <v>103</v>
      </c>
      <c r="F5" s="13" t="s">
        <v>109</v>
      </c>
      <c r="G5" s="13" t="s">
        <v>110</v>
      </c>
      <c r="H5" s="498"/>
      <c r="I5" s="498"/>
      <c r="K5" s="491"/>
      <c r="L5" s="212" t="s">
        <v>132</v>
      </c>
      <c r="M5" s="212" t="s">
        <v>140</v>
      </c>
      <c r="O5" s="211" t="s">
        <v>148</v>
      </c>
      <c r="P5" s="214"/>
      <c r="Q5" s="195"/>
      <c r="R5" s="195"/>
      <c r="S5" s="195"/>
      <c r="T5" s="195"/>
      <c r="U5" s="215"/>
      <c r="V5" s="215"/>
      <c r="W5" s="215"/>
      <c r="X5" s="215"/>
      <c r="Y5" s="215"/>
      <c r="Z5" s="215"/>
      <c r="AA5" s="215"/>
      <c r="AC5" s="492" t="s">
        <v>147</v>
      </c>
      <c r="AD5" s="212" t="s">
        <v>973</v>
      </c>
      <c r="AE5" s="164">
        <v>6</v>
      </c>
      <c r="AF5" s="491" t="s">
        <v>730</v>
      </c>
      <c r="AG5" s="225" t="s">
        <v>973</v>
      </c>
      <c r="AH5" s="227">
        <v>14.5</v>
      </c>
      <c r="AJ5" s="315" t="s">
        <v>137</v>
      </c>
      <c r="AK5" s="315" t="s">
        <v>1512</v>
      </c>
      <c r="AM5" s="315" t="s">
        <v>1129</v>
      </c>
      <c r="AN5" s="330" t="s">
        <v>1518</v>
      </c>
      <c r="AO5" s="315" t="s">
        <v>1523</v>
      </c>
      <c r="AP5" s="315" t="s">
        <v>1517</v>
      </c>
      <c r="AQ5" s="315" t="s">
        <v>1513</v>
      </c>
      <c r="AR5" s="315" t="s">
        <v>1519</v>
      </c>
    </row>
    <row r="6" spans="2:45" x14ac:dyDescent="0.2">
      <c r="B6" s="13" t="s">
        <v>98</v>
      </c>
      <c r="C6" s="13" t="s">
        <v>104</v>
      </c>
      <c r="F6" s="13" t="s">
        <v>11</v>
      </c>
      <c r="G6" s="13" t="s">
        <v>111</v>
      </c>
      <c r="H6" s="498"/>
      <c r="I6" s="498"/>
      <c r="K6" s="491"/>
      <c r="L6" s="212" t="s">
        <v>984</v>
      </c>
      <c r="M6" s="212" t="s">
        <v>143</v>
      </c>
      <c r="O6" s="211" t="s">
        <v>730</v>
      </c>
      <c r="P6" s="214"/>
      <c r="Q6" s="215"/>
      <c r="R6" s="215"/>
      <c r="S6" s="215"/>
      <c r="T6" s="215"/>
      <c r="U6" s="215"/>
      <c r="V6" s="215"/>
      <c r="W6" s="215"/>
      <c r="X6" s="195"/>
      <c r="Y6" s="195"/>
      <c r="Z6" s="195"/>
      <c r="AA6" s="195"/>
      <c r="AC6" s="493"/>
      <c r="AD6" s="212" t="s">
        <v>974</v>
      </c>
      <c r="AE6" s="212">
        <v>0.25</v>
      </c>
      <c r="AF6" s="491"/>
      <c r="AG6" s="212" t="s">
        <v>974</v>
      </c>
      <c r="AH6" s="164">
        <v>0.41</v>
      </c>
      <c r="AJ6" s="310" t="s">
        <v>1355</v>
      </c>
      <c r="AK6" s="316">
        <v>0.125</v>
      </c>
    </row>
    <row r="7" spans="2:45" x14ac:dyDescent="0.2">
      <c r="B7" s="13" t="s">
        <v>99</v>
      </c>
      <c r="C7" s="13" t="s">
        <v>105</v>
      </c>
      <c r="F7" s="13" t="s">
        <v>112</v>
      </c>
      <c r="G7" s="13" t="s">
        <v>113</v>
      </c>
      <c r="H7" s="498"/>
      <c r="I7" s="498"/>
      <c r="K7" s="491" t="s">
        <v>128</v>
      </c>
      <c r="L7" s="16" t="s">
        <v>985</v>
      </c>
      <c r="M7" s="16" t="s">
        <v>986</v>
      </c>
      <c r="O7" s="211" t="s">
        <v>144</v>
      </c>
      <c r="P7" s="214"/>
      <c r="Q7" s="195"/>
      <c r="R7" s="195"/>
      <c r="S7" s="215"/>
      <c r="T7" s="215"/>
      <c r="U7" s="215"/>
      <c r="V7" s="211"/>
      <c r="W7" s="211"/>
      <c r="X7" s="211"/>
      <c r="Y7" s="215"/>
      <c r="Z7" s="195"/>
      <c r="AA7" s="195"/>
      <c r="AC7" s="493"/>
      <c r="AD7" s="212" t="s">
        <v>976</v>
      </c>
      <c r="AE7" s="164">
        <v>9</v>
      </c>
      <c r="AF7" s="491"/>
      <c r="AG7" s="212" t="s">
        <v>975</v>
      </c>
      <c r="AH7" s="164">
        <v>4.3</v>
      </c>
      <c r="AJ7" s="310" t="s">
        <v>1356</v>
      </c>
      <c r="AK7" s="316">
        <v>0.38350000000000001</v>
      </c>
    </row>
    <row r="8" spans="2:45" x14ac:dyDescent="0.2">
      <c r="B8" s="13" t="s">
        <v>100</v>
      </c>
      <c r="C8" s="13" t="s">
        <v>102</v>
      </c>
      <c r="F8" s="13" t="s">
        <v>114</v>
      </c>
      <c r="G8" s="13" t="s">
        <v>115</v>
      </c>
      <c r="H8" s="498"/>
      <c r="I8" s="498"/>
      <c r="K8" s="491"/>
      <c r="L8" s="16" t="s">
        <v>134</v>
      </c>
      <c r="M8" s="16" t="s">
        <v>142</v>
      </c>
      <c r="AC8" s="493"/>
      <c r="AD8" s="212" t="s">
        <v>980</v>
      </c>
      <c r="AE8" s="212">
        <v>20</v>
      </c>
      <c r="AF8" s="491"/>
      <c r="AG8" s="225" t="s">
        <v>976</v>
      </c>
      <c r="AH8" s="227">
        <v>16.899999999999999</v>
      </c>
      <c r="AI8" s="176"/>
      <c r="AJ8" s="310" t="s">
        <v>129</v>
      </c>
      <c r="AK8" s="316">
        <v>0.25</v>
      </c>
    </row>
    <row r="9" spans="2:45" x14ac:dyDescent="0.2">
      <c r="F9" s="13" t="s">
        <v>117</v>
      </c>
      <c r="G9" s="13" t="s">
        <v>118</v>
      </c>
      <c r="H9" s="498"/>
      <c r="I9" s="498"/>
      <c r="K9" s="16" t="s">
        <v>129</v>
      </c>
      <c r="L9" s="16" t="s">
        <v>135</v>
      </c>
      <c r="M9" s="16" t="s">
        <v>143</v>
      </c>
      <c r="AC9" s="493"/>
      <c r="AD9" s="195" t="s">
        <v>979</v>
      </c>
      <c r="AE9" s="195">
        <v>190</v>
      </c>
      <c r="AF9" s="491"/>
      <c r="AG9" s="212" t="s">
        <v>977</v>
      </c>
      <c r="AH9" s="164">
        <v>0.13</v>
      </c>
      <c r="AJ9" s="310" t="s">
        <v>1353</v>
      </c>
      <c r="AK9" s="316">
        <f>AR9</f>
        <v>0.13465326633165828</v>
      </c>
      <c r="AM9" s="310" t="s">
        <v>1353</v>
      </c>
      <c r="AN9" s="179">
        <v>2.4</v>
      </c>
      <c r="AO9" s="310">
        <v>66.989999999999995</v>
      </c>
      <c r="AP9" s="319">
        <v>1194</v>
      </c>
      <c r="AQ9" s="164">
        <f>AO9/AP9</f>
        <v>5.6105527638190954E-2</v>
      </c>
      <c r="AR9" s="164">
        <f>AQ9*AN9</f>
        <v>0.13465326633165828</v>
      </c>
    </row>
    <row r="10" spans="2:45" x14ac:dyDescent="0.2">
      <c r="B10" s="495" t="s">
        <v>106</v>
      </c>
      <c r="C10" s="495"/>
      <c r="K10" s="491" t="s">
        <v>130</v>
      </c>
      <c r="L10" s="212" t="s">
        <v>985</v>
      </c>
      <c r="M10" s="212" t="s">
        <v>986</v>
      </c>
      <c r="AC10" s="493"/>
      <c r="AD10" s="212" t="s">
        <v>977</v>
      </c>
      <c r="AE10" s="212">
        <v>0.17</v>
      </c>
      <c r="AF10" s="491"/>
      <c r="AG10" s="212" t="s">
        <v>978</v>
      </c>
      <c r="AH10" s="164">
        <v>0.55000000000000004</v>
      </c>
      <c r="AJ10" s="310" t="s">
        <v>1515</v>
      </c>
      <c r="AK10" s="316">
        <f t="shared" ref="AK10:AK15" si="0">AR10</f>
        <v>0.37989949748743712</v>
      </c>
      <c r="AM10" s="310" t="s">
        <v>1515</v>
      </c>
      <c r="AN10" s="179">
        <v>3</v>
      </c>
      <c r="AO10" s="310">
        <v>151.19999999999999</v>
      </c>
      <c r="AP10" s="319">
        <v>1194</v>
      </c>
      <c r="AQ10" s="164">
        <f>AO10/AP10</f>
        <v>0.12663316582914572</v>
      </c>
      <c r="AR10" s="164">
        <f>AQ10*AN10</f>
        <v>0.37989949748743712</v>
      </c>
    </row>
    <row r="11" spans="2:45" x14ac:dyDescent="0.2">
      <c r="B11" s="495"/>
      <c r="C11" s="495"/>
      <c r="K11" s="491"/>
      <c r="L11" s="212" t="s">
        <v>133</v>
      </c>
      <c r="M11" s="212" t="s">
        <v>141</v>
      </c>
      <c r="AC11" s="493"/>
      <c r="AD11" s="212" t="s">
        <v>982</v>
      </c>
      <c r="AE11" s="164">
        <v>6.8000000000000005E-2</v>
      </c>
      <c r="AF11" s="491"/>
      <c r="AG11" s="212" t="s">
        <v>97</v>
      </c>
      <c r="AH11" s="164">
        <v>2.1</v>
      </c>
      <c r="AJ11" s="310" t="s">
        <v>1022</v>
      </c>
      <c r="AK11" s="316">
        <f t="shared" si="0"/>
        <v>4.5464824120603015E-2</v>
      </c>
      <c r="AM11" s="310" t="s">
        <v>1022</v>
      </c>
      <c r="AN11" s="310">
        <v>3.5</v>
      </c>
      <c r="AO11" s="310">
        <v>15.51</v>
      </c>
      <c r="AP11" s="319">
        <v>1194</v>
      </c>
      <c r="AQ11" s="331">
        <f t="shared" ref="AQ11:AQ16" si="1">AO11/AP11</f>
        <v>1.2989949748743719E-2</v>
      </c>
      <c r="AR11" s="164">
        <f t="shared" ref="AR11:AR16" si="2">AQ11*AN11</f>
        <v>4.5464824120603015E-2</v>
      </c>
    </row>
    <row r="12" spans="2:45" x14ac:dyDescent="0.2">
      <c r="AC12" s="493"/>
      <c r="AD12" s="212" t="s">
        <v>983</v>
      </c>
      <c r="AE12" s="164">
        <v>6.0999999999999999E-2</v>
      </c>
      <c r="AF12" s="491"/>
      <c r="AG12" s="195" t="s">
        <v>979</v>
      </c>
      <c r="AH12" s="195">
        <v>175</v>
      </c>
      <c r="AJ12" s="310" t="s">
        <v>1354</v>
      </c>
      <c r="AK12" s="316">
        <f t="shared" si="0"/>
        <v>1.6242148241206029E-2</v>
      </c>
      <c r="AM12" s="310" t="s">
        <v>1354</v>
      </c>
      <c r="AN12" s="311">
        <v>187.5</v>
      </c>
      <c r="AO12" s="311">
        <v>0.10342999999999999</v>
      </c>
      <c r="AP12" s="324">
        <v>1194</v>
      </c>
      <c r="AQ12" s="332">
        <f t="shared" si="1"/>
        <v>8.6624790619765487E-5</v>
      </c>
      <c r="AR12" s="334">
        <f t="shared" si="2"/>
        <v>1.6242148241206029E-2</v>
      </c>
    </row>
    <row r="13" spans="2:45" ht="12.75" customHeight="1" x14ac:dyDescent="0.2">
      <c r="F13" s="496" t="s">
        <v>125</v>
      </c>
      <c r="G13" s="497"/>
      <c r="H13" s="498"/>
      <c r="I13" s="498"/>
      <c r="AC13" s="494"/>
      <c r="AD13" s="212" t="s">
        <v>978</v>
      </c>
      <c r="AE13" s="164">
        <v>1E-4</v>
      </c>
      <c r="AF13" s="491"/>
      <c r="AG13" s="225" t="s">
        <v>980</v>
      </c>
      <c r="AH13" s="225">
        <v>14</v>
      </c>
      <c r="AJ13" s="310" t="s">
        <v>1024</v>
      </c>
      <c r="AK13" s="316">
        <f t="shared" si="0"/>
        <v>8.2646566164154105E-3</v>
      </c>
      <c r="AM13" s="310" t="s">
        <v>1024</v>
      </c>
      <c r="AN13" s="310">
        <v>25</v>
      </c>
      <c r="AO13" s="311">
        <v>0.39472000000000002</v>
      </c>
      <c r="AP13" s="324">
        <v>1194</v>
      </c>
      <c r="AQ13" s="332">
        <f t="shared" si="1"/>
        <v>3.305862646566164E-4</v>
      </c>
      <c r="AR13" s="334">
        <f t="shared" si="2"/>
        <v>8.2646566164154105E-3</v>
      </c>
      <c r="AS13" s="9" t="s">
        <v>1524</v>
      </c>
    </row>
    <row r="14" spans="2:45" x14ac:dyDescent="0.2">
      <c r="F14" s="14" t="s">
        <v>107</v>
      </c>
      <c r="G14" s="14" t="s">
        <v>124</v>
      </c>
      <c r="H14" s="498"/>
      <c r="I14" s="498"/>
      <c r="M14" s="18" t="s">
        <v>969</v>
      </c>
      <c r="N14" s="219"/>
      <c r="AC14" s="492" t="s">
        <v>148</v>
      </c>
      <c r="AD14" s="212" t="s">
        <v>973</v>
      </c>
      <c r="AE14" s="164">
        <v>5.5</v>
      </c>
      <c r="AF14" s="491" t="s">
        <v>144</v>
      </c>
      <c r="AG14" s="225" t="s">
        <v>973</v>
      </c>
      <c r="AH14" s="225">
        <v>12</v>
      </c>
      <c r="AJ14" s="310" t="s">
        <v>1026</v>
      </c>
      <c r="AK14" s="316">
        <f t="shared" si="0"/>
        <v>5.3161306532663313E-3</v>
      </c>
      <c r="AM14" s="310" t="s">
        <v>1026</v>
      </c>
      <c r="AN14" s="311">
        <v>98</v>
      </c>
      <c r="AO14" s="311">
        <v>6.4769999999999994E-2</v>
      </c>
      <c r="AP14" s="324">
        <v>1194</v>
      </c>
      <c r="AQ14" s="332">
        <f t="shared" si="1"/>
        <v>5.4246231155778887E-5</v>
      </c>
      <c r="AR14" s="334">
        <f t="shared" si="2"/>
        <v>5.3161306532663313E-3</v>
      </c>
      <c r="AS14" s="9" t="s">
        <v>1525</v>
      </c>
    </row>
    <row r="15" spans="2:45" x14ac:dyDescent="0.2">
      <c r="F15" s="14" t="s">
        <v>108</v>
      </c>
      <c r="G15" s="14" t="s">
        <v>123</v>
      </c>
      <c r="H15" s="498"/>
      <c r="I15" s="498"/>
      <c r="M15" s="18" t="s">
        <v>970</v>
      </c>
      <c r="N15" s="220"/>
      <c r="AC15" s="493"/>
      <c r="AD15" s="212" t="s">
        <v>974</v>
      </c>
      <c r="AE15" s="164">
        <v>0.56000000000000005</v>
      </c>
      <c r="AF15" s="491"/>
      <c r="AG15" s="212" t="s">
        <v>974</v>
      </c>
      <c r="AH15" s="164">
        <v>0.4</v>
      </c>
      <c r="AJ15" s="310" t="s">
        <v>1023</v>
      </c>
      <c r="AK15" s="316">
        <f t="shared" si="0"/>
        <v>9.9811055276381924E-3</v>
      </c>
      <c r="AM15" s="310" t="s">
        <v>1023</v>
      </c>
      <c r="AN15" s="310">
        <v>72</v>
      </c>
      <c r="AO15" s="311">
        <v>0.16552</v>
      </c>
      <c r="AP15" s="324">
        <v>1194</v>
      </c>
      <c r="AQ15" s="332">
        <f t="shared" si="1"/>
        <v>1.3862646566164155E-4</v>
      </c>
      <c r="AR15" s="334">
        <f t="shared" si="2"/>
        <v>9.9811055276381924E-3</v>
      </c>
      <c r="AS15" s="9" t="s">
        <v>1526</v>
      </c>
    </row>
    <row r="16" spans="2:45" x14ac:dyDescent="0.2">
      <c r="F16" s="14" t="s">
        <v>988</v>
      </c>
      <c r="G16" s="14" t="s">
        <v>989</v>
      </c>
      <c r="H16" s="498"/>
      <c r="I16" s="498"/>
      <c r="M16" s="18" t="s">
        <v>971</v>
      </c>
      <c r="N16" s="221"/>
      <c r="AC16" s="493"/>
      <c r="AD16" s="212" t="s">
        <v>975</v>
      </c>
      <c r="AE16" s="164">
        <v>1.1000000000000001</v>
      </c>
      <c r="AF16" s="491"/>
      <c r="AG16" s="212" t="s">
        <v>975</v>
      </c>
      <c r="AH16" s="164">
        <v>1.6</v>
      </c>
      <c r="AJ16" s="310" t="s">
        <v>559</v>
      </c>
      <c r="AK16" s="316">
        <f>AR16</f>
        <v>4.3118358458961475E-2</v>
      </c>
      <c r="AM16" s="310" t="s">
        <v>559</v>
      </c>
      <c r="AN16" s="311">
        <v>196</v>
      </c>
      <c r="AO16" s="311">
        <v>0.26267000000000001</v>
      </c>
      <c r="AP16" s="324">
        <v>1194</v>
      </c>
      <c r="AQ16" s="332">
        <f t="shared" si="1"/>
        <v>2.1999162479061977E-4</v>
      </c>
      <c r="AR16" s="333">
        <f t="shared" si="2"/>
        <v>4.3118358458961475E-2</v>
      </c>
      <c r="AS16" s="9" t="s">
        <v>1527</v>
      </c>
    </row>
    <row r="17" spans="6:45" x14ac:dyDescent="0.2">
      <c r="F17" s="14" t="s">
        <v>120</v>
      </c>
      <c r="G17" s="14" t="s">
        <v>122</v>
      </c>
      <c r="H17" s="498"/>
      <c r="I17" s="498"/>
      <c r="AC17" s="493"/>
      <c r="AD17" s="212" t="s">
        <v>976</v>
      </c>
      <c r="AE17" s="164">
        <v>5.6</v>
      </c>
      <c r="AF17" s="491"/>
      <c r="AG17" s="225" t="s">
        <v>976</v>
      </c>
      <c r="AH17" s="225">
        <v>18</v>
      </c>
      <c r="AJ17" s="15"/>
      <c r="AK17" s="336">
        <f>SUM(AK6:AK16)</f>
        <v>1.4014399874371859</v>
      </c>
    </row>
    <row r="18" spans="6:45" x14ac:dyDescent="0.2">
      <c r="F18" s="14" t="s">
        <v>121</v>
      </c>
      <c r="G18" s="14" t="s">
        <v>987</v>
      </c>
      <c r="H18" s="498"/>
      <c r="I18" s="498"/>
      <c r="AC18" s="493"/>
      <c r="AD18" s="212" t="s">
        <v>977</v>
      </c>
      <c r="AE18" s="164">
        <v>0.13</v>
      </c>
      <c r="AF18" s="491"/>
      <c r="AG18" s="212" t="s">
        <v>977</v>
      </c>
      <c r="AH18" s="212">
        <v>0.12</v>
      </c>
    </row>
    <row r="19" spans="6:45" x14ac:dyDescent="0.2">
      <c r="AC19" s="493"/>
      <c r="AD19" s="212" t="s">
        <v>978</v>
      </c>
      <c r="AE19" s="164">
        <v>1.4</v>
      </c>
      <c r="AF19" s="491"/>
      <c r="AG19" s="212" t="s">
        <v>978</v>
      </c>
      <c r="AH19" s="164">
        <v>0.6</v>
      </c>
      <c r="AJ19" s="327" t="s">
        <v>1520</v>
      </c>
    </row>
    <row r="20" spans="6:45" x14ac:dyDescent="0.2">
      <c r="F20" s="496" t="s">
        <v>1733</v>
      </c>
      <c r="G20" s="497"/>
      <c r="AC20" s="493"/>
      <c r="AD20" s="212" t="s">
        <v>97</v>
      </c>
      <c r="AE20" s="164">
        <v>1.2</v>
      </c>
      <c r="AF20" s="491"/>
      <c r="AG20" s="212" t="s">
        <v>97</v>
      </c>
      <c r="AH20" s="164">
        <v>5</v>
      </c>
      <c r="AJ20" s="315" t="s">
        <v>137</v>
      </c>
      <c r="AK20" s="315" t="s">
        <v>1512</v>
      </c>
      <c r="AM20" s="315" t="s">
        <v>1129</v>
      </c>
      <c r="AN20" s="330" t="s">
        <v>1518</v>
      </c>
      <c r="AO20" s="315" t="s">
        <v>1523</v>
      </c>
      <c r="AP20" s="315" t="s">
        <v>1517</v>
      </c>
      <c r="AQ20" s="315" t="s">
        <v>1513</v>
      </c>
      <c r="AR20" s="315" t="s">
        <v>1519</v>
      </c>
    </row>
    <row r="21" spans="6:45" x14ac:dyDescent="0.2">
      <c r="F21" s="359" t="s">
        <v>11</v>
      </c>
      <c r="G21" s="359" t="s">
        <v>1734</v>
      </c>
      <c r="AC21" s="493"/>
      <c r="AD21" s="195" t="s">
        <v>979</v>
      </c>
      <c r="AE21" s="224">
        <v>120</v>
      </c>
      <c r="AF21" s="491"/>
      <c r="AG21" s="195" t="s">
        <v>979</v>
      </c>
      <c r="AH21" s="195">
        <v>170</v>
      </c>
      <c r="AJ21" s="310" t="s">
        <v>1355</v>
      </c>
      <c r="AK21" s="316">
        <v>0.125</v>
      </c>
    </row>
    <row r="22" spans="6:45" x14ac:dyDescent="0.2">
      <c r="AC22" s="494"/>
      <c r="AD22" s="225" t="s">
        <v>980</v>
      </c>
      <c r="AE22" s="226">
        <v>9.1</v>
      </c>
      <c r="AF22" s="491"/>
      <c r="AG22" s="212" t="s">
        <v>980</v>
      </c>
      <c r="AH22" s="164">
        <v>0</v>
      </c>
      <c r="AJ22" s="310" t="s">
        <v>1356</v>
      </c>
      <c r="AK22" s="316">
        <v>0.38350000000000001</v>
      </c>
      <c r="AM22" s="320"/>
      <c r="AN22" s="339"/>
      <c r="AO22" s="320"/>
      <c r="AP22" s="20"/>
      <c r="AQ22" s="340"/>
      <c r="AR22" s="340"/>
    </row>
    <row r="23" spans="6:45" x14ac:dyDescent="0.2">
      <c r="AJ23" s="310" t="s">
        <v>129</v>
      </c>
      <c r="AK23" s="316">
        <v>0.25</v>
      </c>
      <c r="AM23" s="341"/>
      <c r="AN23" s="341"/>
      <c r="AO23" s="341"/>
      <c r="AP23" s="341"/>
      <c r="AQ23" s="341"/>
      <c r="AR23" s="341"/>
    </row>
    <row r="24" spans="6:45" x14ac:dyDescent="0.2">
      <c r="AJ24" s="310" t="s">
        <v>1353</v>
      </c>
      <c r="AK24" s="316">
        <f>AR24</f>
        <v>0.11433165829145729</v>
      </c>
      <c r="AM24" s="310" t="s">
        <v>1353</v>
      </c>
      <c r="AN24" s="179">
        <v>2.4</v>
      </c>
      <c r="AO24" s="310">
        <v>56.88</v>
      </c>
      <c r="AP24" s="319">
        <v>1194</v>
      </c>
      <c r="AQ24" s="164">
        <f>AO24/AP24</f>
        <v>4.7638190954773875E-2</v>
      </c>
      <c r="AR24" s="164">
        <f>AQ24*AN24</f>
        <v>0.11433165829145729</v>
      </c>
    </row>
    <row r="25" spans="6:45" x14ac:dyDescent="0.2">
      <c r="AJ25" s="310" t="s">
        <v>1514</v>
      </c>
      <c r="AK25" s="316">
        <f t="shared" ref="AK25:AK30" si="3">AR25</f>
        <v>0.2823785594639866</v>
      </c>
      <c r="AM25" s="310" t="s">
        <v>1514</v>
      </c>
      <c r="AN25" s="179">
        <v>2</v>
      </c>
      <c r="AO25" s="310">
        <v>168.58</v>
      </c>
      <c r="AP25" s="319">
        <v>1194</v>
      </c>
      <c r="AQ25" s="164">
        <f>AO25/AP25</f>
        <v>0.1411892797319933</v>
      </c>
      <c r="AR25" s="164">
        <f>AQ25*AN25</f>
        <v>0.2823785594639866</v>
      </c>
    </row>
    <row r="26" spans="6:45" x14ac:dyDescent="0.2">
      <c r="AJ26" s="310" t="s">
        <v>1022</v>
      </c>
      <c r="AK26" s="316">
        <f t="shared" si="3"/>
        <v>4.3852596314907871E-2</v>
      </c>
      <c r="AM26" s="310" t="s">
        <v>1022</v>
      </c>
      <c r="AN26" s="310">
        <v>3.5</v>
      </c>
      <c r="AO26" s="310">
        <v>14.96</v>
      </c>
      <c r="AP26" s="319">
        <v>1194</v>
      </c>
      <c r="AQ26" s="331">
        <f t="shared" ref="AQ26:AQ31" si="4">AO26/AP26</f>
        <v>1.2529313232830821E-2</v>
      </c>
      <c r="AR26" s="164">
        <f t="shared" ref="AR26:AR31" si="5">AQ26*AN26</f>
        <v>4.3852596314907871E-2</v>
      </c>
    </row>
    <row r="27" spans="6:45" x14ac:dyDescent="0.2">
      <c r="AJ27" s="310" t="s">
        <v>1354</v>
      </c>
      <c r="AK27" s="316">
        <f t="shared" si="3"/>
        <v>1.5659547738693467E-2</v>
      </c>
      <c r="AM27" s="310" t="s">
        <v>1354</v>
      </c>
      <c r="AN27" s="311">
        <v>187.5</v>
      </c>
      <c r="AO27" s="311">
        <v>9.9720000000000003E-2</v>
      </c>
      <c r="AP27" s="319">
        <v>1194</v>
      </c>
      <c r="AQ27" s="332">
        <f t="shared" si="4"/>
        <v>8.3517587939698493E-5</v>
      </c>
      <c r="AR27" s="334">
        <f t="shared" si="5"/>
        <v>1.5659547738693467E-2</v>
      </c>
    </row>
    <row r="28" spans="6:45" x14ac:dyDescent="0.2">
      <c r="AJ28" s="310" t="s">
        <v>1024</v>
      </c>
      <c r="AK28" s="316">
        <f t="shared" si="3"/>
        <v>6.996021775544389E-3</v>
      </c>
      <c r="AM28" s="310" t="s">
        <v>1024</v>
      </c>
      <c r="AN28" s="310">
        <v>25</v>
      </c>
      <c r="AO28" s="311">
        <v>0.33412999999999998</v>
      </c>
      <c r="AP28" s="319">
        <v>1194</v>
      </c>
      <c r="AQ28" s="332">
        <f t="shared" si="4"/>
        <v>2.7984087102177554E-4</v>
      </c>
      <c r="AR28" s="334">
        <f t="shared" si="5"/>
        <v>6.996021775544389E-3</v>
      </c>
      <c r="AS28" s="9" t="s">
        <v>1524</v>
      </c>
    </row>
    <row r="29" spans="6:45" x14ac:dyDescent="0.2">
      <c r="AJ29" s="310" t="s">
        <v>1026</v>
      </c>
      <c r="AK29" s="316">
        <f t="shared" si="3"/>
        <v>5.4852093802345058E-3</v>
      </c>
      <c r="AM29" s="310" t="s">
        <v>1026</v>
      </c>
      <c r="AN29" s="311">
        <v>98</v>
      </c>
      <c r="AO29" s="311">
        <v>6.6830000000000001E-2</v>
      </c>
      <c r="AP29" s="319">
        <v>1194</v>
      </c>
      <c r="AQ29" s="332">
        <f t="shared" si="4"/>
        <v>5.5971524288107202E-5</v>
      </c>
      <c r="AR29" s="334">
        <f t="shared" si="5"/>
        <v>5.4852093802345058E-3</v>
      </c>
      <c r="AS29" s="9" t="s">
        <v>1525</v>
      </c>
    </row>
    <row r="30" spans="6:45" x14ac:dyDescent="0.2">
      <c r="AJ30" s="310" t="s">
        <v>1023</v>
      </c>
      <c r="AK30" s="316">
        <f t="shared" si="3"/>
        <v>1.0073969849246231E-2</v>
      </c>
      <c r="AM30" s="310" t="s">
        <v>1023</v>
      </c>
      <c r="AN30" s="310">
        <v>72</v>
      </c>
      <c r="AO30" s="311">
        <v>0.16705999999999999</v>
      </c>
      <c r="AP30" s="319">
        <v>1194</v>
      </c>
      <c r="AQ30" s="332">
        <f t="shared" si="4"/>
        <v>1.3991624790619765E-4</v>
      </c>
      <c r="AR30" s="334">
        <f t="shared" si="5"/>
        <v>1.0073969849246231E-2</v>
      </c>
      <c r="AS30" s="9" t="s">
        <v>1526</v>
      </c>
    </row>
    <row r="31" spans="6:45" x14ac:dyDescent="0.2">
      <c r="AJ31" s="310" t="s">
        <v>559</v>
      </c>
      <c r="AK31" s="316">
        <f>AR31</f>
        <v>4.3880033500837516E-2</v>
      </c>
      <c r="AM31" s="310" t="s">
        <v>559</v>
      </c>
      <c r="AN31" s="311">
        <v>196</v>
      </c>
      <c r="AO31" s="311">
        <v>0.26730999999999999</v>
      </c>
      <c r="AP31" s="319">
        <v>1194</v>
      </c>
      <c r="AQ31" s="332">
        <f t="shared" si="4"/>
        <v>2.2387772194304857E-4</v>
      </c>
      <c r="AR31" s="334">
        <f t="shared" si="5"/>
        <v>4.3880033500837516E-2</v>
      </c>
      <c r="AS31" s="9" t="s">
        <v>1527</v>
      </c>
    </row>
    <row r="32" spans="6:45" x14ac:dyDescent="0.2">
      <c r="AJ32" s="15"/>
      <c r="AK32" s="335">
        <f>SUM(AK21:AK31)</f>
        <v>1.2811575963149078</v>
      </c>
    </row>
    <row r="34" spans="36:45" x14ac:dyDescent="0.2">
      <c r="AJ34" s="327" t="s">
        <v>1521</v>
      </c>
    </row>
    <row r="35" spans="36:45" x14ac:dyDescent="0.2">
      <c r="AJ35" s="315" t="s">
        <v>137</v>
      </c>
      <c r="AK35" s="315" t="s">
        <v>1512</v>
      </c>
      <c r="AM35" s="315" t="s">
        <v>1129</v>
      </c>
      <c r="AN35" s="330" t="s">
        <v>1518</v>
      </c>
      <c r="AO35" s="315" t="s">
        <v>1523</v>
      </c>
      <c r="AP35" s="315" t="s">
        <v>1517</v>
      </c>
      <c r="AQ35" s="315" t="s">
        <v>1513</v>
      </c>
      <c r="AR35" s="315" t="s">
        <v>1519</v>
      </c>
    </row>
    <row r="36" spans="36:45" x14ac:dyDescent="0.2">
      <c r="AJ36" s="310" t="s">
        <v>1355</v>
      </c>
      <c r="AK36" s="316">
        <v>0.125</v>
      </c>
      <c r="AM36" s="341"/>
      <c r="AN36" s="341"/>
      <c r="AO36" s="341"/>
      <c r="AP36" s="341"/>
      <c r="AQ36" s="341"/>
      <c r="AR36" s="341"/>
    </row>
    <row r="37" spans="36:45" x14ac:dyDescent="0.2">
      <c r="AJ37" s="310" t="s">
        <v>1356</v>
      </c>
      <c r="AK37" s="316">
        <v>0.38350000000000001</v>
      </c>
      <c r="AM37" s="320"/>
      <c r="AN37" s="339"/>
      <c r="AO37" s="320"/>
      <c r="AP37" s="20"/>
      <c r="AQ37" s="340"/>
      <c r="AR37" s="340"/>
    </row>
    <row r="38" spans="36:45" x14ac:dyDescent="0.2">
      <c r="AJ38" s="310" t="s">
        <v>129</v>
      </c>
      <c r="AK38" s="316">
        <v>0.25</v>
      </c>
      <c r="AM38" s="341"/>
      <c r="AN38" s="341"/>
      <c r="AO38" s="341"/>
      <c r="AP38" s="341"/>
      <c r="AQ38" s="341"/>
      <c r="AR38" s="341"/>
    </row>
    <row r="39" spans="36:45" x14ac:dyDescent="0.2">
      <c r="AJ39" s="310" t="s">
        <v>1353</v>
      </c>
      <c r="AK39" s="316">
        <f>AR39</f>
        <v>0.12697487437185928</v>
      </c>
      <c r="AM39" s="310" t="s">
        <v>1353</v>
      </c>
      <c r="AN39" s="179">
        <v>2.4</v>
      </c>
      <c r="AO39" s="310">
        <v>63.17</v>
      </c>
      <c r="AP39" s="319">
        <v>1194</v>
      </c>
      <c r="AQ39" s="164">
        <f>AO39/AP39</f>
        <v>5.2906197654941374E-2</v>
      </c>
      <c r="AR39" s="164">
        <f>AQ39*AN39</f>
        <v>0.12697487437185928</v>
      </c>
    </row>
    <row r="40" spans="36:45" x14ac:dyDescent="0.2">
      <c r="AJ40" s="310" t="s">
        <v>1528</v>
      </c>
      <c r="AK40" s="316">
        <f t="shared" ref="AK40:AK45" si="6">AR40</f>
        <v>0.14147403685092128</v>
      </c>
      <c r="AM40" s="312" t="s">
        <v>1528</v>
      </c>
      <c r="AN40" s="337">
        <v>1</v>
      </c>
      <c r="AO40" s="312">
        <v>168.92</v>
      </c>
      <c r="AP40" s="318">
        <v>1194</v>
      </c>
      <c r="AQ40" s="338">
        <f>AO40/AP40</f>
        <v>0.14147403685092128</v>
      </c>
      <c r="AR40" s="338">
        <f>AQ40*AN40</f>
        <v>0.14147403685092128</v>
      </c>
    </row>
    <row r="41" spans="36:45" x14ac:dyDescent="0.2">
      <c r="AJ41" s="310" t="s">
        <v>1022</v>
      </c>
      <c r="AK41" s="316">
        <f t="shared" si="6"/>
        <v>4.5816582914572863E-2</v>
      </c>
      <c r="AM41" s="310" t="s">
        <v>1022</v>
      </c>
      <c r="AN41" s="310">
        <v>3.5</v>
      </c>
      <c r="AO41" s="310">
        <v>15.63</v>
      </c>
      <c r="AP41" s="319">
        <v>1194</v>
      </c>
      <c r="AQ41" s="331">
        <f t="shared" ref="AQ41:AQ46" si="7">AO41/AP41</f>
        <v>1.3090452261306533E-2</v>
      </c>
      <c r="AR41" s="164">
        <f t="shared" ref="AR41:AR46" si="8">AQ41*AN41</f>
        <v>4.5816582914572863E-2</v>
      </c>
    </row>
    <row r="42" spans="36:45" x14ac:dyDescent="0.2">
      <c r="AJ42" s="310" t="s">
        <v>1354</v>
      </c>
      <c r="AK42" s="316">
        <f t="shared" si="6"/>
        <v>1.6361494974874373E-2</v>
      </c>
      <c r="AM42" s="310" t="s">
        <v>1354</v>
      </c>
      <c r="AN42" s="311">
        <v>187.5</v>
      </c>
      <c r="AO42" s="311">
        <v>0.10419</v>
      </c>
      <c r="AP42" s="319">
        <v>1194</v>
      </c>
      <c r="AQ42" s="332">
        <f t="shared" si="7"/>
        <v>8.7261306532663324E-5</v>
      </c>
      <c r="AR42" s="334">
        <f t="shared" si="8"/>
        <v>1.6361494974874373E-2</v>
      </c>
    </row>
    <row r="43" spans="36:45" x14ac:dyDescent="0.2">
      <c r="AJ43" s="310" t="s">
        <v>1024</v>
      </c>
      <c r="AK43" s="328">
        <f t="shared" si="6"/>
        <v>3.4681742043551093E-3</v>
      </c>
      <c r="AM43" s="310" t="s">
        <v>1024</v>
      </c>
      <c r="AN43" s="310">
        <v>25</v>
      </c>
      <c r="AO43" s="311">
        <v>0.16564000000000001</v>
      </c>
      <c r="AP43" s="319">
        <v>1194</v>
      </c>
      <c r="AQ43" s="332">
        <f t="shared" si="7"/>
        <v>1.3872696817420437E-4</v>
      </c>
      <c r="AR43" s="333">
        <f t="shared" si="8"/>
        <v>3.4681742043551093E-3</v>
      </c>
      <c r="AS43" s="9" t="s">
        <v>1524</v>
      </c>
    </row>
    <row r="44" spans="36:45" x14ac:dyDescent="0.2">
      <c r="AJ44" s="310" t="s">
        <v>1026</v>
      </c>
      <c r="AK44" s="316">
        <f t="shared" si="6"/>
        <v>5.412981574539363E-3</v>
      </c>
      <c r="AM44" s="310" t="s">
        <v>1026</v>
      </c>
      <c r="AN44" s="311">
        <v>98</v>
      </c>
      <c r="AO44" s="311">
        <v>6.5949999999999995E-2</v>
      </c>
      <c r="AP44" s="319">
        <v>1194</v>
      </c>
      <c r="AQ44" s="332">
        <f t="shared" si="7"/>
        <v>5.5234505862646565E-5</v>
      </c>
      <c r="AR44" s="334">
        <f t="shared" si="8"/>
        <v>5.412981574539363E-3</v>
      </c>
      <c r="AS44" s="9" t="s">
        <v>1525</v>
      </c>
    </row>
    <row r="45" spans="36:45" x14ac:dyDescent="0.2">
      <c r="AJ45" s="310" t="s">
        <v>1023</v>
      </c>
      <c r="AK45" s="316">
        <f t="shared" si="6"/>
        <v>9.9883417085427154E-3</v>
      </c>
      <c r="AM45" s="310" t="s">
        <v>1023</v>
      </c>
      <c r="AN45" s="310">
        <v>72</v>
      </c>
      <c r="AO45" s="311">
        <v>0.16564000000000001</v>
      </c>
      <c r="AP45" s="319">
        <v>1194</v>
      </c>
      <c r="AQ45" s="332">
        <f t="shared" si="7"/>
        <v>1.3872696817420437E-4</v>
      </c>
      <c r="AR45" s="334">
        <f t="shared" si="8"/>
        <v>9.9883417085427154E-3</v>
      </c>
      <c r="AS45" s="9" t="s">
        <v>1526</v>
      </c>
    </row>
    <row r="46" spans="36:45" x14ac:dyDescent="0.2">
      <c r="AJ46" s="310" t="s">
        <v>559</v>
      </c>
      <c r="AK46" s="316">
        <f>AR46</f>
        <v>4.3430251256281409E-2</v>
      </c>
      <c r="AM46" s="310" t="s">
        <v>559</v>
      </c>
      <c r="AN46" s="311">
        <v>196</v>
      </c>
      <c r="AO46" s="311">
        <v>0.26457000000000003</v>
      </c>
      <c r="AP46" s="319">
        <v>1194</v>
      </c>
      <c r="AQ46" s="332">
        <f t="shared" si="7"/>
        <v>2.2158291457286433E-4</v>
      </c>
      <c r="AR46" s="334">
        <f t="shared" si="8"/>
        <v>4.3430251256281409E-2</v>
      </c>
      <c r="AS46" s="9" t="s">
        <v>1527</v>
      </c>
    </row>
    <row r="47" spans="36:45" x14ac:dyDescent="0.2">
      <c r="AJ47" s="15"/>
      <c r="AK47" s="336">
        <f>SUM(AK36:AK46)</f>
        <v>1.1514267378559464</v>
      </c>
    </row>
    <row r="49" spans="36:45" x14ac:dyDescent="0.2">
      <c r="AJ49" s="327" t="s">
        <v>1522</v>
      </c>
    </row>
    <row r="50" spans="36:45" x14ac:dyDescent="0.2">
      <c r="AJ50" s="315" t="s">
        <v>137</v>
      </c>
      <c r="AK50" s="315" t="s">
        <v>1512</v>
      </c>
      <c r="AM50" s="315" t="s">
        <v>1129</v>
      </c>
      <c r="AN50" s="330" t="s">
        <v>1518</v>
      </c>
      <c r="AO50" s="315" t="s">
        <v>1523</v>
      </c>
      <c r="AP50" s="315" t="s">
        <v>1517</v>
      </c>
      <c r="AQ50" s="315" t="s">
        <v>1513</v>
      </c>
      <c r="AR50" s="315" t="s">
        <v>1519</v>
      </c>
    </row>
    <row r="51" spans="36:45" x14ac:dyDescent="0.2">
      <c r="AJ51" s="310" t="s">
        <v>1355</v>
      </c>
      <c r="AK51" s="316">
        <v>0.125</v>
      </c>
      <c r="AM51" s="341"/>
      <c r="AN51" s="341"/>
      <c r="AO51" s="341"/>
      <c r="AP51" s="341"/>
      <c r="AQ51" s="341"/>
      <c r="AR51" s="341"/>
    </row>
    <row r="52" spans="36:45" x14ac:dyDescent="0.2">
      <c r="AJ52" s="310" t="s">
        <v>1356</v>
      </c>
      <c r="AK52" s="316">
        <v>0.38350000000000001</v>
      </c>
      <c r="AM52" s="320"/>
      <c r="AN52" s="339"/>
      <c r="AO52" s="320"/>
      <c r="AP52" s="20"/>
      <c r="AQ52" s="340"/>
      <c r="AR52" s="340"/>
    </row>
    <row r="53" spans="36:45" x14ac:dyDescent="0.2">
      <c r="AJ53" s="310" t="s">
        <v>129</v>
      </c>
      <c r="AK53" s="316">
        <v>0.25</v>
      </c>
      <c r="AM53" s="320"/>
      <c r="AN53" s="339"/>
      <c r="AO53" s="320"/>
      <c r="AP53" s="20"/>
      <c r="AQ53" s="340"/>
      <c r="AR53" s="340"/>
    </row>
    <row r="54" spans="36:45" x14ac:dyDescent="0.2">
      <c r="AJ54" s="310" t="s">
        <v>1353</v>
      </c>
      <c r="AK54" s="316">
        <f>AR54</f>
        <v>0.13626130653266333</v>
      </c>
      <c r="AM54" s="310" t="s">
        <v>1353</v>
      </c>
      <c r="AN54" s="179">
        <v>2.4</v>
      </c>
      <c r="AO54" s="310">
        <v>67.790000000000006</v>
      </c>
      <c r="AP54" s="319">
        <v>1194</v>
      </c>
      <c r="AQ54" s="164">
        <f>AO54/AP54</f>
        <v>5.6775544388609718E-2</v>
      </c>
      <c r="AR54" s="164">
        <f>AQ54*AN54</f>
        <v>0.13626130653266333</v>
      </c>
    </row>
    <row r="55" spans="36:45" x14ac:dyDescent="0.2">
      <c r="AJ55" s="310" t="s">
        <v>1516</v>
      </c>
      <c r="AK55" s="316">
        <f t="shared" ref="AK55:AK60" si="9">AR55</f>
        <v>0.12863819095477388</v>
      </c>
      <c r="AM55" s="312" t="s">
        <v>1516</v>
      </c>
      <c r="AN55" s="337">
        <v>1.05</v>
      </c>
      <c r="AO55" s="312">
        <v>146.28</v>
      </c>
      <c r="AP55" s="319">
        <v>1194</v>
      </c>
      <c r="AQ55" s="338">
        <f t="shared" ref="AQ55:AQ61" si="10">AO55/AP55</f>
        <v>0.12251256281407036</v>
      </c>
      <c r="AR55" s="338">
        <f t="shared" ref="AR55:AR61" si="11">AQ55*AN55</f>
        <v>0.12863819095477388</v>
      </c>
    </row>
    <row r="56" spans="36:45" x14ac:dyDescent="0.2">
      <c r="AJ56" s="310" t="s">
        <v>1022</v>
      </c>
      <c r="AK56" s="316">
        <f t="shared" si="9"/>
        <v>4.0012562814070354E-2</v>
      </c>
      <c r="AM56" s="310" t="s">
        <v>1022</v>
      </c>
      <c r="AN56" s="310">
        <v>3.5</v>
      </c>
      <c r="AO56" s="310">
        <v>13.65</v>
      </c>
      <c r="AP56" s="319">
        <v>1194</v>
      </c>
      <c r="AQ56" s="331">
        <f t="shared" si="10"/>
        <v>1.1432160804020101E-2</v>
      </c>
      <c r="AR56" s="164">
        <f t="shared" si="11"/>
        <v>4.0012562814070354E-2</v>
      </c>
    </row>
    <row r="57" spans="36:45" x14ac:dyDescent="0.2">
      <c r="AJ57" s="310" t="s">
        <v>1354</v>
      </c>
      <c r="AK57" s="316">
        <f t="shared" si="9"/>
        <v>1.4285489949748742E-2</v>
      </c>
      <c r="AM57" s="310" t="s">
        <v>1354</v>
      </c>
      <c r="AN57" s="311">
        <v>187.5</v>
      </c>
      <c r="AO57" s="311">
        <v>9.0969999999999995E-2</v>
      </c>
      <c r="AP57" s="319">
        <v>1194</v>
      </c>
      <c r="AQ57" s="332">
        <f t="shared" si="10"/>
        <v>7.6189279731993291E-5</v>
      </c>
      <c r="AR57" s="334">
        <f t="shared" si="11"/>
        <v>1.4285489949748742E-2</v>
      </c>
    </row>
    <row r="58" spans="36:45" x14ac:dyDescent="0.2">
      <c r="AJ58" s="310" t="s">
        <v>1024</v>
      </c>
      <c r="AK58" s="328">
        <f t="shared" si="9"/>
        <v>3.4491206030150749E-3</v>
      </c>
      <c r="AM58" s="310" t="s">
        <v>1024</v>
      </c>
      <c r="AN58" s="310">
        <v>25</v>
      </c>
      <c r="AO58" s="311">
        <v>0.16472999999999999</v>
      </c>
      <c r="AP58" s="319">
        <v>1194</v>
      </c>
      <c r="AQ58" s="332">
        <f t="shared" si="10"/>
        <v>1.37964824120603E-4</v>
      </c>
      <c r="AR58" s="333">
        <f t="shared" si="11"/>
        <v>3.4491206030150749E-3</v>
      </c>
      <c r="AS58" s="9" t="s">
        <v>1524</v>
      </c>
    </row>
    <row r="59" spans="36:45" x14ac:dyDescent="0.2">
      <c r="AJ59" s="310" t="s">
        <v>1026</v>
      </c>
      <c r="AK59" s="316">
        <f t="shared" si="9"/>
        <v>5.3982077051926295E-3</v>
      </c>
      <c r="AM59" s="310" t="s">
        <v>1026</v>
      </c>
      <c r="AN59" s="311">
        <v>98</v>
      </c>
      <c r="AO59" s="311">
        <v>6.5769999999999995E-2</v>
      </c>
      <c r="AP59" s="319">
        <v>1194</v>
      </c>
      <c r="AQ59" s="332">
        <f t="shared" si="10"/>
        <v>5.5083752093802344E-5</v>
      </c>
      <c r="AR59" s="334">
        <f t="shared" si="11"/>
        <v>5.3982077051926295E-3</v>
      </c>
      <c r="AS59" s="9" t="s">
        <v>1525</v>
      </c>
    </row>
    <row r="60" spans="36:45" x14ac:dyDescent="0.2">
      <c r="AJ60" s="310" t="s">
        <v>1023</v>
      </c>
      <c r="AK60" s="316">
        <f t="shared" si="9"/>
        <v>9.9334673366834152E-3</v>
      </c>
      <c r="AM60" s="310" t="s">
        <v>1023</v>
      </c>
      <c r="AN60" s="310">
        <v>72</v>
      </c>
      <c r="AO60" s="311">
        <v>0.16472999999999999</v>
      </c>
      <c r="AP60" s="319">
        <v>1194</v>
      </c>
      <c r="AQ60" s="332">
        <f t="shared" si="10"/>
        <v>1.37964824120603E-4</v>
      </c>
      <c r="AR60" s="334">
        <f t="shared" si="11"/>
        <v>9.9334673366834152E-3</v>
      </c>
      <c r="AS60" s="9" t="s">
        <v>1526</v>
      </c>
    </row>
    <row r="61" spans="36:45" x14ac:dyDescent="0.2">
      <c r="AJ61" s="310" t="s">
        <v>559</v>
      </c>
      <c r="AK61" s="316">
        <f>AR61</f>
        <v>4.3185661641541036E-2</v>
      </c>
      <c r="AM61" s="310" t="s">
        <v>559</v>
      </c>
      <c r="AN61" s="311">
        <v>196</v>
      </c>
      <c r="AO61" s="311">
        <v>0.26307999999999998</v>
      </c>
      <c r="AP61" s="319">
        <v>1194</v>
      </c>
      <c r="AQ61" s="332">
        <f t="shared" si="10"/>
        <v>2.2033500837520938E-4</v>
      </c>
      <c r="AR61" s="334">
        <f t="shared" si="11"/>
        <v>4.3185661641541036E-2</v>
      </c>
      <c r="AS61" s="9" t="s">
        <v>1527</v>
      </c>
    </row>
    <row r="62" spans="36:45" x14ac:dyDescent="0.2">
      <c r="AJ62" s="15"/>
      <c r="AK62" s="336">
        <f>SUM(AK51:AK61)</f>
        <v>1.1396640075376885</v>
      </c>
    </row>
  </sheetData>
  <mergeCells count="17">
    <mergeCell ref="F2:G2"/>
    <mergeCell ref="H2:I9"/>
    <mergeCell ref="Y2:AA2"/>
    <mergeCell ref="F13:G13"/>
    <mergeCell ref="H13:I18"/>
    <mergeCell ref="P2:R2"/>
    <mergeCell ref="S2:U2"/>
    <mergeCell ref="V2:X2"/>
    <mergeCell ref="K7:K8"/>
    <mergeCell ref="K4:K6"/>
    <mergeCell ref="K10:K11"/>
    <mergeCell ref="AF5:AF13"/>
    <mergeCell ref="AF14:AF22"/>
    <mergeCell ref="AC5:AC13"/>
    <mergeCell ref="AC14:AC22"/>
    <mergeCell ref="B10:C11"/>
    <mergeCell ref="F20:G2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16"/>
  <sheetViews>
    <sheetView workbookViewId="0"/>
  </sheetViews>
  <sheetFormatPr baseColWidth="10" defaultColWidth="10.85546875" defaultRowHeight="15" x14ac:dyDescent="0.25"/>
  <cols>
    <col min="2" max="2" width="21.7109375" bestFit="1" customWidth="1"/>
  </cols>
  <sheetData>
    <row r="3" spans="2:7" x14ac:dyDescent="0.25">
      <c r="B3" s="48" t="s">
        <v>49</v>
      </c>
      <c r="C3" s="48">
        <v>2011</v>
      </c>
      <c r="D3" s="48">
        <v>2012</v>
      </c>
      <c r="E3" s="48">
        <v>2013</v>
      </c>
      <c r="F3" s="48">
        <v>2014</v>
      </c>
      <c r="G3" s="48">
        <v>2015</v>
      </c>
    </row>
    <row r="4" spans="2:7" x14ac:dyDescent="0.25">
      <c r="B4" s="48" t="s">
        <v>1868</v>
      </c>
      <c r="C4" s="402">
        <v>9.3000000000000007</v>
      </c>
      <c r="D4" s="48">
        <v>9.4499999999999993</v>
      </c>
      <c r="E4" s="402">
        <v>9.6</v>
      </c>
      <c r="F4" s="48">
        <v>9.75</v>
      </c>
      <c r="G4" s="402">
        <v>9.9</v>
      </c>
    </row>
    <row r="20" spans="3:7" x14ac:dyDescent="0.25">
      <c r="C20" s="399" t="s">
        <v>1869</v>
      </c>
      <c r="D20" s="399" t="s">
        <v>1870</v>
      </c>
    </row>
    <row r="21" spans="3:7" x14ac:dyDescent="0.25">
      <c r="C21" s="403">
        <v>0.91200000000000003</v>
      </c>
      <c r="D21" s="403">
        <v>8.7999999999999995E-2</v>
      </c>
    </row>
    <row r="24" spans="3:7" x14ac:dyDescent="0.25">
      <c r="C24" s="48" t="s">
        <v>832</v>
      </c>
      <c r="D24" s="48" t="s">
        <v>1871</v>
      </c>
      <c r="E24" s="48" t="s">
        <v>1872</v>
      </c>
      <c r="F24" s="48" t="s">
        <v>347</v>
      </c>
      <c r="G24" s="48" t="s">
        <v>149</v>
      </c>
    </row>
    <row r="25" spans="3:7" x14ac:dyDescent="0.25">
      <c r="C25" s="403">
        <v>4.7E-2</v>
      </c>
      <c r="D25" s="403">
        <v>0.36899999999999999</v>
      </c>
      <c r="E25" s="403">
        <v>0.36899999999999999</v>
      </c>
      <c r="F25" s="403">
        <v>0.17499999999999999</v>
      </c>
      <c r="G25" s="403">
        <v>0.04</v>
      </c>
    </row>
    <row r="29" spans="3:7" x14ac:dyDescent="0.25">
      <c r="E29" s="404"/>
    </row>
    <row r="35" spans="3:4" x14ac:dyDescent="0.25">
      <c r="C35" s="398" t="s">
        <v>150</v>
      </c>
      <c r="D35" s="398" t="s">
        <v>151</v>
      </c>
    </row>
    <row r="36" spans="3:4" x14ac:dyDescent="0.25">
      <c r="C36" s="397" t="s">
        <v>144</v>
      </c>
      <c r="D36" s="10">
        <v>0.23958333333333334</v>
      </c>
    </row>
    <row r="37" spans="3:4" x14ac:dyDescent="0.25">
      <c r="C37" s="397" t="s">
        <v>145</v>
      </c>
      <c r="D37" s="10">
        <v>0.18229166666666666</v>
      </c>
    </row>
    <row r="38" spans="3:4" x14ac:dyDescent="0.25">
      <c r="C38" s="397" t="s">
        <v>146</v>
      </c>
      <c r="D38" s="10">
        <v>3.6458333333333336E-2</v>
      </c>
    </row>
    <row r="39" spans="3:4" x14ac:dyDescent="0.25">
      <c r="C39" s="397" t="s">
        <v>147</v>
      </c>
      <c r="D39" s="10">
        <v>0.35416666666666669</v>
      </c>
    </row>
    <row r="40" spans="3:4" x14ac:dyDescent="0.25">
      <c r="C40" s="397" t="s">
        <v>148</v>
      </c>
      <c r="D40" s="10">
        <v>0.11458333333333333</v>
      </c>
    </row>
    <row r="41" spans="3:4" x14ac:dyDescent="0.25">
      <c r="C41" s="397" t="s">
        <v>149</v>
      </c>
      <c r="D41" s="10">
        <v>7.2916666666666671E-2</v>
      </c>
    </row>
    <row r="47" spans="3:4" x14ac:dyDescent="0.25">
      <c r="C47" s="398" t="s">
        <v>150</v>
      </c>
      <c r="D47" s="398" t="s">
        <v>151</v>
      </c>
    </row>
    <row r="48" spans="3:4" x14ac:dyDescent="0.25">
      <c r="C48" s="397" t="s">
        <v>144</v>
      </c>
      <c r="D48" s="10">
        <v>0.2153846153846154</v>
      </c>
    </row>
    <row r="49" spans="3:10" x14ac:dyDescent="0.25">
      <c r="C49" s="397" t="s">
        <v>145</v>
      </c>
      <c r="D49" s="10">
        <v>0.23589743589743589</v>
      </c>
    </row>
    <row r="50" spans="3:10" x14ac:dyDescent="0.25">
      <c r="C50" s="397" t="s">
        <v>146</v>
      </c>
      <c r="D50" s="10">
        <v>8.7179487179487175E-2</v>
      </c>
    </row>
    <row r="51" spans="3:10" x14ac:dyDescent="0.25">
      <c r="C51" s="397" t="s">
        <v>147</v>
      </c>
      <c r="D51" s="10">
        <v>0.29230769230769232</v>
      </c>
    </row>
    <row r="52" spans="3:10" x14ac:dyDescent="0.25">
      <c r="C52" s="397" t="s">
        <v>148</v>
      </c>
      <c r="D52" s="10">
        <v>0.12307692307692308</v>
      </c>
    </row>
    <row r="53" spans="3:10" x14ac:dyDescent="0.25">
      <c r="C53" s="397" t="s">
        <v>149</v>
      </c>
      <c r="D53" s="10">
        <v>4.6153846153846156E-2</v>
      </c>
    </row>
    <row r="61" spans="3:10" x14ac:dyDescent="0.25">
      <c r="E61" s="48" t="s">
        <v>152</v>
      </c>
      <c r="F61" s="48" t="s">
        <v>153</v>
      </c>
      <c r="G61" s="48" t="s">
        <v>154</v>
      </c>
      <c r="H61" s="48" t="s">
        <v>155</v>
      </c>
      <c r="I61" s="48" t="s">
        <v>342</v>
      </c>
      <c r="J61" s="48"/>
    </row>
    <row r="62" spans="3:10" x14ac:dyDescent="0.25">
      <c r="E62" s="405">
        <v>0.46</v>
      </c>
      <c r="F62" s="405">
        <v>0.44</v>
      </c>
      <c r="G62" s="405">
        <v>0.02</v>
      </c>
      <c r="H62" s="405">
        <v>0.06</v>
      </c>
      <c r="I62" s="405">
        <v>0.02</v>
      </c>
    </row>
    <row r="79" spans="5:8" x14ac:dyDescent="0.25">
      <c r="E79" s="48" t="s">
        <v>1873</v>
      </c>
      <c r="F79" s="48" t="s">
        <v>1874</v>
      </c>
      <c r="G79" s="48" t="s">
        <v>1875</v>
      </c>
      <c r="H79" s="48" t="s">
        <v>342</v>
      </c>
    </row>
    <row r="80" spans="5:8" x14ac:dyDescent="0.25">
      <c r="E80" s="403">
        <v>0.78400000000000003</v>
      </c>
      <c r="F80" s="403">
        <v>0.16500000000000001</v>
      </c>
      <c r="G80" s="403">
        <v>0.03</v>
      </c>
      <c r="H80" s="403">
        <v>2.1000000000000001E-2</v>
      </c>
    </row>
    <row r="98" spans="5:8" x14ac:dyDescent="0.25">
      <c r="E98" s="48" t="s">
        <v>1876</v>
      </c>
      <c r="F98" s="48" t="s">
        <v>1877</v>
      </c>
      <c r="G98" s="48" t="s">
        <v>1878</v>
      </c>
      <c r="H98" s="48" t="s">
        <v>342</v>
      </c>
    </row>
    <row r="99" spans="5:8" x14ac:dyDescent="0.25">
      <c r="E99" s="403">
        <v>0.59799999999999998</v>
      </c>
      <c r="F99" s="403">
        <v>0.309</v>
      </c>
      <c r="G99" s="403">
        <v>0.08</v>
      </c>
      <c r="H99" s="403">
        <v>1.2999999999999999E-2</v>
      </c>
    </row>
    <row r="115" spans="5:6" x14ac:dyDescent="0.25">
      <c r="E115" s="48" t="s">
        <v>1869</v>
      </c>
      <c r="F115" s="48" t="s">
        <v>1870</v>
      </c>
    </row>
    <row r="116" spans="5:6" x14ac:dyDescent="0.25">
      <c r="E116" s="403">
        <v>0.85799999999999998</v>
      </c>
      <c r="F116" s="403">
        <v>0.14199999999999999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118"/>
  <sheetViews>
    <sheetView topLeftCell="A95" zoomScale="85" zoomScaleNormal="85" zoomScalePageLayoutView="85" workbookViewId="0">
      <selection activeCell="C113" sqref="C113:D118"/>
    </sheetView>
  </sheetViews>
  <sheetFormatPr baseColWidth="10" defaultColWidth="11" defaultRowHeight="14.25" x14ac:dyDescent="0.2"/>
  <cols>
    <col min="1" max="1" width="4.85546875" style="4" customWidth="1"/>
    <col min="2" max="4" width="22.140625" style="4" customWidth="1"/>
    <col min="5" max="5" width="31" style="4" customWidth="1"/>
    <col min="6" max="6" width="33.5703125" style="4" customWidth="1"/>
    <col min="7" max="7" width="29.7109375" style="4" customWidth="1"/>
    <col min="8" max="11" width="20" style="4" customWidth="1"/>
    <col min="12" max="12" width="19.140625" style="4" customWidth="1"/>
    <col min="13" max="19" width="12.85546875" style="4" customWidth="1"/>
    <col min="20" max="24" width="19.42578125" style="4" customWidth="1"/>
    <col min="25" max="16384" width="11" style="4"/>
  </cols>
  <sheetData>
    <row r="3" spans="2:22" ht="18.75" customHeight="1" x14ac:dyDescent="0.2">
      <c r="E3" s="17" t="s">
        <v>40</v>
      </c>
      <c r="F3" s="517" t="s">
        <v>41</v>
      </c>
      <c r="G3" s="518"/>
      <c r="H3" s="518"/>
      <c r="I3" s="518"/>
      <c r="J3" s="518"/>
      <c r="K3" s="519"/>
    </row>
    <row r="4" spans="2:22" ht="18.75" customHeight="1" x14ac:dyDescent="0.2">
      <c r="B4" s="149" t="s">
        <v>78</v>
      </c>
      <c r="C4" s="149" t="s">
        <v>75</v>
      </c>
      <c r="E4" s="149" t="s">
        <v>22</v>
      </c>
      <c r="F4" s="52" t="s">
        <v>195</v>
      </c>
      <c r="G4" s="149" t="s">
        <v>33</v>
      </c>
      <c r="H4" s="149" t="s">
        <v>39</v>
      </c>
      <c r="I4" s="52" t="s">
        <v>44</v>
      </c>
      <c r="J4" s="52" t="s">
        <v>45</v>
      </c>
      <c r="K4" s="52" t="s">
        <v>10</v>
      </c>
    </row>
    <row r="5" spans="2:22" ht="15" customHeight="1" x14ac:dyDescent="0.2">
      <c r="B5" s="187">
        <v>8481415</v>
      </c>
      <c r="C5" s="187">
        <v>969170</v>
      </c>
      <c r="E5" s="44">
        <v>2012</v>
      </c>
      <c r="F5" s="11">
        <f>B5+C5</f>
        <v>9450585</v>
      </c>
      <c r="G5" s="11">
        <f>K21</f>
        <v>387797</v>
      </c>
      <c r="H5" s="11">
        <f>K13</f>
        <v>737177</v>
      </c>
      <c r="I5" s="11">
        <f>(N13+O13+P13)*G5</f>
        <v>326137.277</v>
      </c>
      <c r="J5" s="11">
        <f>(N21+O21+P21)*H5</f>
        <v>669356.71600000001</v>
      </c>
      <c r="K5" s="187">
        <f>I5+J5</f>
        <v>995493.99300000002</v>
      </c>
    </row>
    <row r="6" spans="2:22" ht="15" customHeight="1" x14ac:dyDescent="0.2">
      <c r="B6" s="187">
        <v>8617314</v>
      </c>
      <c r="C6" s="187">
        <v>982800</v>
      </c>
      <c r="E6" s="44">
        <v>2013</v>
      </c>
      <c r="F6" s="11">
        <f>B6+C6</f>
        <v>9600114</v>
      </c>
      <c r="G6" s="11">
        <f>K22</f>
        <v>389938</v>
      </c>
      <c r="H6" s="11">
        <f>K14</f>
        <v>746091</v>
      </c>
      <c r="I6" s="11">
        <f>(N14+O14+P14)*G6</f>
        <v>333396.99</v>
      </c>
      <c r="J6" s="11">
        <f>(N22+O22+P22)*H6</f>
        <v>690134.17499999993</v>
      </c>
      <c r="K6" s="187">
        <f>I6+J6</f>
        <v>1023531.1649999999</v>
      </c>
      <c r="M6" s="496" t="s">
        <v>163</v>
      </c>
      <c r="N6" s="502"/>
      <c r="O6" s="502"/>
      <c r="P6" s="502"/>
      <c r="Q6" s="502"/>
      <c r="R6" s="497"/>
    </row>
    <row r="7" spans="2:22" ht="15" customHeight="1" x14ac:dyDescent="0.2">
      <c r="B7" s="187">
        <v>8751741</v>
      </c>
      <c r="C7" s="187">
        <v>999976</v>
      </c>
      <c r="E7" s="44">
        <v>2014</v>
      </c>
      <c r="F7" s="11">
        <f>B7+C7</f>
        <v>9751717</v>
      </c>
      <c r="G7" s="11">
        <f>K23</f>
        <v>389027</v>
      </c>
      <c r="H7" s="11">
        <f>K15</f>
        <v>755040</v>
      </c>
      <c r="I7" s="11">
        <f>(N15+O15+P15)*G7</f>
        <v>357126.78599999996</v>
      </c>
      <c r="J7" s="11">
        <f>(N23+O23+P23)*H7</f>
        <v>715777.92</v>
      </c>
      <c r="K7" s="187">
        <f>I7+J7</f>
        <v>1072904.706</v>
      </c>
      <c r="M7" s="149" t="s">
        <v>22</v>
      </c>
      <c r="N7" s="44">
        <v>2012</v>
      </c>
      <c r="O7" s="44">
        <v>2013</v>
      </c>
      <c r="P7" s="44">
        <v>2014</v>
      </c>
      <c r="Q7" s="44">
        <v>2015</v>
      </c>
      <c r="R7" s="407">
        <v>2016</v>
      </c>
    </row>
    <row r="8" spans="2:22" ht="15" customHeight="1" x14ac:dyDescent="0.2">
      <c r="B8" s="187">
        <v>8890792</v>
      </c>
      <c r="C8" s="187">
        <v>1013935</v>
      </c>
      <c r="E8" s="44">
        <v>2015</v>
      </c>
      <c r="F8" s="11">
        <f>B8+C8</f>
        <v>9904727</v>
      </c>
      <c r="G8" s="11">
        <f>K24</f>
        <v>386143</v>
      </c>
      <c r="H8" s="11">
        <f>K16</f>
        <v>763954</v>
      </c>
      <c r="I8" s="11">
        <f>(N16+O16+P16)*G8</f>
        <v>352934.70199999999</v>
      </c>
      <c r="J8" s="11">
        <f>(N24+O24+P24)*H8</f>
        <v>708185.35800000001</v>
      </c>
      <c r="K8" s="187">
        <f>I8+J8</f>
        <v>1061120.06</v>
      </c>
      <c r="M8" s="149" t="s">
        <v>162</v>
      </c>
      <c r="N8" s="11">
        <v>9450585</v>
      </c>
      <c r="O8" s="11">
        <v>9600114</v>
      </c>
      <c r="P8" s="11">
        <v>9751717</v>
      </c>
      <c r="Q8" s="11">
        <v>9904727</v>
      </c>
      <c r="R8" s="319">
        <v>10135439</v>
      </c>
    </row>
    <row r="9" spans="2:22" ht="15" customHeight="1" x14ac:dyDescent="0.2">
      <c r="B9" s="187">
        <v>9111000</v>
      </c>
      <c r="C9" s="187">
        <v>1024439</v>
      </c>
      <c r="E9" s="407">
        <v>2016</v>
      </c>
      <c r="F9" s="319">
        <f>B9+C9</f>
        <v>10135439</v>
      </c>
      <c r="G9" s="319">
        <f>K25</f>
        <v>396400</v>
      </c>
      <c r="H9" s="319">
        <f>K17</f>
        <v>780300</v>
      </c>
      <c r="I9" s="319">
        <f>(N17+O17+P17)*G9</f>
        <v>372616</v>
      </c>
      <c r="J9" s="319">
        <f>(N25+O25+P25)*H9</f>
        <v>731921.4</v>
      </c>
      <c r="K9" s="187">
        <f>I9+J9</f>
        <v>1104537.3999999999</v>
      </c>
      <c r="M9" s="20"/>
      <c r="N9" s="20"/>
      <c r="O9" s="20"/>
      <c r="P9" s="20"/>
      <c r="Q9" s="20"/>
      <c r="R9" s="20"/>
    </row>
    <row r="11" spans="2:22" ht="18.75" customHeight="1" x14ac:dyDescent="0.2">
      <c r="E11" s="496" t="s">
        <v>193</v>
      </c>
      <c r="F11" s="502"/>
      <c r="G11" s="502"/>
      <c r="H11" s="502"/>
      <c r="I11" s="502"/>
      <c r="J11" s="502"/>
      <c r="K11" s="497"/>
      <c r="M11" s="496" t="s">
        <v>196</v>
      </c>
      <c r="N11" s="502"/>
      <c r="O11" s="502"/>
      <c r="P11" s="502"/>
      <c r="Q11" s="502"/>
      <c r="R11" s="502"/>
      <c r="S11" s="497"/>
      <c r="U11" s="149" t="s">
        <v>33</v>
      </c>
      <c r="V11" s="149" t="s">
        <v>39</v>
      </c>
    </row>
    <row r="12" spans="2:22" ht="18.75" customHeight="1" x14ac:dyDescent="0.2">
      <c r="E12" s="149" t="s">
        <v>22</v>
      </c>
      <c r="F12" s="149" t="s">
        <v>27</v>
      </c>
      <c r="G12" s="149" t="s">
        <v>28</v>
      </c>
      <c r="H12" s="149" t="s">
        <v>29</v>
      </c>
      <c r="I12" s="149" t="s">
        <v>30</v>
      </c>
      <c r="J12" s="149" t="s">
        <v>31</v>
      </c>
      <c r="K12" s="149" t="s">
        <v>10</v>
      </c>
      <c r="M12" s="149" t="s">
        <v>22</v>
      </c>
      <c r="N12" s="19" t="s">
        <v>34</v>
      </c>
      <c r="O12" s="19" t="s">
        <v>35</v>
      </c>
      <c r="P12" s="19" t="s">
        <v>36</v>
      </c>
      <c r="Q12" s="149" t="s">
        <v>37</v>
      </c>
      <c r="R12" s="149" t="s">
        <v>38</v>
      </c>
      <c r="S12" s="149" t="s">
        <v>10</v>
      </c>
      <c r="U12" s="44" t="s">
        <v>23</v>
      </c>
      <c r="V12" s="44" t="s">
        <v>27</v>
      </c>
    </row>
    <row r="13" spans="2:22" ht="15" customHeight="1" x14ac:dyDescent="0.2">
      <c r="E13" s="44">
        <v>2012</v>
      </c>
      <c r="F13" s="11">
        <v>84473</v>
      </c>
      <c r="G13" s="11">
        <v>56570</v>
      </c>
      <c r="H13" s="11">
        <v>111568</v>
      </c>
      <c r="I13" s="11">
        <v>326928</v>
      </c>
      <c r="J13" s="11">
        <v>157638</v>
      </c>
      <c r="K13" s="11">
        <f>SUM(F13:J13)</f>
        <v>737177</v>
      </c>
      <c r="M13" s="183">
        <v>2012</v>
      </c>
      <c r="N13" s="184">
        <v>0.13600000000000001</v>
      </c>
      <c r="O13" s="184">
        <v>0.36099999999999999</v>
      </c>
      <c r="P13" s="184">
        <v>0.34399999999999997</v>
      </c>
      <c r="Q13" s="184">
        <v>0.13300000000000001</v>
      </c>
      <c r="R13" s="184">
        <v>2.5999999999999999E-2</v>
      </c>
      <c r="S13" s="172">
        <f>SUM(N13:R13)</f>
        <v>1</v>
      </c>
      <c r="U13" s="44" t="s">
        <v>25</v>
      </c>
      <c r="V13" s="44" t="s">
        <v>29</v>
      </c>
    </row>
    <row r="14" spans="2:22" ht="15" customHeight="1" x14ac:dyDescent="0.2">
      <c r="E14" s="44">
        <v>2013</v>
      </c>
      <c r="F14" s="11">
        <v>83649</v>
      </c>
      <c r="G14" s="11">
        <v>55792</v>
      </c>
      <c r="H14" s="11">
        <v>111688</v>
      </c>
      <c r="I14" s="11">
        <v>332725</v>
      </c>
      <c r="J14" s="11">
        <v>162237</v>
      </c>
      <c r="K14" s="11">
        <f>SUM(F14:J14)</f>
        <v>746091</v>
      </c>
      <c r="M14" s="183">
        <v>2013</v>
      </c>
      <c r="N14" s="184">
        <v>0.14799999999999999</v>
      </c>
      <c r="O14" s="184">
        <v>0.438</v>
      </c>
      <c r="P14" s="184">
        <v>0.26900000000000002</v>
      </c>
      <c r="Q14" s="184">
        <v>0.125</v>
      </c>
      <c r="R14" s="184">
        <v>0.02</v>
      </c>
      <c r="S14" s="172">
        <f>SUM(N14:R14)</f>
        <v>1</v>
      </c>
      <c r="U14" s="44" t="s">
        <v>164</v>
      </c>
      <c r="V14" s="44" t="s">
        <v>30</v>
      </c>
    </row>
    <row r="15" spans="2:22" ht="15" customHeight="1" x14ac:dyDescent="0.2">
      <c r="E15" s="44">
        <v>2014</v>
      </c>
      <c r="F15" s="11">
        <v>82805</v>
      </c>
      <c r="G15" s="11">
        <v>55006</v>
      </c>
      <c r="H15" s="11">
        <v>111808</v>
      </c>
      <c r="I15" s="11">
        <v>338509</v>
      </c>
      <c r="J15" s="11">
        <v>166912</v>
      </c>
      <c r="K15" s="11">
        <f>SUM(F15:J15)</f>
        <v>755040</v>
      </c>
      <c r="M15" s="183">
        <v>2014</v>
      </c>
      <c r="N15" s="184">
        <v>0.157</v>
      </c>
      <c r="O15" s="184">
        <v>0.47099999999999997</v>
      </c>
      <c r="P15" s="184">
        <v>0.28999999999999998</v>
      </c>
      <c r="Q15" s="184">
        <v>7.4999999999999997E-2</v>
      </c>
      <c r="R15" s="184">
        <v>8.0000000000000002E-3</v>
      </c>
      <c r="S15" s="172">
        <f>SUM(N15:R15)</f>
        <v>1.0009999999999999</v>
      </c>
      <c r="U15" s="44" t="s">
        <v>26</v>
      </c>
      <c r="V15" s="44" t="s">
        <v>31</v>
      </c>
    </row>
    <row r="16" spans="2:22" ht="15" customHeight="1" x14ac:dyDescent="0.2">
      <c r="E16" s="44">
        <v>2015</v>
      </c>
      <c r="F16" s="11">
        <v>81932</v>
      </c>
      <c r="G16" s="11">
        <v>54206</v>
      </c>
      <c r="H16" s="11">
        <v>111928</v>
      </c>
      <c r="I16" s="11">
        <v>344242</v>
      </c>
      <c r="J16" s="11">
        <v>171646</v>
      </c>
      <c r="K16" s="11">
        <f>SUM(F16:J16)</f>
        <v>763954</v>
      </c>
      <c r="M16" s="183">
        <v>2015</v>
      </c>
      <c r="N16" s="184">
        <v>0.19900000000000001</v>
      </c>
      <c r="O16" s="184">
        <v>0.48799999999999999</v>
      </c>
      <c r="P16" s="184">
        <v>0.22700000000000001</v>
      </c>
      <c r="Q16" s="184">
        <v>6.5000000000000002E-2</v>
      </c>
      <c r="R16" s="184">
        <v>2.1000000000000001E-2</v>
      </c>
      <c r="S16" s="172">
        <f>SUM(N16:R16)</f>
        <v>1</v>
      </c>
    </row>
    <row r="17" spans="5:19" ht="15" customHeight="1" x14ac:dyDescent="0.2">
      <c r="E17" s="407">
        <v>2016</v>
      </c>
      <c r="F17" s="319">
        <v>84000</v>
      </c>
      <c r="G17" s="319">
        <v>55600</v>
      </c>
      <c r="H17" s="319">
        <v>114400</v>
      </c>
      <c r="I17" s="319">
        <v>351200</v>
      </c>
      <c r="J17" s="319">
        <v>175100</v>
      </c>
      <c r="K17" s="319">
        <f>SUM(F17:J17)</f>
        <v>780300</v>
      </c>
      <c r="M17" s="183">
        <v>2016</v>
      </c>
      <c r="N17" s="184">
        <v>0.13600000000000001</v>
      </c>
      <c r="O17" s="184">
        <v>0.57999999999999996</v>
      </c>
      <c r="P17" s="184">
        <v>0.224</v>
      </c>
      <c r="Q17" s="184">
        <v>5.1999999999999998E-2</v>
      </c>
      <c r="R17" s="184">
        <v>7.0000000000000001E-3</v>
      </c>
      <c r="S17" s="172">
        <f>SUM(N17:R17)</f>
        <v>0.999</v>
      </c>
    </row>
    <row r="19" spans="5:19" ht="18.75" customHeight="1" x14ac:dyDescent="0.2">
      <c r="E19" s="496" t="s">
        <v>194</v>
      </c>
      <c r="F19" s="502"/>
      <c r="G19" s="502"/>
      <c r="H19" s="502"/>
      <c r="I19" s="502"/>
      <c r="J19" s="502"/>
      <c r="K19" s="497"/>
      <c r="M19" s="496" t="s">
        <v>197</v>
      </c>
      <c r="N19" s="502"/>
      <c r="O19" s="502"/>
      <c r="P19" s="502"/>
      <c r="Q19" s="502"/>
      <c r="R19" s="502"/>
      <c r="S19" s="497"/>
    </row>
    <row r="20" spans="5:19" ht="18.75" customHeight="1" x14ac:dyDescent="0.2">
      <c r="E20" s="149" t="s">
        <v>22</v>
      </c>
      <c r="F20" s="149" t="s">
        <v>23</v>
      </c>
      <c r="G20" s="149" t="s">
        <v>24</v>
      </c>
      <c r="H20" s="149" t="s">
        <v>25</v>
      </c>
      <c r="I20" s="149" t="s">
        <v>164</v>
      </c>
      <c r="J20" s="149" t="s">
        <v>26</v>
      </c>
      <c r="K20" s="149" t="s">
        <v>10</v>
      </c>
      <c r="M20" s="149" t="s">
        <v>22</v>
      </c>
      <c r="N20" s="19" t="s">
        <v>34</v>
      </c>
      <c r="O20" s="19" t="s">
        <v>35</v>
      </c>
      <c r="P20" s="19" t="s">
        <v>36</v>
      </c>
      <c r="Q20" s="149" t="s">
        <v>37</v>
      </c>
      <c r="R20" s="149" t="s">
        <v>38</v>
      </c>
      <c r="S20" s="149" t="s">
        <v>10</v>
      </c>
    </row>
    <row r="21" spans="5:19" ht="15" customHeight="1" x14ac:dyDescent="0.2">
      <c r="E21" s="44">
        <v>2012</v>
      </c>
      <c r="F21" s="11">
        <v>71364</v>
      </c>
      <c r="G21" s="11">
        <v>52961</v>
      </c>
      <c r="H21" s="181">
        <v>74000</v>
      </c>
      <c r="I21" s="11">
        <v>54386</v>
      </c>
      <c r="J21" s="11">
        <v>135086</v>
      </c>
      <c r="K21" s="11">
        <f>SUM(F21:J21)</f>
        <v>387797</v>
      </c>
      <c r="M21" s="183">
        <v>2012</v>
      </c>
      <c r="N21" s="184">
        <v>0.32</v>
      </c>
      <c r="O21" s="184">
        <v>0.32300000000000001</v>
      </c>
      <c r="P21" s="184">
        <v>0.26500000000000001</v>
      </c>
      <c r="Q21" s="184">
        <v>8.4000000000000005E-2</v>
      </c>
      <c r="R21" s="184">
        <v>8.0000000000000002E-3</v>
      </c>
      <c r="S21" s="172">
        <f>SUM(N21:R21)</f>
        <v>1</v>
      </c>
    </row>
    <row r="22" spans="5:19" ht="15" customHeight="1" x14ac:dyDescent="0.2">
      <c r="E22" s="44">
        <v>2013</v>
      </c>
      <c r="F22" s="11">
        <v>71439</v>
      </c>
      <c r="G22" s="11">
        <v>52054</v>
      </c>
      <c r="H22" s="11">
        <v>76743</v>
      </c>
      <c r="I22" s="11">
        <v>54476</v>
      </c>
      <c r="J22" s="11">
        <v>135226</v>
      </c>
      <c r="K22" s="11">
        <f>SUM(F22:J22)</f>
        <v>389938</v>
      </c>
      <c r="M22" s="183">
        <v>2013</v>
      </c>
      <c r="N22" s="184">
        <v>0.35399999999999998</v>
      </c>
      <c r="O22" s="184">
        <v>0.35899999999999999</v>
      </c>
      <c r="P22" s="184">
        <v>0.21199999999999999</v>
      </c>
      <c r="Q22" s="184">
        <v>5.8999999999999997E-2</v>
      </c>
      <c r="R22" s="184">
        <v>1.6E-2</v>
      </c>
      <c r="S22" s="172">
        <f>SUM(N22:R22)</f>
        <v>1</v>
      </c>
    </row>
    <row r="23" spans="5:19" ht="15" customHeight="1" x14ac:dyDescent="0.2">
      <c r="E23" s="44">
        <v>2014</v>
      </c>
      <c r="F23" s="11">
        <v>71514</v>
      </c>
      <c r="G23" s="11">
        <v>51144</v>
      </c>
      <c r="H23" s="11">
        <v>76437</v>
      </c>
      <c r="I23" s="11">
        <v>54566</v>
      </c>
      <c r="J23" s="11">
        <v>135366</v>
      </c>
      <c r="K23" s="11">
        <f>SUM(F23:J23)</f>
        <v>389027</v>
      </c>
      <c r="M23" s="183">
        <v>2014</v>
      </c>
      <c r="N23" s="184">
        <v>0.30399999999999999</v>
      </c>
      <c r="O23" s="184">
        <v>0.48399999999999999</v>
      </c>
      <c r="P23" s="184">
        <v>0.16</v>
      </c>
      <c r="Q23" s="184">
        <v>3.9E-2</v>
      </c>
      <c r="R23" s="184">
        <v>1.2999999999999999E-2</v>
      </c>
      <c r="S23" s="172">
        <f>SUM(N23:R23)</f>
        <v>1</v>
      </c>
    </row>
    <row r="24" spans="5:19" ht="15" customHeight="1" x14ac:dyDescent="0.2">
      <c r="E24" s="44">
        <v>2015</v>
      </c>
      <c r="F24" s="11">
        <v>71589</v>
      </c>
      <c r="G24" s="11">
        <v>50228</v>
      </c>
      <c r="H24" s="11">
        <v>74164</v>
      </c>
      <c r="I24" s="11">
        <v>54656</v>
      </c>
      <c r="J24" s="11">
        <v>135506</v>
      </c>
      <c r="K24" s="11">
        <f>SUM(F24:J24)</f>
        <v>386143</v>
      </c>
      <c r="M24" s="183">
        <v>2015</v>
      </c>
      <c r="N24" s="184">
        <v>0.28999999999999998</v>
      </c>
      <c r="O24" s="184">
        <v>0.44900000000000001</v>
      </c>
      <c r="P24" s="184">
        <v>0.188</v>
      </c>
      <c r="Q24" s="184">
        <v>0.05</v>
      </c>
      <c r="R24" s="184">
        <v>2.3E-2</v>
      </c>
      <c r="S24" s="172">
        <f>SUM(N24:R24)</f>
        <v>1</v>
      </c>
    </row>
    <row r="25" spans="5:19" ht="15" customHeight="1" x14ac:dyDescent="0.2">
      <c r="E25" s="407">
        <v>2016</v>
      </c>
      <c r="F25" s="319">
        <v>73200</v>
      </c>
      <c r="G25" s="319">
        <v>51300</v>
      </c>
      <c r="H25" s="319">
        <v>77800</v>
      </c>
      <c r="I25" s="319">
        <v>55800</v>
      </c>
      <c r="J25" s="319">
        <v>138300</v>
      </c>
      <c r="K25" s="319">
        <f>SUM(F25:J25)</f>
        <v>396400</v>
      </c>
      <c r="M25" s="183">
        <v>2016</v>
      </c>
      <c r="N25" s="184">
        <v>0.34599999999999997</v>
      </c>
      <c r="O25" s="184">
        <v>0.45200000000000001</v>
      </c>
      <c r="P25" s="184">
        <v>0.14000000000000001</v>
      </c>
      <c r="Q25" s="184">
        <v>0.05</v>
      </c>
      <c r="R25" s="184">
        <v>1.2E-2</v>
      </c>
      <c r="S25" s="172">
        <f>SUM(N25:R25)</f>
        <v>1</v>
      </c>
    </row>
    <row r="26" spans="5:19" x14ac:dyDescent="0.2">
      <c r="E26" s="23"/>
      <c r="F26" s="24"/>
      <c r="G26" s="24"/>
      <c r="H26" s="24"/>
      <c r="I26" s="24"/>
      <c r="J26" s="24"/>
      <c r="K26" s="24"/>
      <c r="M26" s="25"/>
      <c r="N26" s="26"/>
      <c r="O26" s="26"/>
      <c r="P26" s="26"/>
      <c r="Q26" s="26"/>
      <c r="R26" s="26"/>
      <c r="S26" s="27"/>
    </row>
    <row r="27" spans="5:19" ht="18.75" customHeight="1" x14ac:dyDescent="0.2">
      <c r="E27" s="523"/>
      <c r="F27" s="501" t="s">
        <v>202</v>
      </c>
      <c r="G27" s="510" t="s">
        <v>198</v>
      </c>
      <c r="H27" s="510" t="s">
        <v>203</v>
      </c>
      <c r="I27" s="24"/>
      <c r="J27" s="24"/>
      <c r="K27" s="24"/>
      <c r="M27" s="25"/>
      <c r="N27" s="26"/>
      <c r="O27" s="26"/>
      <c r="P27" s="26"/>
      <c r="Q27" s="26"/>
      <c r="R27" s="26"/>
      <c r="S27" s="27"/>
    </row>
    <row r="28" spans="5:19" ht="19.5" customHeight="1" x14ac:dyDescent="0.2">
      <c r="E28" s="524"/>
      <c r="F28" s="501"/>
      <c r="G28" s="510"/>
      <c r="H28" s="510"/>
      <c r="I28" s="24"/>
      <c r="J28" s="24"/>
      <c r="K28" s="24"/>
      <c r="M28" s="25"/>
      <c r="N28" s="26"/>
      <c r="O28" s="26"/>
      <c r="P28" s="26"/>
      <c r="Q28" s="26"/>
      <c r="R28" s="26"/>
      <c r="S28" s="27"/>
    </row>
    <row r="29" spans="5:19" ht="15" customHeight="1" x14ac:dyDescent="0.2">
      <c r="E29" s="185">
        <v>2012</v>
      </c>
      <c r="F29" s="184">
        <f>SUM(N13:P13)</f>
        <v>0.84099999999999997</v>
      </c>
      <c r="G29" s="11">
        <f>K21</f>
        <v>387797</v>
      </c>
      <c r="H29" s="11">
        <f>F29*G29</f>
        <v>326137.277</v>
      </c>
      <c r="I29" s="24"/>
      <c r="J29" s="24"/>
      <c r="K29" s="24"/>
      <c r="M29" s="25"/>
      <c r="N29" s="26"/>
      <c r="O29" s="26"/>
      <c r="P29" s="26"/>
      <c r="Q29" s="26"/>
      <c r="R29" s="26"/>
      <c r="S29" s="27"/>
    </row>
    <row r="30" spans="5:19" ht="15" customHeight="1" x14ac:dyDescent="0.2">
      <c r="E30" s="185">
        <v>2013</v>
      </c>
      <c r="F30" s="184">
        <f>SUM(N14:P14)</f>
        <v>0.85499999999999998</v>
      </c>
      <c r="G30" s="11">
        <f>K22</f>
        <v>389938</v>
      </c>
      <c r="H30" s="11">
        <f>F30*G30</f>
        <v>333396.99</v>
      </c>
      <c r="I30" s="24"/>
      <c r="J30" s="24"/>
      <c r="K30" s="24"/>
      <c r="M30" s="25"/>
      <c r="N30" s="26"/>
      <c r="O30" s="26"/>
      <c r="P30" s="26"/>
      <c r="Q30" s="26"/>
      <c r="R30" s="26"/>
      <c r="S30" s="27"/>
    </row>
    <row r="31" spans="5:19" ht="15" customHeight="1" x14ac:dyDescent="0.2">
      <c r="E31" s="185">
        <v>2014</v>
      </c>
      <c r="F31" s="184">
        <f>SUM(N15:P15)</f>
        <v>0.91799999999999993</v>
      </c>
      <c r="G31" s="11">
        <f>K23</f>
        <v>389027</v>
      </c>
      <c r="H31" s="11">
        <f>F31*G31</f>
        <v>357126.78599999996</v>
      </c>
      <c r="I31" s="24"/>
      <c r="J31" s="24"/>
      <c r="K31" s="24"/>
      <c r="M31" s="25"/>
      <c r="N31" s="26"/>
      <c r="O31" s="26"/>
      <c r="P31" s="26"/>
      <c r="Q31" s="26"/>
      <c r="R31" s="26"/>
      <c r="S31" s="27"/>
    </row>
    <row r="32" spans="5:19" ht="15" customHeight="1" x14ac:dyDescent="0.2">
      <c r="E32" s="185">
        <v>2015</v>
      </c>
      <c r="F32" s="184">
        <f>SUM(N16:P16)</f>
        <v>0.91400000000000003</v>
      </c>
      <c r="G32" s="11">
        <f>K24</f>
        <v>386143</v>
      </c>
      <c r="H32" s="11">
        <f>F32*G32</f>
        <v>352934.70199999999</v>
      </c>
      <c r="I32" s="24"/>
      <c r="J32" s="24"/>
      <c r="K32" s="24"/>
      <c r="M32" s="25"/>
      <c r="N32" s="26"/>
      <c r="O32" s="26"/>
      <c r="P32" s="26"/>
      <c r="Q32" s="26"/>
      <c r="R32" s="26"/>
      <c r="S32" s="27"/>
    </row>
    <row r="33" spans="5:19" ht="15" customHeight="1" x14ac:dyDescent="0.2">
      <c r="E33" s="407">
        <v>2016</v>
      </c>
      <c r="F33" s="184">
        <f>SUM(N17:P17)</f>
        <v>0.94</v>
      </c>
      <c r="G33" s="319">
        <f>K25</f>
        <v>396400</v>
      </c>
      <c r="H33" s="319">
        <f>F33*G33</f>
        <v>372616</v>
      </c>
      <c r="I33" s="24"/>
      <c r="J33" s="24"/>
      <c r="K33" s="24"/>
      <c r="M33" s="25"/>
      <c r="N33" s="26"/>
      <c r="O33" s="26"/>
      <c r="P33" s="26"/>
      <c r="Q33" s="26"/>
      <c r="R33" s="26"/>
      <c r="S33" s="27"/>
    </row>
    <row r="34" spans="5:19" x14ac:dyDescent="0.2">
      <c r="E34" s="23"/>
      <c r="F34" s="24"/>
      <c r="G34" s="24"/>
      <c r="H34" s="24"/>
      <c r="I34" s="24"/>
      <c r="J34" s="24"/>
      <c r="K34" s="24"/>
      <c r="M34" s="25"/>
      <c r="N34" s="26"/>
      <c r="O34" s="26"/>
      <c r="P34" s="26"/>
      <c r="Q34" s="26"/>
      <c r="R34" s="26"/>
      <c r="S34" s="27"/>
    </row>
    <row r="35" spans="5:19" ht="19.5" customHeight="1" x14ac:dyDescent="0.2">
      <c r="E35" s="523"/>
      <c r="F35" s="501" t="s">
        <v>205</v>
      </c>
      <c r="G35" s="510" t="s">
        <v>199</v>
      </c>
      <c r="H35" s="510" t="s">
        <v>204</v>
      </c>
      <c r="I35" s="24"/>
      <c r="J35" s="24"/>
      <c r="K35" s="24"/>
      <c r="M35" s="25"/>
      <c r="N35" s="26"/>
      <c r="O35" s="26"/>
      <c r="P35" s="26"/>
      <c r="Q35" s="26"/>
      <c r="R35" s="26"/>
      <c r="S35" s="27"/>
    </row>
    <row r="36" spans="5:19" ht="19.5" customHeight="1" x14ac:dyDescent="0.2">
      <c r="E36" s="524"/>
      <c r="F36" s="501"/>
      <c r="G36" s="510"/>
      <c r="H36" s="510"/>
      <c r="I36" s="24"/>
      <c r="J36" s="24"/>
      <c r="K36" s="24"/>
      <c r="M36" s="25"/>
      <c r="N36" s="26"/>
      <c r="O36" s="26"/>
      <c r="P36" s="26"/>
      <c r="Q36" s="26"/>
      <c r="R36" s="26"/>
      <c r="S36" s="27"/>
    </row>
    <row r="37" spans="5:19" ht="15" customHeight="1" x14ac:dyDescent="0.2">
      <c r="E37" s="185">
        <v>2012</v>
      </c>
      <c r="F37" s="184">
        <f>SUM(N21:P21)</f>
        <v>0.90800000000000003</v>
      </c>
      <c r="G37" s="11">
        <f>K13</f>
        <v>737177</v>
      </c>
      <c r="H37" s="11">
        <f>F37*G37</f>
        <v>669356.71600000001</v>
      </c>
      <c r="I37" s="24"/>
      <c r="J37" s="24"/>
      <c r="K37" s="24"/>
      <c r="M37" s="25"/>
      <c r="N37" s="26"/>
      <c r="O37" s="26"/>
      <c r="P37" s="26"/>
      <c r="Q37" s="26"/>
      <c r="R37" s="26"/>
      <c r="S37" s="27"/>
    </row>
    <row r="38" spans="5:19" ht="15" customHeight="1" x14ac:dyDescent="0.2">
      <c r="E38" s="185">
        <v>2013</v>
      </c>
      <c r="F38" s="184">
        <f>SUM(N22:P22)</f>
        <v>0.92499999999999993</v>
      </c>
      <c r="G38" s="11">
        <f>K14</f>
        <v>746091</v>
      </c>
      <c r="H38" s="11">
        <f>F38*G38</f>
        <v>690134.17499999993</v>
      </c>
      <c r="I38" s="24"/>
      <c r="J38" s="24"/>
      <c r="K38" s="24"/>
      <c r="M38" s="25"/>
      <c r="N38" s="26"/>
      <c r="O38" s="26"/>
      <c r="P38" s="26"/>
      <c r="Q38" s="26"/>
      <c r="R38" s="26"/>
      <c r="S38" s="27"/>
    </row>
    <row r="39" spans="5:19" ht="15" customHeight="1" x14ac:dyDescent="0.2">
      <c r="E39" s="185">
        <v>2014</v>
      </c>
      <c r="F39" s="184">
        <f>SUM(N23:P23)</f>
        <v>0.94800000000000006</v>
      </c>
      <c r="G39" s="11">
        <f>K15</f>
        <v>755040</v>
      </c>
      <c r="H39" s="11">
        <f>F39*G39</f>
        <v>715777.92</v>
      </c>
      <c r="I39" s="24"/>
      <c r="J39" s="24"/>
      <c r="K39" s="24"/>
      <c r="M39" s="25"/>
      <c r="N39" s="26"/>
      <c r="O39" s="26"/>
      <c r="P39" s="26"/>
      <c r="Q39" s="26"/>
      <c r="R39" s="26"/>
      <c r="S39" s="27"/>
    </row>
    <row r="40" spans="5:19" ht="15" customHeight="1" x14ac:dyDescent="0.2">
      <c r="E40" s="185">
        <v>2015</v>
      </c>
      <c r="F40" s="184">
        <f>SUM(N24:P24)</f>
        <v>0.92700000000000005</v>
      </c>
      <c r="G40" s="11">
        <f>K16</f>
        <v>763954</v>
      </c>
      <c r="H40" s="11">
        <f>F40*G40</f>
        <v>708185.35800000001</v>
      </c>
      <c r="I40" s="24"/>
      <c r="J40" s="24"/>
      <c r="K40" s="24"/>
      <c r="M40" s="25"/>
      <c r="N40" s="26"/>
      <c r="O40" s="26"/>
      <c r="P40" s="26"/>
      <c r="Q40" s="26"/>
      <c r="R40" s="26"/>
      <c r="S40" s="27"/>
    </row>
    <row r="41" spans="5:19" ht="15" customHeight="1" x14ac:dyDescent="0.2">
      <c r="E41" s="407">
        <v>2016</v>
      </c>
      <c r="F41" s="184">
        <f>SUM(N25:P25)</f>
        <v>0.93800000000000006</v>
      </c>
      <c r="G41" s="319">
        <f>K17</f>
        <v>780300</v>
      </c>
      <c r="H41" s="319">
        <f>F41*G41</f>
        <v>731921.4</v>
      </c>
      <c r="I41" s="24"/>
      <c r="J41" s="24"/>
      <c r="K41" s="24"/>
      <c r="M41" s="25"/>
      <c r="N41" s="26"/>
      <c r="O41" s="26"/>
      <c r="P41" s="26"/>
      <c r="Q41" s="26"/>
      <c r="R41" s="26"/>
      <c r="S41" s="27"/>
    </row>
    <row r="42" spans="5:19" x14ac:dyDescent="0.2">
      <c r="E42" s="25"/>
      <c r="F42" s="28"/>
      <c r="G42" s="20"/>
      <c r="H42" s="20"/>
      <c r="I42" s="24"/>
      <c r="J42" s="24"/>
      <c r="K42" s="24"/>
      <c r="M42" s="25"/>
      <c r="N42" s="26"/>
      <c r="O42" s="26"/>
      <c r="P42" s="26"/>
      <c r="Q42" s="26"/>
      <c r="R42" s="26"/>
      <c r="S42" s="27"/>
    </row>
    <row r="43" spans="5:19" ht="18.75" customHeight="1" x14ac:dyDescent="0.2">
      <c r="E43" s="523"/>
      <c r="F43" s="510" t="s">
        <v>203</v>
      </c>
      <c r="G43" s="510" t="s">
        <v>206</v>
      </c>
      <c r="H43" s="510" t="s">
        <v>207</v>
      </c>
      <c r="I43" s="24"/>
      <c r="J43" s="24"/>
      <c r="K43" s="24"/>
      <c r="M43" s="25"/>
      <c r="N43" s="26"/>
      <c r="O43" s="26"/>
      <c r="P43" s="26"/>
      <c r="Q43" s="26"/>
      <c r="R43" s="26"/>
      <c r="S43" s="27"/>
    </row>
    <row r="44" spans="5:19" ht="18.75" customHeight="1" x14ac:dyDescent="0.2">
      <c r="E44" s="524"/>
      <c r="F44" s="510"/>
      <c r="G44" s="510"/>
      <c r="H44" s="510"/>
      <c r="I44" s="24"/>
      <c r="J44" s="24"/>
      <c r="K44" s="24"/>
      <c r="M44" s="25"/>
      <c r="N44" s="26"/>
      <c r="O44" s="26"/>
      <c r="P44" s="26"/>
      <c r="Q44" s="26"/>
      <c r="R44" s="26"/>
      <c r="S44" s="27"/>
    </row>
    <row r="45" spans="5:19" ht="15" customHeight="1" x14ac:dyDescent="0.2">
      <c r="E45" s="185">
        <v>2012</v>
      </c>
      <c r="F45" s="11">
        <f>H29</f>
        <v>326137.277</v>
      </c>
      <c r="G45" s="11">
        <f>H37</f>
        <v>669356.71600000001</v>
      </c>
      <c r="H45" s="11">
        <f>F45+G45</f>
        <v>995493.99300000002</v>
      </c>
      <c r="I45" s="24"/>
      <c r="J45" s="24"/>
      <c r="K45" s="24"/>
      <c r="M45" s="25"/>
      <c r="N45" s="26"/>
      <c r="O45" s="26"/>
      <c r="P45" s="26"/>
      <c r="Q45" s="26"/>
      <c r="R45" s="26"/>
      <c r="S45" s="27"/>
    </row>
    <row r="46" spans="5:19" ht="15" customHeight="1" x14ac:dyDescent="0.2">
      <c r="E46" s="185">
        <v>2013</v>
      </c>
      <c r="F46" s="11">
        <f>H30</f>
        <v>333396.99</v>
      </c>
      <c r="G46" s="11">
        <f>H38</f>
        <v>690134.17499999993</v>
      </c>
      <c r="H46" s="11">
        <f>F46+G46</f>
        <v>1023531.1649999999</v>
      </c>
      <c r="I46" s="24"/>
      <c r="J46" s="24"/>
      <c r="K46" s="24"/>
      <c r="M46" s="25"/>
      <c r="N46" s="26"/>
      <c r="O46" s="26"/>
      <c r="P46" s="26"/>
      <c r="Q46" s="26"/>
      <c r="R46" s="26"/>
      <c r="S46" s="27"/>
    </row>
    <row r="47" spans="5:19" ht="15" customHeight="1" x14ac:dyDescent="0.2">
      <c r="E47" s="185">
        <v>2014</v>
      </c>
      <c r="F47" s="11">
        <f>H31</f>
        <v>357126.78599999996</v>
      </c>
      <c r="G47" s="11">
        <f>H39</f>
        <v>715777.92</v>
      </c>
      <c r="H47" s="11">
        <f>F47+G47</f>
        <v>1072904.706</v>
      </c>
      <c r="I47" s="24"/>
      <c r="J47" s="24"/>
      <c r="K47" s="24"/>
      <c r="M47" s="25"/>
      <c r="N47" s="26"/>
      <c r="O47" s="26"/>
      <c r="P47" s="26"/>
      <c r="Q47" s="26"/>
      <c r="R47" s="26"/>
      <c r="S47" s="27"/>
    </row>
    <row r="48" spans="5:19" ht="15" customHeight="1" x14ac:dyDescent="0.2">
      <c r="E48" s="185">
        <v>2015</v>
      </c>
      <c r="F48" s="11">
        <f>H32</f>
        <v>352934.70199999999</v>
      </c>
      <c r="G48" s="11">
        <f>H40</f>
        <v>708185.35800000001</v>
      </c>
      <c r="H48" s="11">
        <f>F48+G48</f>
        <v>1061120.06</v>
      </c>
      <c r="I48" s="24"/>
      <c r="J48" s="24"/>
      <c r="K48" s="24"/>
      <c r="M48" s="25"/>
      <c r="N48" s="26"/>
      <c r="O48" s="26"/>
      <c r="P48" s="26"/>
      <c r="Q48" s="26"/>
      <c r="R48" s="26"/>
      <c r="S48" s="27"/>
    </row>
    <row r="49" spans="5:19" ht="15" customHeight="1" x14ac:dyDescent="0.2">
      <c r="E49" s="407">
        <v>2016</v>
      </c>
      <c r="F49" s="319">
        <f>H33</f>
        <v>372616</v>
      </c>
      <c r="G49" s="319">
        <f>H41</f>
        <v>731921.4</v>
      </c>
      <c r="H49" s="319">
        <f>F49+G49</f>
        <v>1104537.3999999999</v>
      </c>
      <c r="I49" s="24"/>
      <c r="J49" s="24"/>
      <c r="K49" s="24"/>
      <c r="M49" s="25"/>
      <c r="N49" s="26"/>
      <c r="O49" s="26"/>
      <c r="P49" s="26"/>
      <c r="Q49" s="26"/>
      <c r="R49" s="26"/>
      <c r="S49" s="27"/>
    </row>
    <row r="50" spans="5:19" ht="15" customHeight="1" x14ac:dyDescent="0.2">
      <c r="E50" s="25"/>
      <c r="F50" s="28"/>
      <c r="G50" s="20"/>
      <c r="H50" s="20"/>
      <c r="I50" s="24"/>
      <c r="J50" s="24"/>
      <c r="K50" s="24"/>
      <c r="M50" s="25"/>
      <c r="N50" s="26"/>
      <c r="O50" s="26"/>
      <c r="P50" s="26"/>
      <c r="Q50" s="26"/>
      <c r="R50" s="26"/>
      <c r="S50" s="27"/>
    </row>
    <row r="51" spans="5:19" x14ac:dyDescent="0.2">
      <c r="E51" s="44" t="s">
        <v>46</v>
      </c>
      <c r="F51" s="520" t="s">
        <v>47</v>
      </c>
      <c r="G51" s="521"/>
      <c r="H51" s="521"/>
      <c r="I51" s="522"/>
      <c r="J51" s="24"/>
      <c r="K51" s="24"/>
      <c r="M51" s="25"/>
      <c r="N51" s="26"/>
      <c r="O51" s="26"/>
      <c r="P51" s="26"/>
      <c r="Q51" s="26"/>
      <c r="R51" s="26"/>
      <c r="S51" s="27"/>
    </row>
    <row r="52" spans="5:19" ht="19.5" customHeight="1" x14ac:dyDescent="0.2">
      <c r="E52" s="499" t="s">
        <v>743</v>
      </c>
      <c r="F52" s="500"/>
      <c r="G52" s="500"/>
      <c r="H52" s="500"/>
      <c r="I52" s="501"/>
      <c r="J52" s="24"/>
      <c r="K52" s="24"/>
      <c r="M52" s="25"/>
      <c r="N52" s="26"/>
      <c r="O52" s="26"/>
      <c r="P52" s="26"/>
      <c r="Q52" s="26"/>
      <c r="R52" s="26"/>
      <c r="S52" s="27"/>
    </row>
    <row r="53" spans="5:19" ht="19.5" customHeight="1" x14ac:dyDescent="0.2">
      <c r="E53" s="149" t="s">
        <v>22</v>
      </c>
      <c r="F53" s="149" t="s">
        <v>42</v>
      </c>
      <c r="G53" s="149" t="s">
        <v>35</v>
      </c>
      <c r="H53" s="149" t="s">
        <v>36</v>
      </c>
      <c r="I53" s="149" t="s">
        <v>48</v>
      </c>
      <c r="J53" s="24"/>
      <c r="K53" s="24"/>
      <c r="M53" s="25"/>
      <c r="N53" s="26"/>
      <c r="O53" s="26"/>
      <c r="P53" s="26"/>
      <c r="Q53" s="26"/>
      <c r="R53" s="26"/>
      <c r="S53" s="27"/>
    </row>
    <row r="54" spans="5:19" ht="15" customHeight="1" x14ac:dyDescent="0.2">
      <c r="E54" s="44">
        <v>2012</v>
      </c>
      <c r="F54" s="10">
        <v>0.1704</v>
      </c>
      <c r="G54" s="10">
        <v>0.22509999999999999</v>
      </c>
      <c r="H54" s="186">
        <v>0.22509999999999999</v>
      </c>
      <c r="I54" s="10">
        <f>SUM(F54:H54)</f>
        <v>0.62059999999999993</v>
      </c>
      <c r="J54" s="24"/>
      <c r="K54" s="24"/>
      <c r="M54" s="25"/>
      <c r="N54" s="26"/>
      <c r="O54" s="26"/>
      <c r="P54" s="26"/>
      <c r="Q54" s="26"/>
      <c r="R54" s="26"/>
      <c r="S54" s="27"/>
    </row>
    <row r="55" spans="5:19" ht="15" customHeight="1" x14ac:dyDescent="0.2">
      <c r="E55" s="44">
        <v>2013</v>
      </c>
      <c r="F55" s="10">
        <v>0.24560000000000001</v>
      </c>
      <c r="G55" s="10">
        <v>0.22509999999999999</v>
      </c>
      <c r="H55" s="186">
        <v>0.17510000000000001</v>
      </c>
      <c r="I55" s="10">
        <f>SUM(F55:H55)</f>
        <v>0.64580000000000004</v>
      </c>
      <c r="J55" s="24"/>
      <c r="K55" s="24"/>
      <c r="M55" s="25"/>
      <c r="N55" s="26"/>
      <c r="O55" s="26"/>
      <c r="P55" s="26"/>
      <c r="Q55" s="26"/>
      <c r="R55" s="26"/>
      <c r="S55" s="27"/>
    </row>
    <row r="56" spans="5:19" ht="15" customHeight="1" x14ac:dyDescent="0.2">
      <c r="E56" s="44">
        <v>2014</v>
      </c>
      <c r="F56" s="10">
        <v>5.0299999999999997E-2</v>
      </c>
      <c r="G56" s="10">
        <v>0.1923</v>
      </c>
      <c r="H56" s="10">
        <v>0.37869999999999998</v>
      </c>
      <c r="I56" s="10">
        <f>SUM(F56:H56)</f>
        <v>0.62129999999999996</v>
      </c>
      <c r="J56" s="24"/>
      <c r="K56" s="24"/>
      <c r="M56" s="25"/>
      <c r="N56" s="26"/>
      <c r="O56" s="26"/>
      <c r="P56" s="26"/>
      <c r="Q56" s="26"/>
      <c r="R56" s="26"/>
      <c r="S56" s="27"/>
    </row>
    <row r="57" spans="5:19" ht="15" customHeight="1" x14ac:dyDescent="0.2">
      <c r="E57" s="44">
        <v>2015</v>
      </c>
      <c r="F57" s="10">
        <v>0.24479999999999999</v>
      </c>
      <c r="G57" s="10">
        <v>0.23319999999999999</v>
      </c>
      <c r="H57" s="10">
        <v>0.2278</v>
      </c>
      <c r="I57" s="10">
        <f>SUM(F57:H57)</f>
        <v>0.70579999999999998</v>
      </c>
      <c r="J57" s="24"/>
      <c r="K57" s="24"/>
      <c r="M57" s="25"/>
      <c r="N57" s="26"/>
      <c r="O57" s="26"/>
      <c r="P57" s="26"/>
      <c r="Q57" s="26"/>
      <c r="R57" s="26"/>
      <c r="S57" s="27"/>
    </row>
    <row r="58" spans="5:19" ht="15" customHeight="1" x14ac:dyDescent="0.2">
      <c r="E58" s="407">
        <v>2016</v>
      </c>
      <c r="F58" s="10" t="s">
        <v>43</v>
      </c>
      <c r="G58" s="10" t="s">
        <v>43</v>
      </c>
      <c r="H58" s="10" t="s">
        <v>43</v>
      </c>
      <c r="I58" s="10" t="s">
        <v>43</v>
      </c>
      <c r="J58" s="24"/>
      <c r="K58" s="24"/>
      <c r="M58" s="25"/>
      <c r="N58" s="26"/>
      <c r="O58" s="26"/>
      <c r="P58" s="26"/>
      <c r="Q58" s="26"/>
      <c r="R58" s="26"/>
      <c r="S58" s="27"/>
    </row>
    <row r="59" spans="5:19" x14ac:dyDescent="0.2">
      <c r="E59" s="25"/>
      <c r="F59" s="28"/>
      <c r="G59" s="20"/>
      <c r="H59" s="20"/>
      <c r="I59" s="24"/>
      <c r="J59" s="24"/>
      <c r="K59" s="24"/>
      <c r="M59" s="25"/>
      <c r="N59" s="26"/>
      <c r="O59" s="26"/>
      <c r="P59" s="26"/>
      <c r="Q59" s="26"/>
      <c r="R59" s="26"/>
      <c r="S59" s="27"/>
    </row>
    <row r="60" spans="5:19" ht="19.5" customHeight="1" x14ac:dyDescent="0.2">
      <c r="E60" s="499" t="s">
        <v>744</v>
      </c>
      <c r="F60" s="500"/>
      <c r="G60" s="500"/>
      <c r="H60" s="501"/>
      <c r="I60" s="24"/>
      <c r="J60" s="24"/>
      <c r="K60" s="24"/>
      <c r="M60" s="25"/>
      <c r="N60" s="26"/>
      <c r="O60" s="26"/>
      <c r="P60" s="26"/>
      <c r="Q60" s="26"/>
      <c r="R60" s="26"/>
      <c r="S60" s="27"/>
    </row>
    <row r="61" spans="5:19" ht="19.5" customHeight="1" x14ac:dyDescent="0.2">
      <c r="E61" s="149" t="s">
        <v>22</v>
      </c>
      <c r="F61" s="149" t="s">
        <v>34</v>
      </c>
      <c r="G61" s="149" t="s">
        <v>35</v>
      </c>
      <c r="H61" s="149" t="s">
        <v>36</v>
      </c>
      <c r="I61" s="24"/>
      <c r="J61" s="24"/>
      <c r="K61" s="24"/>
      <c r="M61" s="25"/>
      <c r="N61" s="26"/>
      <c r="O61" s="26"/>
      <c r="P61" s="26"/>
      <c r="Q61" s="26"/>
      <c r="R61" s="26"/>
      <c r="S61" s="27"/>
    </row>
    <row r="62" spans="5:19" ht="15" customHeight="1" x14ac:dyDescent="0.2">
      <c r="E62" s="49">
        <v>2016</v>
      </c>
      <c r="F62" s="10">
        <f>0.0028*5+0.1708</f>
        <v>0.18480000000000002</v>
      </c>
      <c r="G62" s="10">
        <f>-0.0008*5+0.2211</f>
        <v>0.21709999999999999</v>
      </c>
      <c r="H62" s="10">
        <f>0.0212*5+0.1988</f>
        <v>0.30480000000000002</v>
      </c>
      <c r="I62" s="24"/>
      <c r="J62" s="24"/>
      <c r="K62" s="24"/>
      <c r="M62" s="25"/>
      <c r="N62" s="26"/>
      <c r="O62" s="26"/>
      <c r="P62" s="26"/>
      <c r="Q62" s="26"/>
      <c r="R62" s="26"/>
      <c r="S62" s="27"/>
    </row>
    <row r="63" spans="5:19" x14ac:dyDescent="0.2">
      <c r="E63" s="23"/>
      <c r="F63" s="24"/>
      <c r="G63" s="24"/>
      <c r="H63" s="24"/>
      <c r="I63" s="24"/>
      <c r="J63" s="24"/>
      <c r="K63" s="24"/>
      <c r="M63" s="25"/>
      <c r="N63" s="26"/>
      <c r="O63" s="26"/>
      <c r="P63" s="26"/>
      <c r="Q63" s="26"/>
      <c r="R63" s="26"/>
      <c r="S63" s="27"/>
    </row>
    <row r="64" spans="5:19" ht="19.5" customHeight="1" x14ac:dyDescent="0.2">
      <c r="E64" s="511" t="s">
        <v>200</v>
      </c>
      <c r="F64" s="512"/>
      <c r="G64" s="512"/>
      <c r="H64" s="512"/>
      <c r="I64" s="513"/>
      <c r="J64" s="24"/>
      <c r="K64" s="24"/>
      <c r="M64" s="25"/>
      <c r="N64" s="26"/>
      <c r="O64" s="26"/>
      <c r="P64" s="26"/>
      <c r="Q64" s="26"/>
      <c r="R64" s="26"/>
      <c r="S64" s="27"/>
    </row>
    <row r="65" spans="5:19" ht="19.5" customHeight="1" x14ac:dyDescent="0.2">
      <c r="E65" s="514"/>
      <c r="F65" s="515"/>
      <c r="G65" s="515"/>
      <c r="H65" s="515"/>
      <c r="I65" s="516"/>
      <c r="J65" s="24"/>
      <c r="K65" s="24"/>
      <c r="M65" s="25"/>
      <c r="N65" s="26"/>
      <c r="O65" s="26"/>
      <c r="P65" s="26"/>
      <c r="Q65" s="26"/>
      <c r="R65" s="26"/>
      <c r="S65" s="27"/>
    </row>
    <row r="66" spans="5:19" ht="18.75" customHeight="1" x14ac:dyDescent="0.2">
      <c r="E66" s="149" t="s">
        <v>22</v>
      </c>
      <c r="F66" s="149" t="s">
        <v>42</v>
      </c>
      <c r="G66" s="149" t="s">
        <v>35</v>
      </c>
      <c r="H66" s="149" t="s">
        <v>36</v>
      </c>
      <c r="I66" s="149" t="s">
        <v>48</v>
      </c>
    </row>
    <row r="67" spans="5:19" ht="15" customHeight="1" x14ac:dyDescent="0.2">
      <c r="E67" s="44">
        <v>2012</v>
      </c>
      <c r="F67" s="10">
        <v>0.1704</v>
      </c>
      <c r="G67" s="10">
        <v>0.22509999999999999</v>
      </c>
      <c r="H67" s="186">
        <v>0.22509999999999999</v>
      </c>
      <c r="I67" s="10">
        <f>SUM(F67:H67)</f>
        <v>0.62059999999999993</v>
      </c>
    </row>
    <row r="68" spans="5:19" ht="15" customHeight="1" x14ac:dyDescent="0.2">
      <c r="E68" s="44">
        <v>2013</v>
      </c>
      <c r="F68" s="10">
        <v>0.24560000000000001</v>
      </c>
      <c r="G68" s="10">
        <v>0.22509999999999999</v>
      </c>
      <c r="H68" s="186">
        <v>0.17510000000000001</v>
      </c>
      <c r="I68" s="10">
        <f>SUM(F68:H68)</f>
        <v>0.64580000000000004</v>
      </c>
    </row>
    <row r="69" spans="5:19" ht="15" customHeight="1" x14ac:dyDescent="0.2">
      <c r="E69" s="44">
        <v>2014</v>
      </c>
      <c r="F69" s="10">
        <v>5.0299999999999997E-2</v>
      </c>
      <c r="G69" s="10">
        <v>0.1923</v>
      </c>
      <c r="H69" s="10">
        <v>0.37869999999999998</v>
      </c>
      <c r="I69" s="10">
        <f>SUM(F69:H69)</f>
        <v>0.62129999999999996</v>
      </c>
    </row>
    <row r="70" spans="5:19" ht="15" customHeight="1" x14ac:dyDescent="0.2">
      <c r="E70" s="44">
        <v>2015</v>
      </c>
      <c r="F70" s="10">
        <v>0.24479999999999999</v>
      </c>
      <c r="G70" s="10">
        <v>0.23319999999999999</v>
      </c>
      <c r="H70" s="10">
        <v>0.2278</v>
      </c>
      <c r="I70" s="10">
        <f>SUM(F70:H70)</f>
        <v>0.70579999999999998</v>
      </c>
    </row>
    <row r="71" spans="5:19" x14ac:dyDescent="0.2">
      <c r="E71" s="49">
        <v>2016</v>
      </c>
      <c r="F71" s="10">
        <f>0.0028*5+0.1708</f>
        <v>0.18480000000000002</v>
      </c>
      <c r="G71" s="10">
        <f>-0.0008*5+0.2211</f>
        <v>0.21709999999999999</v>
      </c>
      <c r="H71" s="10">
        <f>0.0212*5+0.1988</f>
        <v>0.30480000000000002</v>
      </c>
      <c r="I71" s="10">
        <f>SUM(F71:H71)</f>
        <v>0.70670000000000011</v>
      </c>
    </row>
    <row r="73" spans="5:19" ht="51" x14ac:dyDescent="0.2">
      <c r="E73" s="408" t="s">
        <v>1908</v>
      </c>
      <c r="F73" s="408" t="s">
        <v>1909</v>
      </c>
      <c r="G73" s="408" t="s">
        <v>1910</v>
      </c>
    </row>
    <row r="74" spans="5:19" ht="15" customHeight="1" x14ac:dyDescent="0.2">
      <c r="E74" s="11">
        <v>995493.99300000002</v>
      </c>
      <c r="F74" s="10">
        <v>0.62059999999999993</v>
      </c>
      <c r="G74" s="11">
        <f>F74*E74</f>
        <v>617803.57205579989</v>
      </c>
    </row>
    <row r="75" spans="5:19" ht="15" customHeight="1" x14ac:dyDescent="0.2">
      <c r="E75" s="11">
        <v>1023531.1649999999</v>
      </c>
      <c r="F75" s="10">
        <v>0.64580000000000004</v>
      </c>
      <c r="G75" s="11">
        <f>F75*E75</f>
        <v>660996.42635700002</v>
      </c>
    </row>
    <row r="76" spans="5:19" ht="15" customHeight="1" x14ac:dyDescent="0.2">
      <c r="E76" s="11">
        <v>1072904.706</v>
      </c>
      <c r="F76" s="10">
        <v>0.62129999999999996</v>
      </c>
      <c r="G76" s="11">
        <f>F76*E76</f>
        <v>666595.69383779995</v>
      </c>
    </row>
    <row r="77" spans="5:19" ht="15" customHeight="1" x14ac:dyDescent="0.2">
      <c r="E77" s="11">
        <v>1061120.06</v>
      </c>
      <c r="F77" s="10">
        <v>0.70579999999999998</v>
      </c>
      <c r="G77" s="319">
        <f>F77*E77</f>
        <v>748938.53834800003</v>
      </c>
    </row>
    <row r="78" spans="5:19" ht="15" customHeight="1" x14ac:dyDescent="0.2">
      <c r="E78" s="319">
        <v>1104537.3999999999</v>
      </c>
      <c r="F78" s="10">
        <v>0.70670000000000011</v>
      </c>
      <c r="G78" s="319">
        <f>F78*E78</f>
        <v>780576.58058000007</v>
      </c>
    </row>
    <row r="80" spans="5:19" x14ac:dyDescent="0.2">
      <c r="E80" s="507" t="s">
        <v>49</v>
      </c>
      <c r="F80" s="504" t="s">
        <v>745</v>
      </c>
      <c r="G80" s="504" t="s">
        <v>746</v>
      </c>
      <c r="H80" s="504" t="s">
        <v>201</v>
      </c>
      <c r="I80" s="9"/>
    </row>
    <row r="81" spans="4:9" x14ac:dyDescent="0.2">
      <c r="E81" s="508"/>
      <c r="F81" s="505"/>
      <c r="G81" s="505"/>
      <c r="H81" s="505"/>
      <c r="I81" s="9"/>
    </row>
    <row r="82" spans="4:9" x14ac:dyDescent="0.2">
      <c r="E82" s="508"/>
      <c r="F82" s="505"/>
      <c r="G82" s="505"/>
      <c r="H82" s="505"/>
      <c r="I82" s="9"/>
    </row>
    <row r="83" spans="4:9" x14ac:dyDescent="0.2">
      <c r="E83" s="508"/>
      <c r="F83" s="506"/>
      <c r="G83" s="506"/>
      <c r="H83" s="506"/>
      <c r="I83" s="9"/>
    </row>
    <row r="84" spans="4:9" ht="19.5" customHeight="1" x14ac:dyDescent="0.2">
      <c r="E84" s="509"/>
      <c r="F84" s="44" t="s">
        <v>21</v>
      </c>
      <c r="G84" s="44" t="s">
        <v>50</v>
      </c>
      <c r="H84" s="44" t="s">
        <v>51</v>
      </c>
      <c r="I84" s="44" t="s">
        <v>52</v>
      </c>
    </row>
    <row r="85" spans="4:9" ht="15" customHeight="1" x14ac:dyDescent="0.2">
      <c r="D85" s="4">
        <v>1</v>
      </c>
      <c r="E85" s="44">
        <v>2012</v>
      </c>
      <c r="F85" s="11">
        <f>G74</f>
        <v>617803.57205579989</v>
      </c>
      <c r="G85" s="44">
        <v>13</v>
      </c>
      <c r="H85" s="11">
        <f>F85*G85</f>
        <v>8031446.4367253985</v>
      </c>
      <c r="I85" s="177">
        <f>H85/1000000</f>
        <v>8.0314464367253979</v>
      </c>
    </row>
    <row r="86" spans="4:9" ht="15" customHeight="1" x14ac:dyDescent="0.2">
      <c r="D86" s="4">
        <v>2</v>
      </c>
      <c r="E86" s="44">
        <v>2013</v>
      </c>
      <c r="F86" s="11">
        <f>G75</f>
        <v>660996.42635700002</v>
      </c>
      <c r="G86" s="44">
        <v>13</v>
      </c>
      <c r="H86" s="11">
        <f>F86*G86</f>
        <v>8592953.5426410008</v>
      </c>
      <c r="I86" s="177">
        <f>H86/1000000</f>
        <v>8.5929535426410002</v>
      </c>
    </row>
    <row r="87" spans="4:9" ht="15" customHeight="1" x14ac:dyDescent="0.2">
      <c r="D87" s="4">
        <v>3</v>
      </c>
      <c r="E87" s="44">
        <v>2014</v>
      </c>
      <c r="F87" s="11">
        <f>G76</f>
        <v>666595.69383779995</v>
      </c>
      <c r="G87" s="44">
        <v>13</v>
      </c>
      <c r="H87" s="11">
        <f>F87*G87</f>
        <v>8665744.0198913999</v>
      </c>
      <c r="I87" s="177">
        <f>H87/1000000</f>
        <v>8.6657440198914006</v>
      </c>
    </row>
    <row r="88" spans="4:9" ht="15" customHeight="1" x14ac:dyDescent="0.2">
      <c r="D88" s="4">
        <v>4</v>
      </c>
      <c r="E88" s="44">
        <v>2015</v>
      </c>
      <c r="F88" s="11">
        <f>G77</f>
        <v>748938.53834800003</v>
      </c>
      <c r="G88" s="44">
        <v>13</v>
      </c>
      <c r="H88" s="11">
        <f>F88*G88</f>
        <v>9736200.9985240009</v>
      </c>
      <c r="I88" s="177">
        <f>H88/1000000</f>
        <v>9.7362009985240014</v>
      </c>
    </row>
    <row r="89" spans="4:9" ht="18.75" customHeight="1" x14ac:dyDescent="0.2">
      <c r="D89" s="4">
        <v>5</v>
      </c>
      <c r="E89" s="407">
        <v>2016</v>
      </c>
      <c r="F89" s="319">
        <f>G78</f>
        <v>780576.58058000007</v>
      </c>
      <c r="G89" s="407">
        <v>13</v>
      </c>
      <c r="H89" s="319">
        <f>F89*G89</f>
        <v>10147495.547540002</v>
      </c>
      <c r="I89" s="177">
        <f>H89/1000000</f>
        <v>10.147495547540002</v>
      </c>
    </row>
    <row r="90" spans="4:9" ht="18.75" customHeight="1" x14ac:dyDescent="0.2"/>
    <row r="94" spans="4:9" ht="22.5" customHeight="1" x14ac:dyDescent="0.2"/>
    <row r="95" spans="4:9" ht="22.5" customHeight="1" x14ac:dyDescent="0.2"/>
    <row r="101" spans="2:4" ht="15" customHeight="1" x14ac:dyDescent="0.2">
      <c r="B101" s="149" t="s">
        <v>53</v>
      </c>
      <c r="C101" s="149" t="s">
        <v>747</v>
      </c>
    </row>
    <row r="102" spans="2:4" ht="15" customHeight="1" x14ac:dyDescent="0.2">
      <c r="B102" s="44" t="s">
        <v>54</v>
      </c>
      <c r="C102" s="44">
        <v>0.94169999999999998</v>
      </c>
      <c r="D102" s="232"/>
    </row>
    <row r="103" spans="2:4" ht="15" customHeight="1" x14ac:dyDescent="0.2">
      <c r="B103" s="44" t="s">
        <v>55</v>
      </c>
      <c r="C103" s="44">
        <v>0.94610000000000005</v>
      </c>
      <c r="D103" s="232"/>
    </row>
    <row r="104" spans="2:4" ht="15" customHeight="1" x14ac:dyDescent="0.2">
      <c r="B104" s="44" t="s">
        <v>56</v>
      </c>
      <c r="C104" s="44">
        <v>0.84919999999999995</v>
      </c>
      <c r="D104" s="232"/>
    </row>
    <row r="105" spans="2:4" ht="18.75" customHeight="1" x14ac:dyDescent="0.2">
      <c r="B105" s="44" t="s">
        <v>57</v>
      </c>
      <c r="C105" s="44">
        <v>0.95309999999999995</v>
      </c>
      <c r="D105" s="232"/>
    </row>
    <row r="106" spans="2:4" ht="15" customHeight="1" x14ac:dyDescent="0.2">
      <c r="B106" s="44" t="s">
        <v>58</v>
      </c>
      <c r="C106" s="44">
        <v>0.86580000000000001</v>
      </c>
      <c r="D106" s="232"/>
    </row>
    <row r="107" spans="2:4" ht="15" customHeight="1" x14ac:dyDescent="0.2">
      <c r="D107" s="232"/>
    </row>
    <row r="108" spans="2:4" ht="15" customHeight="1" x14ac:dyDescent="0.2"/>
    <row r="109" spans="2:4" ht="15" customHeight="1" x14ac:dyDescent="0.2"/>
    <row r="110" spans="2:4" ht="15" customHeight="1" x14ac:dyDescent="0.2"/>
    <row r="112" spans="2:4" x14ac:dyDescent="0.2">
      <c r="C112" s="503"/>
      <c r="D112" s="503"/>
    </row>
    <row r="113" spans="2:4" ht="18.75" customHeight="1" x14ac:dyDescent="0.2">
      <c r="B113" s="12"/>
      <c r="C113" s="149" t="s">
        <v>59</v>
      </c>
      <c r="D113" s="149" t="s">
        <v>52</v>
      </c>
    </row>
    <row r="114" spans="2:4" ht="15" customHeight="1" x14ac:dyDescent="0.2">
      <c r="B114" s="44">
        <v>6</v>
      </c>
      <c r="C114" s="44">
        <v>2017</v>
      </c>
      <c r="D114" s="177">
        <f>(0.0498*B114*B114)+(0.2387*B114)+7.7708</f>
        <v>10.995799999999999</v>
      </c>
    </row>
    <row r="115" spans="2:4" ht="15" customHeight="1" x14ac:dyDescent="0.2">
      <c r="B115" s="44">
        <v>7</v>
      </c>
      <c r="C115" s="44">
        <v>2018</v>
      </c>
      <c r="D115" s="177">
        <f t="shared" ref="D115:D118" si="0">(0.0498*B115*B115)+(0.2387*B115)+7.7708</f>
        <v>11.881900000000002</v>
      </c>
    </row>
    <row r="116" spans="2:4" ht="15" customHeight="1" x14ac:dyDescent="0.2">
      <c r="B116" s="44">
        <v>8</v>
      </c>
      <c r="C116" s="44">
        <v>2019</v>
      </c>
      <c r="D116" s="177">
        <f t="shared" si="0"/>
        <v>12.867599999999999</v>
      </c>
    </row>
    <row r="117" spans="2:4" ht="15" customHeight="1" x14ac:dyDescent="0.2">
      <c r="B117" s="44">
        <v>9</v>
      </c>
      <c r="C117" s="44">
        <v>2020</v>
      </c>
      <c r="D117" s="177">
        <f t="shared" si="0"/>
        <v>13.9529</v>
      </c>
    </row>
    <row r="118" spans="2:4" x14ac:dyDescent="0.2">
      <c r="B118" s="407">
        <v>10</v>
      </c>
      <c r="C118" s="407">
        <v>2021</v>
      </c>
      <c r="D118" s="177">
        <f t="shared" si="0"/>
        <v>15.137800000000002</v>
      </c>
    </row>
  </sheetData>
  <mergeCells count="27">
    <mergeCell ref="F3:K3"/>
    <mergeCell ref="F51:I51"/>
    <mergeCell ref="E11:K11"/>
    <mergeCell ref="E19:K19"/>
    <mergeCell ref="H27:H28"/>
    <mergeCell ref="E27:E28"/>
    <mergeCell ref="E35:E36"/>
    <mergeCell ref="F35:F36"/>
    <mergeCell ref="G35:G36"/>
    <mergeCell ref="H35:H36"/>
    <mergeCell ref="E43:E44"/>
    <mergeCell ref="F43:F44"/>
    <mergeCell ref="G43:G44"/>
    <mergeCell ref="H43:H44"/>
    <mergeCell ref="E52:I52"/>
    <mergeCell ref="M6:R6"/>
    <mergeCell ref="C112:D112"/>
    <mergeCell ref="F80:F83"/>
    <mergeCell ref="E80:E84"/>
    <mergeCell ref="G80:G83"/>
    <mergeCell ref="H80:H83"/>
    <mergeCell ref="M11:S11"/>
    <mergeCell ref="M19:S19"/>
    <mergeCell ref="F27:F28"/>
    <mergeCell ref="G27:G28"/>
    <mergeCell ref="E60:H60"/>
    <mergeCell ref="E64:I65"/>
  </mergeCells>
  <pageMargins left="0.7" right="0.7" top="0.75" bottom="0.75" header="0.3" footer="0.3"/>
  <pageSetup orientation="portrait" r:id="rId1"/>
  <ignoredErrors>
    <ignoredError sqref="K21:K25 K13:K17 S13:S17 S21:S25 F29:F33 F37:F41 I54:I57 I67:I7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98"/>
  <sheetViews>
    <sheetView topLeftCell="L73" zoomScale="85" zoomScaleNormal="85" zoomScalePageLayoutView="85" workbookViewId="0">
      <selection activeCell="Q99" sqref="Q99"/>
    </sheetView>
  </sheetViews>
  <sheetFormatPr baseColWidth="10" defaultColWidth="11" defaultRowHeight="14.25" x14ac:dyDescent="0.2"/>
  <cols>
    <col min="1" max="1" width="9" style="4" customWidth="1"/>
    <col min="2" max="8" width="22.85546875" style="4" customWidth="1"/>
    <col min="9" max="9" width="11.140625" style="4" bestFit="1" customWidth="1"/>
    <col min="10" max="10" width="11" style="4"/>
    <col min="11" max="11" width="22.85546875" style="4" customWidth="1"/>
    <col min="12" max="13" width="22.140625" style="4" customWidth="1"/>
    <col min="14" max="14" width="22.85546875" style="4" customWidth="1"/>
    <col min="15" max="15" width="7.85546875" style="4" customWidth="1"/>
    <col min="16" max="17" width="22.85546875" style="7" customWidth="1"/>
    <col min="18" max="22" width="22.85546875" style="4" customWidth="1"/>
    <col min="23" max="23" width="11" style="4"/>
    <col min="24" max="29" width="22.85546875" style="4" customWidth="1"/>
    <col min="30" max="16384" width="11" style="4"/>
  </cols>
  <sheetData>
    <row r="2" spans="2:15" x14ac:dyDescent="0.2">
      <c r="B2" s="9"/>
      <c r="C2" s="525" t="s">
        <v>61</v>
      </c>
      <c r="D2" s="525"/>
      <c r="E2" s="9"/>
    </row>
    <row r="3" spans="2:15" x14ac:dyDescent="0.2">
      <c r="B3" s="9"/>
      <c r="C3" s="525"/>
      <c r="D3" s="525"/>
      <c r="E3" s="9"/>
    </row>
    <row r="4" spans="2:15" ht="18.75" customHeight="1" x14ac:dyDescent="0.2">
      <c r="B4" s="9"/>
      <c r="C4" s="44" t="s">
        <v>22</v>
      </c>
      <c r="D4" s="44" t="s">
        <v>51</v>
      </c>
      <c r="E4" s="18" t="s">
        <v>52</v>
      </c>
    </row>
    <row r="5" spans="2:15" x14ac:dyDescent="0.2">
      <c r="B5" s="44">
        <v>1</v>
      </c>
      <c r="C5" s="44">
        <v>2011</v>
      </c>
      <c r="D5" s="11">
        <v>2713000000</v>
      </c>
      <c r="E5" s="11">
        <f>D5/1000000</f>
        <v>2713</v>
      </c>
    </row>
    <row r="6" spans="2:15" x14ac:dyDescent="0.2">
      <c r="B6" s="44">
        <v>2</v>
      </c>
      <c r="C6" s="44">
        <v>2012</v>
      </c>
      <c r="D6" s="11">
        <v>2919000000</v>
      </c>
      <c r="E6" s="11">
        <f>D6/1000000</f>
        <v>2919</v>
      </c>
    </row>
    <row r="7" spans="2:15" x14ac:dyDescent="0.2">
      <c r="B7" s="44">
        <v>3</v>
      </c>
      <c r="C7" s="44">
        <v>2013</v>
      </c>
      <c r="D7" s="11">
        <v>3114000000</v>
      </c>
      <c r="E7" s="11">
        <f>D7/1000000</f>
        <v>3114</v>
      </c>
    </row>
    <row r="8" spans="2:15" x14ac:dyDescent="0.2">
      <c r="B8" s="44">
        <v>4</v>
      </c>
      <c r="C8" s="44">
        <v>2014</v>
      </c>
      <c r="D8" s="11">
        <v>3258000000</v>
      </c>
      <c r="E8" s="11">
        <f>D8/1000000</f>
        <v>3258</v>
      </c>
    </row>
    <row r="9" spans="2:15" x14ac:dyDescent="0.2">
      <c r="B9" s="44">
        <v>5</v>
      </c>
      <c r="C9" s="44">
        <v>2015</v>
      </c>
      <c r="D9" s="11" t="s">
        <v>43</v>
      </c>
      <c r="E9" s="44" t="s">
        <v>43</v>
      </c>
    </row>
    <row r="10" spans="2:15" x14ac:dyDescent="0.2">
      <c r="B10" s="407">
        <v>6</v>
      </c>
      <c r="C10" s="407">
        <v>2016</v>
      </c>
      <c r="D10" s="319" t="s">
        <v>43</v>
      </c>
      <c r="E10" s="407" t="s">
        <v>43</v>
      </c>
    </row>
    <row r="11" spans="2:15" ht="15" customHeight="1" x14ac:dyDescent="0.2"/>
    <row r="12" spans="2:15" ht="15" customHeight="1" x14ac:dyDescent="0.2"/>
    <row r="14" spans="2:15" ht="19.5" customHeight="1" x14ac:dyDescent="0.2">
      <c r="B14" s="507" t="s">
        <v>22</v>
      </c>
      <c r="C14" s="504" t="s">
        <v>208</v>
      </c>
      <c r="D14" s="504" t="s">
        <v>209</v>
      </c>
      <c r="E14" s="504" t="s">
        <v>210</v>
      </c>
    </row>
    <row r="15" spans="2:15" ht="19.5" customHeight="1" x14ac:dyDescent="0.2">
      <c r="B15" s="508"/>
      <c r="C15" s="505"/>
      <c r="D15" s="505"/>
      <c r="E15" s="505"/>
    </row>
    <row r="16" spans="2:15" ht="20.25" customHeight="1" x14ac:dyDescent="0.2">
      <c r="B16" s="509"/>
      <c r="C16" s="506"/>
      <c r="D16" s="506"/>
      <c r="E16" s="506"/>
      <c r="M16" s="7"/>
      <c r="N16" s="7"/>
      <c r="O16" s="7"/>
    </row>
    <row r="17" spans="2:17" ht="18.75" hidden="1" customHeight="1" x14ac:dyDescent="0.2">
      <c r="B17" s="44">
        <v>2011</v>
      </c>
      <c r="C17" s="11">
        <f>E5</f>
        <v>2713</v>
      </c>
      <c r="D17" s="172">
        <v>8.7999999999999995E-2</v>
      </c>
      <c r="E17" s="177">
        <f t="shared" ref="E17:E22" si="0">C17*D17</f>
        <v>238.744</v>
      </c>
      <c r="M17" s="30" t="s">
        <v>343</v>
      </c>
      <c r="N17" s="30">
        <v>2011</v>
      </c>
      <c r="O17" s="30">
        <v>2012</v>
      </c>
      <c r="P17" s="30">
        <v>2014</v>
      </c>
      <c r="Q17" s="30">
        <v>2015</v>
      </c>
    </row>
    <row r="18" spans="2:17" ht="15" customHeight="1" x14ac:dyDescent="0.2">
      <c r="B18" s="44">
        <v>2012</v>
      </c>
      <c r="C18" s="11">
        <f>E6</f>
        <v>2919</v>
      </c>
      <c r="D18" s="172">
        <v>8.5000000000000006E-2</v>
      </c>
      <c r="E18" s="177">
        <f t="shared" si="0"/>
        <v>248.11500000000001</v>
      </c>
      <c r="M18" s="17" t="s">
        <v>90</v>
      </c>
      <c r="N18" s="6">
        <v>0.7</v>
      </c>
      <c r="O18" s="6">
        <v>0.66</v>
      </c>
      <c r="P18" s="6">
        <v>0.56999999999999995</v>
      </c>
      <c r="Q18" s="6">
        <v>0.5</v>
      </c>
    </row>
    <row r="19" spans="2:17" ht="15" customHeight="1" x14ac:dyDescent="0.2">
      <c r="B19" s="44">
        <v>2013</v>
      </c>
      <c r="C19" s="11">
        <f>E7</f>
        <v>3114</v>
      </c>
      <c r="D19" s="172">
        <v>8.1000000000000003E-2</v>
      </c>
      <c r="E19" s="177">
        <f t="shared" si="0"/>
        <v>252.23400000000001</v>
      </c>
      <c r="M19" s="17" t="s">
        <v>82</v>
      </c>
      <c r="N19" s="6">
        <v>0.11</v>
      </c>
      <c r="O19" s="6">
        <v>0.19</v>
      </c>
      <c r="P19" s="6">
        <v>0.16</v>
      </c>
      <c r="Q19" s="6">
        <v>0.13</v>
      </c>
    </row>
    <row r="20" spans="2:17" ht="15" customHeight="1" x14ac:dyDescent="0.2">
      <c r="B20" s="44">
        <v>2014</v>
      </c>
      <c r="C20" s="11">
        <f>E8</f>
        <v>3258</v>
      </c>
      <c r="D20" s="172">
        <v>8.2000000000000003E-2</v>
      </c>
      <c r="E20" s="177">
        <f t="shared" si="0"/>
        <v>267.15600000000001</v>
      </c>
      <c r="M20" s="17" t="s">
        <v>341</v>
      </c>
      <c r="N20" s="6">
        <v>0.1</v>
      </c>
      <c r="O20" s="6">
        <v>7.0000000000000007E-2</v>
      </c>
      <c r="P20" s="6">
        <v>7.0000000000000007E-2</v>
      </c>
      <c r="Q20" s="6">
        <v>0.12</v>
      </c>
    </row>
    <row r="21" spans="2:17" ht="15" customHeight="1" x14ac:dyDescent="0.2">
      <c r="B21" s="44">
        <v>2015</v>
      </c>
      <c r="C21" s="11">
        <f>183*B9+2543.5</f>
        <v>3458.5</v>
      </c>
      <c r="D21" s="172">
        <v>0.08</v>
      </c>
      <c r="E21" s="177">
        <f t="shared" si="0"/>
        <v>276.68</v>
      </c>
      <c r="M21" s="17" t="s">
        <v>88</v>
      </c>
      <c r="N21" s="6">
        <v>0.03</v>
      </c>
      <c r="O21" s="6">
        <v>0.03</v>
      </c>
      <c r="P21" s="6">
        <v>0.1</v>
      </c>
      <c r="Q21" s="6">
        <v>0.05</v>
      </c>
    </row>
    <row r="22" spans="2:17" ht="15" customHeight="1" x14ac:dyDescent="0.2">
      <c r="B22" s="407">
        <v>2016</v>
      </c>
      <c r="C22" s="319">
        <f>183*B10+2543.5</f>
        <v>3641.5</v>
      </c>
      <c r="D22" s="172">
        <v>0.08</v>
      </c>
      <c r="E22" s="177">
        <f t="shared" si="0"/>
        <v>291.32</v>
      </c>
      <c r="M22" s="17" t="s">
        <v>84</v>
      </c>
      <c r="N22" s="6">
        <v>0.03</v>
      </c>
      <c r="O22" s="6">
        <v>0.03</v>
      </c>
      <c r="P22" s="6">
        <v>0.06</v>
      </c>
      <c r="Q22" s="6">
        <v>0.04</v>
      </c>
    </row>
    <row r="23" spans="2:17" ht="15" customHeight="1" x14ac:dyDescent="0.2">
      <c r="M23" s="17" t="s">
        <v>342</v>
      </c>
      <c r="N23" s="6">
        <f>100%-SUM(N18:N22)</f>
        <v>3.0000000000000027E-2</v>
      </c>
      <c r="O23" s="6">
        <f>100%-SUM(O18:O22)</f>
        <v>1.9999999999999796E-2</v>
      </c>
      <c r="P23" s="6">
        <f>100%-SUM(P18:P22)</f>
        <v>4.0000000000000036E-2</v>
      </c>
      <c r="Q23" s="6">
        <f>100%-SUM(Q18:Q22)</f>
        <v>0.15999999999999992</v>
      </c>
    </row>
    <row r="24" spans="2:17" ht="15" customHeight="1" x14ac:dyDescent="0.2">
      <c r="B24" s="507" t="s">
        <v>22</v>
      </c>
      <c r="C24" s="504" t="s">
        <v>211</v>
      </c>
      <c r="D24" s="504" t="s">
        <v>212</v>
      </c>
      <c r="E24" s="504" t="s">
        <v>213</v>
      </c>
      <c r="M24" s="7"/>
      <c r="N24" s="7"/>
      <c r="O24" s="7"/>
      <c r="P24" s="38"/>
      <c r="Q24" s="38"/>
    </row>
    <row r="25" spans="2:17" ht="15" customHeight="1" x14ac:dyDescent="0.2">
      <c r="B25" s="508"/>
      <c r="C25" s="505"/>
      <c r="D25" s="505"/>
      <c r="E25" s="505"/>
      <c r="M25" s="7"/>
      <c r="N25" s="7"/>
      <c r="O25" s="7"/>
      <c r="P25" s="39"/>
      <c r="Q25" s="39"/>
    </row>
    <row r="26" spans="2:17" ht="15" customHeight="1" x14ac:dyDescent="0.2">
      <c r="B26" s="509"/>
      <c r="C26" s="506"/>
      <c r="D26" s="506"/>
      <c r="E26" s="506"/>
      <c r="M26" s="7"/>
      <c r="N26" s="7"/>
      <c r="O26" s="7"/>
      <c r="P26" s="39"/>
    </row>
    <row r="27" spans="2:17" ht="15" hidden="1" customHeight="1" x14ac:dyDescent="0.2">
      <c r="B27" s="45">
        <v>2011</v>
      </c>
      <c r="C27" s="178">
        <f t="shared" ref="C27:C32" si="1">E17</f>
        <v>238.744</v>
      </c>
      <c r="D27" s="184">
        <v>1.7999999999999999E-2</v>
      </c>
      <c r="E27" s="177">
        <f t="shared" ref="E27:E32" si="2">C27*D27</f>
        <v>4.2973919999999994</v>
      </c>
      <c r="M27" s="7"/>
      <c r="N27" s="7"/>
      <c r="O27" s="7"/>
      <c r="P27" s="39"/>
    </row>
    <row r="28" spans="2:17" ht="15" customHeight="1" x14ac:dyDescent="0.2">
      <c r="B28" s="45">
        <v>2012</v>
      </c>
      <c r="C28" s="178">
        <f t="shared" si="1"/>
        <v>248.11500000000001</v>
      </c>
      <c r="D28" s="184">
        <v>1.7999999999999999E-2</v>
      </c>
      <c r="E28" s="177">
        <f t="shared" si="2"/>
        <v>4.4660700000000002</v>
      </c>
      <c r="M28" s="7"/>
      <c r="N28" s="7"/>
      <c r="O28" s="7"/>
      <c r="P28" s="39"/>
    </row>
    <row r="29" spans="2:17" ht="15" customHeight="1" x14ac:dyDescent="0.2">
      <c r="B29" s="45">
        <v>2013</v>
      </c>
      <c r="C29" s="178">
        <f t="shared" si="1"/>
        <v>252.23400000000001</v>
      </c>
      <c r="D29" s="184">
        <v>1.7999999999999999E-2</v>
      </c>
      <c r="E29" s="177">
        <f t="shared" si="2"/>
        <v>4.5402119999999995</v>
      </c>
      <c r="P29" s="39"/>
    </row>
    <row r="30" spans="2:17" ht="15" customHeight="1" x14ac:dyDescent="0.2">
      <c r="B30" s="45">
        <v>2014</v>
      </c>
      <c r="C30" s="178">
        <f t="shared" si="1"/>
        <v>267.15600000000001</v>
      </c>
      <c r="D30" s="184">
        <v>1.7999999999999999E-2</v>
      </c>
      <c r="E30" s="177">
        <f t="shared" si="2"/>
        <v>4.808808</v>
      </c>
    </row>
    <row r="31" spans="2:17" ht="15" customHeight="1" x14ac:dyDescent="0.2">
      <c r="B31" s="45">
        <v>2015</v>
      </c>
      <c r="C31" s="178">
        <f t="shared" si="1"/>
        <v>276.68</v>
      </c>
      <c r="D31" s="184">
        <v>1.7999999999999999E-2</v>
      </c>
      <c r="E31" s="177">
        <f t="shared" si="2"/>
        <v>4.9802399999999993</v>
      </c>
    </row>
    <row r="32" spans="2:17" ht="15" customHeight="1" x14ac:dyDescent="0.2">
      <c r="B32" s="407">
        <v>2016</v>
      </c>
      <c r="C32" s="178">
        <f t="shared" si="1"/>
        <v>291.32</v>
      </c>
      <c r="D32" s="184">
        <v>1.7999999999999999E-2</v>
      </c>
      <c r="E32" s="177">
        <f t="shared" si="2"/>
        <v>5.2437599999999991</v>
      </c>
    </row>
    <row r="34" spans="2:8" ht="19.5" customHeight="1" x14ac:dyDescent="0.2">
      <c r="B34" s="507" t="s">
        <v>22</v>
      </c>
      <c r="C34" s="504" t="s">
        <v>63</v>
      </c>
      <c r="D34" s="504" t="s">
        <v>62</v>
      </c>
      <c r="E34" s="504" t="s">
        <v>64</v>
      </c>
    </row>
    <row r="35" spans="2:8" ht="19.5" customHeight="1" x14ac:dyDescent="0.2">
      <c r="B35" s="508"/>
      <c r="C35" s="505"/>
      <c r="D35" s="505"/>
      <c r="E35" s="505"/>
    </row>
    <row r="36" spans="2:8" ht="19.5" customHeight="1" x14ac:dyDescent="0.2">
      <c r="B36" s="509"/>
      <c r="C36" s="506"/>
      <c r="D36" s="506"/>
      <c r="E36" s="506"/>
    </row>
    <row r="37" spans="2:8" ht="15" customHeight="1" x14ac:dyDescent="0.2">
      <c r="B37" s="45">
        <v>2005</v>
      </c>
      <c r="C37" s="11">
        <v>50408</v>
      </c>
      <c r="D37" s="11">
        <v>6229</v>
      </c>
      <c r="E37" s="10">
        <f>D37/C37</f>
        <v>0.12357165529281067</v>
      </c>
    </row>
    <row r="38" spans="2:8" ht="15" customHeight="1" x14ac:dyDescent="0.2">
      <c r="B38" s="45">
        <v>2014</v>
      </c>
      <c r="C38" s="11">
        <v>69228</v>
      </c>
      <c r="D38" s="11">
        <v>60365</v>
      </c>
      <c r="E38" s="10">
        <f>D38/C38</f>
        <v>0.87197376783960245</v>
      </c>
    </row>
    <row r="40" spans="2:8" ht="15" x14ac:dyDescent="0.25">
      <c r="E40" s="8"/>
      <c r="F40" s="8"/>
    </row>
    <row r="41" spans="2:8" ht="19.5" customHeight="1" x14ac:dyDescent="0.25">
      <c r="B41" s="507" t="s">
        <v>22</v>
      </c>
      <c r="C41" s="504" t="s">
        <v>214</v>
      </c>
      <c r="E41" s="8"/>
      <c r="F41" s="8"/>
      <c r="H41" s="8"/>
    </row>
    <row r="42" spans="2:8" ht="19.5" customHeight="1" x14ac:dyDescent="0.2">
      <c r="B42" s="508"/>
      <c r="C42" s="505"/>
    </row>
    <row r="43" spans="2:8" ht="15" hidden="1" customHeight="1" x14ac:dyDescent="0.2">
      <c r="B43" s="45">
        <v>2011</v>
      </c>
      <c r="C43" s="179">
        <v>2</v>
      </c>
    </row>
    <row r="44" spans="2:8" ht="15" customHeight="1" x14ac:dyDescent="0.2">
      <c r="B44" s="45">
        <v>2012</v>
      </c>
      <c r="C44" s="179">
        <v>2</v>
      </c>
    </row>
    <row r="45" spans="2:8" ht="15" customHeight="1" x14ac:dyDescent="0.2">
      <c r="B45" s="45">
        <v>2013</v>
      </c>
      <c r="C45" s="44">
        <v>2.6</v>
      </c>
    </row>
    <row r="46" spans="2:8" ht="15" customHeight="1" x14ac:dyDescent="0.2">
      <c r="B46" s="45">
        <v>2014</v>
      </c>
      <c r="C46" s="44">
        <v>2.2000000000000002</v>
      </c>
    </row>
    <row r="47" spans="2:8" ht="15" customHeight="1" x14ac:dyDescent="0.2">
      <c r="B47" s="45">
        <v>2015</v>
      </c>
      <c r="C47" s="179">
        <v>2.4</v>
      </c>
    </row>
    <row r="48" spans="2:8" x14ac:dyDescent="0.2">
      <c r="B48" s="407">
        <v>2016</v>
      </c>
      <c r="C48" s="179">
        <v>2.4</v>
      </c>
    </row>
    <row r="49" spans="2:29" x14ac:dyDescent="0.2">
      <c r="K49" s="4" t="s">
        <v>995</v>
      </c>
      <c r="P49" s="7" t="s">
        <v>1001</v>
      </c>
      <c r="Q49" s="526"/>
      <c r="R49" s="526"/>
      <c r="X49" s="7" t="s">
        <v>1001</v>
      </c>
    </row>
    <row r="50" spans="2:29" ht="19.5" customHeight="1" x14ac:dyDescent="0.2">
      <c r="B50" s="507" t="s">
        <v>22</v>
      </c>
      <c r="C50" s="504" t="s">
        <v>210</v>
      </c>
      <c r="D50" s="504" t="s">
        <v>213</v>
      </c>
      <c r="E50" s="504" t="s">
        <v>215</v>
      </c>
      <c r="F50" s="504" t="s">
        <v>216</v>
      </c>
      <c r="K50" s="507" t="s">
        <v>22</v>
      </c>
      <c r="L50" s="507" t="s">
        <v>991</v>
      </c>
      <c r="M50" s="504" t="s">
        <v>992</v>
      </c>
      <c r="N50" s="504" t="s">
        <v>996</v>
      </c>
      <c r="P50" s="507" t="s">
        <v>22</v>
      </c>
      <c r="Q50" s="507" t="s">
        <v>999</v>
      </c>
      <c r="R50" s="504" t="s">
        <v>993</v>
      </c>
      <c r="S50" s="504" t="s">
        <v>998</v>
      </c>
      <c r="T50" s="504" t="s">
        <v>1002</v>
      </c>
      <c r="U50" s="504" t="s">
        <v>1003</v>
      </c>
      <c r="X50" s="507" t="s">
        <v>22</v>
      </c>
      <c r="Y50" s="507" t="s">
        <v>999</v>
      </c>
      <c r="Z50" s="504" t="s">
        <v>994</v>
      </c>
      <c r="AA50" s="504" t="s">
        <v>1000</v>
      </c>
      <c r="AB50" s="504" t="s">
        <v>1004</v>
      </c>
      <c r="AC50" s="504" t="s">
        <v>1005</v>
      </c>
    </row>
    <row r="51" spans="2:29" ht="19.5" customHeight="1" x14ac:dyDescent="0.2">
      <c r="B51" s="508"/>
      <c r="C51" s="505"/>
      <c r="D51" s="505"/>
      <c r="E51" s="505"/>
      <c r="F51" s="505"/>
      <c r="K51" s="508"/>
      <c r="L51" s="508"/>
      <c r="M51" s="505"/>
      <c r="N51" s="505"/>
      <c r="P51" s="508"/>
      <c r="Q51" s="508"/>
      <c r="R51" s="505"/>
      <c r="S51" s="505"/>
      <c r="T51" s="505"/>
      <c r="U51" s="505"/>
      <c r="X51" s="508"/>
      <c r="Y51" s="508"/>
      <c r="Z51" s="505"/>
      <c r="AA51" s="505"/>
      <c r="AB51" s="505"/>
      <c r="AC51" s="505"/>
    </row>
    <row r="52" spans="2:29" ht="19.5" customHeight="1" x14ac:dyDescent="0.2">
      <c r="B52" s="509"/>
      <c r="C52" s="506"/>
      <c r="D52" s="506"/>
      <c r="E52" s="506"/>
      <c r="F52" s="506"/>
      <c r="K52" s="509"/>
      <c r="L52" s="509"/>
      <c r="M52" s="506"/>
      <c r="N52" s="506"/>
      <c r="P52" s="509"/>
      <c r="Q52" s="509"/>
      <c r="R52" s="506"/>
      <c r="S52" s="506"/>
      <c r="T52" s="506"/>
      <c r="U52" s="506"/>
      <c r="X52" s="509"/>
      <c r="Y52" s="509"/>
      <c r="Z52" s="506"/>
      <c r="AA52" s="506"/>
      <c r="AB52" s="506"/>
      <c r="AC52" s="506"/>
    </row>
    <row r="53" spans="2:29" ht="15" hidden="1" customHeight="1" x14ac:dyDescent="0.2">
      <c r="B53" s="188">
        <v>2011</v>
      </c>
      <c r="C53" s="177">
        <f t="shared" ref="C53:C58" si="3">E17</f>
        <v>238.744</v>
      </c>
      <c r="D53" s="177">
        <f t="shared" ref="D53:D58" si="4">E27</f>
        <v>4.2973919999999994</v>
      </c>
      <c r="E53" s="179">
        <f t="shared" ref="E53:E58" si="5">C43</f>
        <v>2</v>
      </c>
      <c r="F53" s="177">
        <f t="shared" ref="F53:F58" si="6">C53-D53+E53</f>
        <v>236.446608</v>
      </c>
      <c r="K53" s="222">
        <v>2011</v>
      </c>
      <c r="L53" s="223">
        <v>29797694</v>
      </c>
      <c r="M53" s="223">
        <v>9252401</v>
      </c>
      <c r="N53" s="10">
        <f t="shared" ref="N53:N58" si="7">M53/L53</f>
        <v>0.31050728287900398</v>
      </c>
      <c r="P53" s="222">
        <v>2011</v>
      </c>
      <c r="Q53" s="223">
        <f t="shared" ref="Q53:Q58" si="8">M53</f>
        <v>9252401</v>
      </c>
      <c r="R53" s="223">
        <v>388403</v>
      </c>
      <c r="S53" s="10">
        <v>0.84099999999999997</v>
      </c>
      <c r="T53" s="223">
        <f t="shared" ref="T53:T58" si="9">R53*S53</f>
        <v>326646.92300000001</v>
      </c>
      <c r="U53" s="10">
        <f t="shared" ref="U53:U58" si="10">T53/Q53</f>
        <v>3.5304017087024221E-2</v>
      </c>
      <c r="X53" s="222">
        <v>2011</v>
      </c>
      <c r="Y53" s="223">
        <f t="shared" ref="Y53:Y58" si="11">M53</f>
        <v>9252401</v>
      </c>
      <c r="Z53" s="223">
        <v>728367</v>
      </c>
      <c r="AA53" s="10">
        <v>0.90800000000000003</v>
      </c>
      <c r="AB53" s="223">
        <f t="shared" ref="AB53:AB58" si="12">Z53*AA53</f>
        <v>661357.23600000003</v>
      </c>
      <c r="AC53" s="10">
        <f t="shared" ref="AC53:AC58" si="13">AB53/Y53</f>
        <v>7.1479525800924537E-2</v>
      </c>
    </row>
    <row r="54" spans="2:29" ht="15" customHeight="1" x14ac:dyDescent="0.2">
      <c r="B54" s="45">
        <v>2012</v>
      </c>
      <c r="C54" s="177">
        <f t="shared" si="3"/>
        <v>248.11500000000001</v>
      </c>
      <c r="D54" s="177">
        <f t="shared" si="4"/>
        <v>4.4660700000000002</v>
      </c>
      <c r="E54" s="179">
        <f t="shared" si="5"/>
        <v>2</v>
      </c>
      <c r="F54" s="177">
        <f t="shared" si="6"/>
        <v>245.64893000000001</v>
      </c>
      <c r="K54" s="222">
        <v>2012</v>
      </c>
      <c r="L54" s="223">
        <v>30135875</v>
      </c>
      <c r="M54" s="223">
        <v>9395149</v>
      </c>
      <c r="N54" s="10">
        <f t="shared" si="7"/>
        <v>0.31175962204515384</v>
      </c>
      <c r="P54" s="222">
        <v>2012</v>
      </c>
      <c r="Q54" s="223">
        <f t="shared" si="8"/>
        <v>9395149</v>
      </c>
      <c r="R54" s="223">
        <v>387797</v>
      </c>
      <c r="S54" s="10">
        <v>0.84099999999999997</v>
      </c>
      <c r="T54" s="223">
        <f t="shared" si="9"/>
        <v>326137.277</v>
      </c>
      <c r="U54" s="10">
        <f t="shared" si="10"/>
        <v>3.4713369314313167E-2</v>
      </c>
      <c r="X54" s="222">
        <v>2012</v>
      </c>
      <c r="Y54" s="223">
        <f t="shared" si="11"/>
        <v>9395149</v>
      </c>
      <c r="Z54" s="223">
        <v>737177</v>
      </c>
      <c r="AA54" s="10">
        <v>0.90800000000000003</v>
      </c>
      <c r="AB54" s="223">
        <f t="shared" si="12"/>
        <v>669356.71600000001</v>
      </c>
      <c r="AC54" s="10">
        <f t="shared" si="13"/>
        <v>7.1244928207099212E-2</v>
      </c>
    </row>
    <row r="55" spans="2:29" ht="15" customHeight="1" x14ac:dyDescent="0.2">
      <c r="B55" s="45">
        <v>2013</v>
      </c>
      <c r="C55" s="177">
        <f t="shared" si="3"/>
        <v>252.23400000000001</v>
      </c>
      <c r="D55" s="177">
        <f t="shared" si="4"/>
        <v>4.5402119999999995</v>
      </c>
      <c r="E55" s="179">
        <f t="shared" si="5"/>
        <v>2.6</v>
      </c>
      <c r="F55" s="177">
        <f t="shared" si="6"/>
        <v>250.29378800000001</v>
      </c>
      <c r="K55" s="222">
        <v>2013</v>
      </c>
      <c r="L55" s="223">
        <v>30475144</v>
      </c>
      <c r="M55" s="223">
        <v>9540996</v>
      </c>
      <c r="N55" s="10">
        <f t="shared" si="7"/>
        <v>0.31307468145187434</v>
      </c>
      <c r="P55" s="222">
        <v>2013</v>
      </c>
      <c r="Q55" s="223">
        <f t="shared" si="8"/>
        <v>9540996</v>
      </c>
      <c r="R55" s="223">
        <v>389938</v>
      </c>
      <c r="S55" s="10">
        <v>0.85499999999999998</v>
      </c>
      <c r="T55" s="223">
        <f t="shared" si="9"/>
        <v>333396.99</v>
      </c>
      <c r="U55" s="10">
        <f t="shared" si="10"/>
        <v>3.4943625382507233E-2</v>
      </c>
      <c r="X55" s="222">
        <v>2013</v>
      </c>
      <c r="Y55" s="223">
        <f t="shared" si="11"/>
        <v>9540996</v>
      </c>
      <c r="Z55" s="223">
        <v>746091</v>
      </c>
      <c r="AA55" s="10">
        <v>0.92500000000000004</v>
      </c>
      <c r="AB55" s="223">
        <f t="shared" si="12"/>
        <v>690134.17500000005</v>
      </c>
      <c r="AC55" s="10">
        <f t="shared" si="13"/>
        <v>7.2333556685276884E-2</v>
      </c>
    </row>
    <row r="56" spans="2:29" ht="15" customHeight="1" x14ac:dyDescent="0.2">
      <c r="B56" s="45">
        <v>2014</v>
      </c>
      <c r="C56" s="177">
        <f t="shared" si="3"/>
        <v>267.15600000000001</v>
      </c>
      <c r="D56" s="177">
        <f t="shared" si="4"/>
        <v>4.808808</v>
      </c>
      <c r="E56" s="179">
        <f t="shared" si="5"/>
        <v>2.2000000000000002</v>
      </c>
      <c r="F56" s="177">
        <f t="shared" si="6"/>
        <v>264.547192</v>
      </c>
      <c r="K56" s="222">
        <v>2014</v>
      </c>
      <c r="L56" s="223">
        <v>30814175</v>
      </c>
      <c r="M56" s="223">
        <v>9685490</v>
      </c>
      <c r="N56" s="10">
        <f t="shared" si="7"/>
        <v>0.31431930272350306</v>
      </c>
      <c r="P56" s="222">
        <v>2014</v>
      </c>
      <c r="Q56" s="223">
        <f t="shared" si="8"/>
        <v>9685490</v>
      </c>
      <c r="R56" s="223">
        <v>389027</v>
      </c>
      <c r="S56" s="10">
        <v>0.91800000000000004</v>
      </c>
      <c r="T56" s="223">
        <f t="shared" si="9"/>
        <v>357126.78600000002</v>
      </c>
      <c r="U56" s="10">
        <f t="shared" si="10"/>
        <v>3.687235090842074E-2</v>
      </c>
      <c r="X56" s="222">
        <v>2014</v>
      </c>
      <c r="Y56" s="223">
        <f t="shared" si="11"/>
        <v>9685490</v>
      </c>
      <c r="Z56" s="223">
        <v>755040</v>
      </c>
      <c r="AA56" s="10">
        <v>0.94799999999999995</v>
      </c>
      <c r="AB56" s="223">
        <f t="shared" si="12"/>
        <v>715777.91999999993</v>
      </c>
      <c r="AC56" s="10">
        <f t="shared" si="13"/>
        <v>7.3902086523242497E-2</v>
      </c>
    </row>
    <row r="57" spans="2:29" ht="15" customHeight="1" x14ac:dyDescent="0.2">
      <c r="B57" s="45">
        <v>2015</v>
      </c>
      <c r="C57" s="177">
        <f t="shared" si="3"/>
        <v>276.68</v>
      </c>
      <c r="D57" s="177">
        <f t="shared" si="4"/>
        <v>4.9802399999999993</v>
      </c>
      <c r="E57" s="179">
        <f t="shared" si="5"/>
        <v>2.4</v>
      </c>
      <c r="F57" s="177">
        <f t="shared" si="6"/>
        <v>274.09976</v>
      </c>
      <c r="K57" s="222">
        <v>2015</v>
      </c>
      <c r="L57" s="223">
        <v>31151643</v>
      </c>
      <c r="M57" s="223">
        <v>9834631</v>
      </c>
      <c r="N57" s="10">
        <f t="shared" si="7"/>
        <v>0.31570183954663322</v>
      </c>
      <c r="P57" s="222">
        <v>2015</v>
      </c>
      <c r="Q57" s="223">
        <f t="shared" si="8"/>
        <v>9834631</v>
      </c>
      <c r="R57" s="223">
        <v>386143</v>
      </c>
      <c r="S57" s="10">
        <v>0.91400000000000003</v>
      </c>
      <c r="T57" s="223">
        <f t="shared" si="9"/>
        <v>352934.70199999999</v>
      </c>
      <c r="U57" s="10">
        <f t="shared" si="10"/>
        <v>3.5886928752080278E-2</v>
      </c>
      <c r="X57" s="222">
        <v>2015</v>
      </c>
      <c r="Y57" s="223">
        <f t="shared" si="11"/>
        <v>9834631</v>
      </c>
      <c r="Z57" s="223">
        <v>763954</v>
      </c>
      <c r="AA57" s="10">
        <v>0.92700000000000005</v>
      </c>
      <c r="AB57" s="223">
        <f t="shared" si="12"/>
        <v>708185.35800000001</v>
      </c>
      <c r="AC57" s="10">
        <f t="shared" si="13"/>
        <v>7.200934717326965E-2</v>
      </c>
    </row>
    <row r="58" spans="2:29" x14ac:dyDescent="0.2">
      <c r="B58" s="407">
        <v>2016</v>
      </c>
      <c r="C58" s="177">
        <f t="shared" si="3"/>
        <v>291.32</v>
      </c>
      <c r="D58" s="177">
        <f t="shared" si="4"/>
        <v>5.2437599999999991</v>
      </c>
      <c r="E58" s="179">
        <f t="shared" si="5"/>
        <v>2.4</v>
      </c>
      <c r="F58" s="177">
        <f t="shared" si="6"/>
        <v>288.47623999999996</v>
      </c>
      <c r="K58" s="409">
        <v>2016</v>
      </c>
      <c r="L58" s="319">
        <v>31488400</v>
      </c>
      <c r="M58" s="319">
        <v>9989000</v>
      </c>
      <c r="N58" s="10">
        <f t="shared" si="7"/>
        <v>0.31722793155574752</v>
      </c>
      <c r="P58" s="409">
        <v>2016</v>
      </c>
      <c r="Q58" s="319">
        <f t="shared" si="8"/>
        <v>9989000</v>
      </c>
      <c r="R58" s="319">
        <v>396400</v>
      </c>
      <c r="S58" s="10">
        <v>0.94</v>
      </c>
      <c r="T58" s="319">
        <f t="shared" si="9"/>
        <v>372616</v>
      </c>
      <c r="U58" s="10">
        <f t="shared" si="10"/>
        <v>3.7302632896185801E-2</v>
      </c>
      <c r="X58" s="409">
        <v>2016</v>
      </c>
      <c r="Y58" s="319">
        <f t="shared" si="11"/>
        <v>9989000</v>
      </c>
      <c r="Z58" s="319">
        <v>780300</v>
      </c>
      <c r="AA58" s="10">
        <v>0.93799999999999994</v>
      </c>
      <c r="AB58" s="319">
        <f t="shared" si="12"/>
        <v>731921.39999999991</v>
      </c>
      <c r="AC58" s="10">
        <f t="shared" si="13"/>
        <v>7.3272740014015403E-2</v>
      </c>
    </row>
    <row r="60" spans="2:29" ht="20.25" customHeight="1" x14ac:dyDescent="0.2">
      <c r="B60" s="507" t="s">
        <v>22</v>
      </c>
      <c r="C60" s="504" t="s">
        <v>216</v>
      </c>
      <c r="D60" s="504" t="s">
        <v>996</v>
      </c>
      <c r="E60" s="504" t="s">
        <v>997</v>
      </c>
      <c r="K60" s="507" t="s">
        <v>22</v>
      </c>
      <c r="L60" s="504" t="s">
        <v>1003</v>
      </c>
      <c r="M60" s="504" t="s">
        <v>1005</v>
      </c>
      <c r="N60" s="504" t="s">
        <v>1006</v>
      </c>
      <c r="O60" s="7"/>
      <c r="P60" s="507" t="s">
        <v>22</v>
      </c>
      <c r="Q60" s="504" t="s">
        <v>997</v>
      </c>
      <c r="R60" s="504" t="s">
        <v>1006</v>
      </c>
      <c r="S60" s="504" t="s">
        <v>1007</v>
      </c>
      <c r="T60" s="7"/>
      <c r="U60" s="7"/>
      <c r="V60" s="7"/>
      <c r="W60" s="7"/>
      <c r="X60" s="7"/>
    </row>
    <row r="61" spans="2:29" ht="20.25" customHeight="1" x14ac:dyDescent="0.2">
      <c r="B61" s="508"/>
      <c r="C61" s="505"/>
      <c r="D61" s="505"/>
      <c r="E61" s="505"/>
      <c r="K61" s="508"/>
      <c r="L61" s="505"/>
      <c r="M61" s="505"/>
      <c r="N61" s="505"/>
      <c r="O61" s="7"/>
      <c r="P61" s="508"/>
      <c r="Q61" s="505"/>
      <c r="R61" s="505"/>
      <c r="S61" s="505"/>
      <c r="T61" s="7"/>
      <c r="U61" s="7"/>
      <c r="V61" s="7"/>
      <c r="W61" s="7"/>
      <c r="X61" s="7"/>
    </row>
    <row r="62" spans="2:29" x14ac:dyDescent="0.2">
      <c r="B62" s="509"/>
      <c r="C62" s="506"/>
      <c r="D62" s="506"/>
      <c r="E62" s="506"/>
      <c r="K62" s="509"/>
      <c r="L62" s="506"/>
      <c r="M62" s="506"/>
      <c r="N62" s="506"/>
      <c r="O62" s="7"/>
      <c r="P62" s="509"/>
      <c r="Q62" s="506"/>
      <c r="R62" s="506"/>
      <c r="S62" s="506"/>
      <c r="T62" s="38"/>
      <c r="U62" s="7"/>
      <c r="V62" s="7"/>
      <c r="W62" s="7"/>
      <c r="X62" s="7"/>
    </row>
    <row r="63" spans="2:29" hidden="1" x14ac:dyDescent="0.2">
      <c r="B63" s="188">
        <v>2011</v>
      </c>
      <c r="C63" s="177">
        <f t="shared" ref="C63:C68" si="14">F53</f>
        <v>236.446608</v>
      </c>
      <c r="D63" s="10">
        <f t="shared" ref="D63:D68" si="15">N53</f>
        <v>0.31050728287900398</v>
      </c>
      <c r="E63" s="177">
        <f t="shared" ref="E63:E68" si="16">C63*D63</f>
        <v>73.418393796036966</v>
      </c>
      <c r="K63" s="222">
        <v>2011</v>
      </c>
      <c r="L63" s="10">
        <f t="shared" ref="L63:L68" si="17">U53</f>
        <v>3.5304017087024221E-2</v>
      </c>
      <c r="M63" s="10">
        <f t="shared" ref="M63:M68" si="18">AC53</f>
        <v>7.1479525800924537E-2</v>
      </c>
      <c r="N63" s="10">
        <f t="shared" ref="N63:N68" si="19">L63+M63</f>
        <v>0.10678354288794875</v>
      </c>
      <c r="O63" s="7">
        <v>1</v>
      </c>
      <c r="P63" s="222">
        <v>2011</v>
      </c>
      <c r="Q63" s="177">
        <f t="shared" ref="Q63:Q68" si="20">E63</f>
        <v>73.418393796036966</v>
      </c>
      <c r="R63" s="10">
        <f t="shared" ref="R63:R68" si="21">N63</f>
        <v>0.10678354288794875</v>
      </c>
      <c r="S63" s="177">
        <f t="shared" ref="S63:S68" si="22">Q63*R63</f>
        <v>7.8398762026834241</v>
      </c>
      <c r="T63" s="7"/>
      <c r="U63" s="231"/>
      <c r="V63" s="7"/>
      <c r="W63" s="7"/>
      <c r="X63" s="7"/>
    </row>
    <row r="64" spans="2:29" x14ac:dyDescent="0.2">
      <c r="B64" s="222">
        <v>2012</v>
      </c>
      <c r="C64" s="177">
        <f t="shared" si="14"/>
        <v>245.64893000000001</v>
      </c>
      <c r="D64" s="10">
        <f t="shared" si="15"/>
        <v>0.31175962204515384</v>
      </c>
      <c r="E64" s="177">
        <f t="shared" si="16"/>
        <v>76.58341757259646</v>
      </c>
      <c r="K64" s="222">
        <v>2012</v>
      </c>
      <c r="L64" s="10">
        <f t="shared" si="17"/>
        <v>3.4713369314313167E-2</v>
      </c>
      <c r="M64" s="10">
        <f t="shared" si="18"/>
        <v>7.1244928207099212E-2</v>
      </c>
      <c r="N64" s="10">
        <f t="shared" si="19"/>
        <v>0.10595829752141238</v>
      </c>
      <c r="O64" s="7">
        <v>1</v>
      </c>
      <c r="P64" s="222">
        <v>2012</v>
      </c>
      <c r="Q64" s="177">
        <f t="shared" si="20"/>
        <v>76.58341757259646</v>
      </c>
      <c r="R64" s="10">
        <f t="shared" si="21"/>
        <v>0.10595829752141238</v>
      </c>
      <c r="S64" s="177">
        <f t="shared" si="22"/>
        <v>8.1146485443637371</v>
      </c>
      <c r="T64" s="7"/>
      <c r="U64" s="231"/>
      <c r="V64" s="7"/>
      <c r="W64" s="7"/>
      <c r="X64" s="7"/>
    </row>
    <row r="65" spans="2:24" x14ac:dyDescent="0.2">
      <c r="B65" s="222">
        <v>2013</v>
      </c>
      <c r="C65" s="177">
        <f t="shared" si="14"/>
        <v>250.29378800000001</v>
      </c>
      <c r="D65" s="10">
        <f t="shared" si="15"/>
        <v>0.31307468145187434</v>
      </c>
      <c r="E65" s="177">
        <f t="shared" si="16"/>
        <v>78.360647947482974</v>
      </c>
      <c r="K65" s="222">
        <v>2013</v>
      </c>
      <c r="L65" s="10">
        <f t="shared" si="17"/>
        <v>3.4943625382507233E-2</v>
      </c>
      <c r="M65" s="10">
        <f t="shared" si="18"/>
        <v>7.2333556685276884E-2</v>
      </c>
      <c r="N65" s="10">
        <f t="shared" si="19"/>
        <v>0.10727718206778411</v>
      </c>
      <c r="O65" s="7">
        <v>2</v>
      </c>
      <c r="P65" s="222">
        <v>2013</v>
      </c>
      <c r="Q65" s="177">
        <f t="shared" si="20"/>
        <v>78.360647947482974</v>
      </c>
      <c r="R65" s="10">
        <f t="shared" si="21"/>
        <v>0.10727718206778411</v>
      </c>
      <c r="S65" s="177">
        <f t="shared" si="22"/>
        <v>8.4063094968116641</v>
      </c>
      <c r="T65" s="7"/>
      <c r="U65" s="231"/>
      <c r="V65" s="7"/>
      <c r="W65" s="7"/>
      <c r="X65" s="7"/>
    </row>
    <row r="66" spans="2:24" x14ac:dyDescent="0.2">
      <c r="B66" s="222">
        <v>2014</v>
      </c>
      <c r="C66" s="177">
        <f t="shared" si="14"/>
        <v>264.547192</v>
      </c>
      <c r="D66" s="10">
        <f t="shared" si="15"/>
        <v>0.31431930272350306</v>
      </c>
      <c r="E66" s="177">
        <f t="shared" si="16"/>
        <v>83.152288926900681</v>
      </c>
      <c r="K66" s="222">
        <v>2014</v>
      </c>
      <c r="L66" s="10">
        <f t="shared" si="17"/>
        <v>3.687235090842074E-2</v>
      </c>
      <c r="M66" s="10">
        <f t="shared" si="18"/>
        <v>7.3902086523242497E-2</v>
      </c>
      <c r="N66" s="10">
        <f t="shared" si="19"/>
        <v>0.11077443743166324</v>
      </c>
      <c r="O66" s="7">
        <v>3</v>
      </c>
      <c r="P66" s="222">
        <v>2014</v>
      </c>
      <c r="Q66" s="177">
        <f t="shared" si="20"/>
        <v>83.152288926900681</v>
      </c>
      <c r="R66" s="10">
        <f t="shared" si="21"/>
        <v>0.11077443743166324</v>
      </c>
      <c r="S66" s="177">
        <f t="shared" si="22"/>
        <v>9.211148027032543</v>
      </c>
      <c r="T66" s="7"/>
      <c r="U66" s="231"/>
      <c r="V66" s="7"/>
      <c r="W66" s="7"/>
      <c r="X66" s="7"/>
    </row>
    <row r="67" spans="2:24" x14ac:dyDescent="0.2">
      <c r="B67" s="222">
        <v>2015</v>
      </c>
      <c r="C67" s="177">
        <f t="shared" si="14"/>
        <v>274.09976</v>
      </c>
      <c r="D67" s="10">
        <f t="shared" si="15"/>
        <v>0.31570183954663322</v>
      </c>
      <c r="E67" s="177">
        <f t="shared" si="16"/>
        <v>86.533798451290679</v>
      </c>
      <c r="K67" s="222">
        <v>2015</v>
      </c>
      <c r="L67" s="10">
        <f t="shared" si="17"/>
        <v>3.5886928752080278E-2</v>
      </c>
      <c r="M67" s="10">
        <f t="shared" si="18"/>
        <v>7.200934717326965E-2</v>
      </c>
      <c r="N67" s="10">
        <f t="shared" si="19"/>
        <v>0.10789627592534992</v>
      </c>
      <c r="O67" s="7">
        <v>4</v>
      </c>
      <c r="P67" s="222">
        <v>2015</v>
      </c>
      <c r="Q67" s="177">
        <f t="shared" si="20"/>
        <v>86.533798451290679</v>
      </c>
      <c r="R67" s="10">
        <f t="shared" si="21"/>
        <v>0.10789627592534992</v>
      </c>
      <c r="S67" s="177">
        <f t="shared" si="22"/>
        <v>9.336674594569077</v>
      </c>
      <c r="T67" s="7"/>
      <c r="U67" s="231"/>
      <c r="V67" s="7"/>
      <c r="W67" s="7"/>
      <c r="X67" s="7"/>
    </row>
    <row r="68" spans="2:24" x14ac:dyDescent="0.2">
      <c r="B68" s="407">
        <v>2016</v>
      </c>
      <c r="C68" s="177">
        <f t="shared" si="14"/>
        <v>288.47623999999996</v>
      </c>
      <c r="D68" s="10">
        <f t="shared" si="15"/>
        <v>0.31722793155574752</v>
      </c>
      <c r="E68" s="177">
        <f t="shared" si="16"/>
        <v>91.512720918179383</v>
      </c>
      <c r="K68" s="409">
        <v>2016</v>
      </c>
      <c r="L68" s="10">
        <f t="shared" si="17"/>
        <v>3.7302632896185801E-2</v>
      </c>
      <c r="M68" s="10">
        <f t="shared" si="18"/>
        <v>7.3272740014015403E-2</v>
      </c>
      <c r="N68" s="10">
        <f t="shared" si="19"/>
        <v>0.1105753729102012</v>
      </c>
      <c r="O68" s="7">
        <v>5</v>
      </c>
      <c r="P68" s="409">
        <v>2016</v>
      </c>
      <c r="Q68" s="177">
        <f t="shared" si="20"/>
        <v>91.512720918179383</v>
      </c>
      <c r="R68" s="10">
        <f t="shared" si="21"/>
        <v>0.1105753729102012</v>
      </c>
      <c r="S68" s="177">
        <f t="shared" si="22"/>
        <v>10.119053241554855</v>
      </c>
      <c r="T68" s="7"/>
      <c r="U68" s="7"/>
      <c r="V68" s="7"/>
      <c r="W68" s="7"/>
      <c r="X68" s="7"/>
    </row>
    <row r="69" spans="2:24" x14ac:dyDescent="0.2">
      <c r="K69" s="7"/>
      <c r="L69" s="7"/>
      <c r="M69" s="7"/>
      <c r="N69" s="7"/>
      <c r="O69" s="7"/>
      <c r="R69" s="7"/>
      <c r="S69" s="7"/>
      <c r="T69" s="7"/>
      <c r="U69" s="7"/>
      <c r="V69" s="7"/>
      <c r="W69" s="7"/>
      <c r="X69" s="7"/>
    </row>
    <row r="70" spans="2:24" x14ac:dyDescent="0.2">
      <c r="K70" s="7"/>
      <c r="L70" s="7"/>
      <c r="M70" s="7"/>
      <c r="N70" s="7"/>
      <c r="O70" s="7"/>
      <c r="R70" s="7"/>
      <c r="S70" s="7"/>
      <c r="T70" s="7"/>
      <c r="U70" s="7"/>
      <c r="V70" s="7"/>
      <c r="W70" s="7"/>
      <c r="X70" s="7"/>
    </row>
    <row r="71" spans="2:24" x14ac:dyDescent="0.2">
      <c r="K71" s="7"/>
      <c r="L71" s="7"/>
      <c r="M71" s="7"/>
      <c r="N71" s="7"/>
      <c r="O71" s="7"/>
      <c r="R71" s="7"/>
      <c r="S71" s="7"/>
      <c r="T71" s="7"/>
      <c r="U71" s="7"/>
      <c r="V71" s="7"/>
      <c r="W71" s="7"/>
      <c r="X71" s="7"/>
    </row>
    <row r="72" spans="2:24" x14ac:dyDescent="0.2">
      <c r="K72" s="7"/>
      <c r="L72" s="7"/>
      <c r="M72" s="7"/>
      <c r="N72" s="7"/>
      <c r="O72" s="7"/>
      <c r="R72" s="7"/>
      <c r="S72" s="7"/>
      <c r="T72" s="7"/>
      <c r="U72" s="7"/>
      <c r="V72" s="7"/>
      <c r="W72" s="7"/>
      <c r="X72" s="7"/>
    </row>
    <row r="75" spans="2:24" ht="23.25" customHeight="1" x14ac:dyDescent="0.2"/>
    <row r="76" spans="2:24" ht="23.25" customHeight="1" x14ac:dyDescent="0.2"/>
    <row r="77" spans="2:24" ht="23.25" customHeight="1" x14ac:dyDescent="0.2"/>
    <row r="78" spans="2:24" ht="15" customHeight="1" x14ac:dyDescent="0.2"/>
    <row r="79" spans="2:24" ht="15" customHeight="1" x14ac:dyDescent="0.2"/>
    <row r="80" spans="2:24" ht="15" customHeight="1" x14ac:dyDescent="0.2"/>
    <row r="81" spans="11:13" x14ac:dyDescent="0.2">
      <c r="L81" s="229" t="s">
        <v>53</v>
      </c>
      <c r="M81" s="229" t="s">
        <v>747</v>
      </c>
    </row>
    <row r="82" spans="11:13" ht="15" customHeight="1" x14ac:dyDescent="0.2">
      <c r="L82" s="228" t="s">
        <v>54</v>
      </c>
      <c r="M82" s="228">
        <v>0.96060000000000001</v>
      </c>
    </row>
    <row r="83" spans="11:13" x14ac:dyDescent="0.2">
      <c r="L83" s="228" t="s">
        <v>55</v>
      </c>
      <c r="M83" s="228">
        <v>0.96340000000000003</v>
      </c>
    </row>
    <row r="84" spans="11:13" x14ac:dyDescent="0.2">
      <c r="L84" s="228" t="s">
        <v>56</v>
      </c>
      <c r="M84" s="228">
        <v>0.88770000000000004</v>
      </c>
    </row>
    <row r="85" spans="11:13" x14ac:dyDescent="0.2">
      <c r="L85" s="228" t="s">
        <v>57</v>
      </c>
      <c r="M85" s="228">
        <v>0.96319999999999995</v>
      </c>
    </row>
    <row r="86" spans="11:13" ht="15" customHeight="1" x14ac:dyDescent="0.2">
      <c r="L86" s="228" t="s">
        <v>58</v>
      </c>
      <c r="M86" s="228">
        <v>0.90280000000000005</v>
      </c>
    </row>
    <row r="87" spans="11:13" ht="15" customHeight="1" x14ac:dyDescent="0.2"/>
    <row r="88" spans="11:13" ht="15" customHeight="1" x14ac:dyDescent="0.2"/>
    <row r="89" spans="11:13" ht="15" customHeight="1" x14ac:dyDescent="0.2">
      <c r="K89" s="9"/>
      <c r="L89" s="496" t="s">
        <v>65</v>
      </c>
      <c r="M89" s="497"/>
    </row>
    <row r="90" spans="11:13" ht="15" customHeight="1" x14ac:dyDescent="0.2">
      <c r="K90" s="12"/>
      <c r="L90" s="229" t="s">
        <v>59</v>
      </c>
      <c r="M90" s="229" t="s">
        <v>52</v>
      </c>
    </row>
    <row r="91" spans="11:13" x14ac:dyDescent="0.2">
      <c r="K91" s="228">
        <v>6</v>
      </c>
      <c r="L91" s="228">
        <v>2017</v>
      </c>
      <c r="M91" s="177">
        <f>7.6473*EXP(0.0546*K91)</f>
        <v>10.611652017936287</v>
      </c>
    </row>
    <row r="92" spans="11:13" x14ac:dyDescent="0.2">
      <c r="K92" s="228">
        <v>7</v>
      </c>
      <c r="L92" s="228">
        <v>2018</v>
      </c>
      <c r="M92" s="177">
        <f t="shared" ref="M92:M95" si="23">7.6473*EXP(0.0546*K92)</f>
        <v>11.20715758602628</v>
      </c>
    </row>
    <row r="93" spans="11:13" x14ac:dyDescent="0.2">
      <c r="K93" s="228">
        <v>8</v>
      </c>
      <c r="L93" s="407">
        <v>2019</v>
      </c>
      <c r="M93" s="177">
        <f t="shared" si="23"/>
        <v>11.836081784978536</v>
      </c>
    </row>
    <row r="94" spans="11:13" ht="15" customHeight="1" x14ac:dyDescent="0.2">
      <c r="K94" s="228">
        <v>9</v>
      </c>
      <c r="L94" s="407">
        <v>2020</v>
      </c>
      <c r="M94" s="177">
        <f t="shared" si="23"/>
        <v>12.500300004291578</v>
      </c>
    </row>
    <row r="95" spans="11:13" ht="15" customHeight="1" x14ac:dyDescent="0.2">
      <c r="K95" s="228">
        <v>10</v>
      </c>
      <c r="L95" s="407">
        <v>2021</v>
      </c>
      <c r="M95" s="177">
        <f t="shared" si="23"/>
        <v>13.201792876727353</v>
      </c>
    </row>
    <row r="96" spans="11:13" ht="15" customHeight="1" x14ac:dyDescent="0.2"/>
    <row r="97" ht="15" customHeight="1" x14ac:dyDescent="0.2"/>
    <row r="98" ht="15" customHeight="1" x14ac:dyDescent="0.2"/>
  </sheetData>
  <mergeCells count="50">
    <mergeCell ref="Q49:R49"/>
    <mergeCell ref="T50:T52"/>
    <mergeCell ref="AB50:AB52"/>
    <mergeCell ref="K60:K62"/>
    <mergeCell ref="L60:L62"/>
    <mergeCell ref="M60:M62"/>
    <mergeCell ref="N60:N62"/>
    <mergeCell ref="P60:P62"/>
    <mergeCell ref="Y50:Y52"/>
    <mergeCell ref="Z50:Z52"/>
    <mergeCell ref="L50:L52"/>
    <mergeCell ref="M50:M52"/>
    <mergeCell ref="N50:N52"/>
    <mergeCell ref="AC50:AC52"/>
    <mergeCell ref="B60:B62"/>
    <mergeCell ref="C60:C62"/>
    <mergeCell ref="D60:D62"/>
    <mergeCell ref="E60:E62"/>
    <mergeCell ref="S50:S52"/>
    <mergeCell ref="AA50:AA52"/>
    <mergeCell ref="P50:P52"/>
    <mergeCell ref="Q50:Q52"/>
    <mergeCell ref="R50:R52"/>
    <mergeCell ref="U50:U52"/>
    <mergeCell ref="X50:X52"/>
    <mergeCell ref="Q60:Q62"/>
    <mergeCell ref="R60:R62"/>
    <mergeCell ref="S60:S62"/>
    <mergeCell ref="K50:K52"/>
    <mergeCell ref="B14:B16"/>
    <mergeCell ref="B41:B42"/>
    <mergeCell ref="C41:C42"/>
    <mergeCell ref="B50:B52"/>
    <mergeCell ref="C50:C52"/>
    <mergeCell ref="B34:B36"/>
    <mergeCell ref="C34:C36"/>
    <mergeCell ref="B24:B26"/>
    <mergeCell ref="C24:C26"/>
    <mergeCell ref="D24:D26"/>
    <mergeCell ref="C2:D3"/>
    <mergeCell ref="C14:C16"/>
    <mergeCell ref="D14:D16"/>
    <mergeCell ref="D50:D52"/>
    <mergeCell ref="D34:D36"/>
    <mergeCell ref="E50:E52"/>
    <mergeCell ref="F50:F52"/>
    <mergeCell ref="L89:M89"/>
    <mergeCell ref="E14:E16"/>
    <mergeCell ref="E24:E26"/>
    <mergeCell ref="E34:E36"/>
  </mergeCells>
  <pageMargins left="0.7" right="0.7" top="0.75" bottom="0.75" header="0.3" footer="0.3"/>
  <pageSetup orientation="portrait" r:id="rId1"/>
  <ignoredErrors>
    <ignoredError sqref="N23:O23 P23:Q23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32"/>
  <sheetViews>
    <sheetView topLeftCell="A3" zoomScale="70" zoomScaleNormal="70" zoomScalePageLayoutView="70" workbookViewId="0">
      <selection activeCell="I21" sqref="I21"/>
    </sheetView>
  </sheetViews>
  <sheetFormatPr baseColWidth="10" defaultColWidth="10.85546875" defaultRowHeight="12.75" x14ac:dyDescent="0.2"/>
  <cols>
    <col min="1" max="1" width="10.85546875" style="9"/>
    <col min="2" max="3" width="18.42578125" style="9" customWidth="1"/>
    <col min="4" max="4" width="10.85546875" style="9"/>
    <col min="5" max="6" width="18.42578125" style="9" customWidth="1"/>
    <col min="7" max="7" width="19.28515625" style="9" customWidth="1"/>
    <col min="8" max="11" width="22.7109375" style="9" customWidth="1"/>
    <col min="12" max="13" width="19.28515625" style="9" customWidth="1"/>
    <col min="14" max="19" width="10.85546875" style="9"/>
    <col min="20" max="20" width="49.7109375" style="9" bestFit="1" customWidth="1"/>
    <col min="21" max="22" width="10.85546875" style="9"/>
    <col min="23" max="23" width="47.85546875" style="9" bestFit="1" customWidth="1"/>
    <col min="24" max="25" width="10.85546875" style="9"/>
    <col min="26" max="26" width="8.42578125" style="9" bestFit="1" customWidth="1"/>
    <col min="27" max="27" width="4.85546875" style="9" bestFit="1" customWidth="1"/>
    <col min="28" max="16384" width="10.85546875" style="9"/>
  </cols>
  <sheetData>
    <row r="2" spans="2:24" ht="18.75" customHeight="1" x14ac:dyDescent="0.2">
      <c r="B2" s="496" t="s">
        <v>60</v>
      </c>
      <c r="C2" s="497"/>
      <c r="M2" s="527" t="s">
        <v>343</v>
      </c>
      <c r="N2" s="527">
        <v>2011</v>
      </c>
      <c r="O2" s="527">
        <v>2012</v>
      </c>
      <c r="P2" s="527">
        <v>2013</v>
      </c>
      <c r="Q2" s="527">
        <v>2014</v>
      </c>
      <c r="R2" s="527">
        <v>2015</v>
      </c>
    </row>
    <row r="3" spans="2:24" ht="18.75" customHeight="1" x14ac:dyDescent="0.2">
      <c r="B3" s="229" t="s">
        <v>59</v>
      </c>
      <c r="C3" s="229" t="s">
        <v>52</v>
      </c>
      <c r="M3" s="527"/>
      <c r="N3" s="527">
        <v>2011</v>
      </c>
      <c r="O3" s="527">
        <v>2012</v>
      </c>
      <c r="P3" s="527">
        <v>2013</v>
      </c>
      <c r="Q3" s="527">
        <v>2014</v>
      </c>
      <c r="R3" s="527">
        <v>2015</v>
      </c>
    </row>
    <row r="4" spans="2:24" ht="15" customHeight="1" x14ac:dyDescent="0.2">
      <c r="B4" s="228">
        <v>2017</v>
      </c>
      <c r="C4" s="164">
        <f>Demanda!D114</f>
        <v>10.995799999999999</v>
      </c>
      <c r="M4" s="228" t="s">
        <v>90</v>
      </c>
      <c r="N4" s="172">
        <v>0.7</v>
      </c>
      <c r="O4" s="172">
        <v>0.66</v>
      </c>
      <c r="P4" s="172">
        <v>0.59</v>
      </c>
      <c r="Q4" s="172">
        <v>0.56999999999999995</v>
      </c>
      <c r="R4" s="172">
        <v>0.5</v>
      </c>
    </row>
    <row r="5" spans="2:24" ht="15" customHeight="1" x14ac:dyDescent="0.2">
      <c r="B5" s="228">
        <v>2018</v>
      </c>
      <c r="C5" s="164">
        <f>Demanda!D115</f>
        <v>11.881900000000002</v>
      </c>
      <c r="M5" s="228" t="s">
        <v>82</v>
      </c>
      <c r="N5" s="172">
        <v>0.11</v>
      </c>
      <c r="O5" s="172">
        <v>0.19</v>
      </c>
      <c r="P5" s="172">
        <v>0.18</v>
      </c>
      <c r="Q5" s="172">
        <v>0.16</v>
      </c>
      <c r="R5" s="172">
        <v>0.13</v>
      </c>
      <c r="S5" s="15"/>
      <c r="T5" s="15"/>
      <c r="U5" s="15"/>
      <c r="V5" s="15"/>
      <c r="W5" s="15"/>
      <c r="X5" s="15"/>
    </row>
    <row r="6" spans="2:24" ht="15" customHeight="1" x14ac:dyDescent="0.2">
      <c r="B6" s="228">
        <v>2019</v>
      </c>
      <c r="C6" s="164">
        <f>Demanda!D116</f>
        <v>12.867599999999999</v>
      </c>
      <c r="M6" s="228" t="s">
        <v>341</v>
      </c>
      <c r="N6" s="172">
        <v>0.1</v>
      </c>
      <c r="O6" s="172">
        <v>7.0000000000000007E-2</v>
      </c>
      <c r="P6" s="172">
        <v>7.0000000000000007E-2</v>
      </c>
      <c r="Q6" s="172">
        <v>7.0000000000000007E-2</v>
      </c>
      <c r="R6" s="172">
        <v>0.12</v>
      </c>
      <c r="S6" s="15"/>
      <c r="T6" s="251"/>
      <c r="U6" s="252"/>
      <c r="V6" s="252"/>
      <c r="W6" s="253"/>
      <c r="X6" s="15"/>
    </row>
    <row r="7" spans="2:24" ht="15" customHeight="1" x14ac:dyDescent="0.2">
      <c r="B7" s="228">
        <v>2020</v>
      </c>
      <c r="C7" s="164">
        <f>Demanda!D117</f>
        <v>13.9529</v>
      </c>
      <c r="M7" s="228" t="s">
        <v>88</v>
      </c>
      <c r="N7" s="172">
        <v>0.03</v>
      </c>
      <c r="O7" s="172">
        <v>0.03</v>
      </c>
      <c r="P7" s="172">
        <v>0.06</v>
      </c>
      <c r="Q7" s="172">
        <v>0.1</v>
      </c>
      <c r="R7" s="172">
        <v>0.05</v>
      </c>
      <c r="S7" s="15"/>
      <c r="T7" s="254"/>
      <c r="U7" s="255"/>
      <c r="V7" s="255"/>
      <c r="W7" s="256"/>
      <c r="X7" s="15"/>
    </row>
    <row r="8" spans="2:24" ht="15" customHeight="1" x14ac:dyDescent="0.2">
      <c r="B8" s="407">
        <v>2021</v>
      </c>
      <c r="C8" s="164">
        <f>Demanda!D118</f>
        <v>15.137800000000002</v>
      </c>
      <c r="M8" s="228" t="s">
        <v>84</v>
      </c>
      <c r="N8" s="172">
        <v>0.03</v>
      </c>
      <c r="O8" s="172">
        <v>0.03</v>
      </c>
      <c r="P8" s="172">
        <v>7.0000000000000007E-2</v>
      </c>
      <c r="Q8" s="172">
        <v>0.06</v>
      </c>
      <c r="R8" s="172">
        <v>0.04</v>
      </c>
      <c r="S8" s="15"/>
      <c r="T8" s="254"/>
      <c r="U8" s="255"/>
      <c r="V8" s="255"/>
      <c r="W8" s="256"/>
      <c r="X8" s="15"/>
    </row>
    <row r="9" spans="2:24" x14ac:dyDescent="0.2">
      <c r="M9" s="228" t="s">
        <v>342</v>
      </c>
      <c r="N9" s="172">
        <v>0.03</v>
      </c>
      <c r="O9" s="172">
        <v>0.02</v>
      </c>
      <c r="P9" s="172">
        <v>0.03</v>
      </c>
      <c r="Q9" s="172">
        <v>0.04</v>
      </c>
      <c r="R9" s="172">
        <v>0.16</v>
      </c>
      <c r="S9" s="15"/>
      <c r="T9" s="254"/>
      <c r="U9" s="255"/>
      <c r="V9" s="255"/>
      <c r="W9" s="256"/>
      <c r="X9" s="15"/>
    </row>
    <row r="10" spans="2:24" ht="18.75" customHeight="1" x14ac:dyDescent="0.2">
      <c r="B10" s="496" t="s">
        <v>65</v>
      </c>
      <c r="C10" s="497"/>
      <c r="S10" s="15"/>
      <c r="T10" s="254"/>
      <c r="U10" s="255"/>
      <c r="V10" s="255"/>
      <c r="W10" s="256"/>
      <c r="X10" s="15"/>
    </row>
    <row r="11" spans="2:24" ht="18.75" customHeight="1" x14ac:dyDescent="0.2">
      <c r="B11" s="229" t="s">
        <v>59</v>
      </c>
      <c r="C11" s="229" t="s">
        <v>52</v>
      </c>
      <c r="S11" s="15"/>
      <c r="T11" s="254"/>
      <c r="U11" s="255"/>
      <c r="V11" s="255"/>
      <c r="W11" s="256"/>
      <c r="X11" s="15"/>
    </row>
    <row r="12" spans="2:24" x14ac:dyDescent="0.2">
      <c r="B12" s="228">
        <v>2017</v>
      </c>
      <c r="C12" s="164">
        <f>Oferta!$M$91</f>
        <v>10.611652017936287</v>
      </c>
      <c r="S12" s="15"/>
      <c r="T12" s="254"/>
      <c r="U12" s="255"/>
      <c r="V12" s="255"/>
      <c r="W12" s="256"/>
      <c r="X12" s="15"/>
    </row>
    <row r="13" spans="2:24" x14ac:dyDescent="0.2">
      <c r="B13" s="228">
        <v>2018</v>
      </c>
      <c r="C13" s="164">
        <f>Oferta!$M$92</f>
        <v>11.20715758602628</v>
      </c>
      <c r="S13" s="15"/>
      <c r="T13" s="254"/>
      <c r="U13" s="255"/>
      <c r="V13" s="255"/>
      <c r="W13" s="256"/>
      <c r="X13" s="15"/>
    </row>
    <row r="14" spans="2:24" x14ac:dyDescent="0.2">
      <c r="B14" s="228">
        <v>2019</v>
      </c>
      <c r="C14" s="164">
        <f>Oferta!$M$93</f>
        <v>11.836081784978536</v>
      </c>
      <c r="S14" s="15"/>
      <c r="T14" s="254"/>
      <c r="U14" s="255"/>
      <c r="V14" s="255"/>
      <c r="W14" s="256"/>
      <c r="X14" s="15"/>
    </row>
    <row r="15" spans="2:24" x14ac:dyDescent="0.2">
      <c r="B15" s="228">
        <v>2020</v>
      </c>
      <c r="C15" s="164">
        <f>Oferta!$M$94</f>
        <v>12.500300004291578</v>
      </c>
      <c r="S15" s="15"/>
      <c r="T15" s="254"/>
      <c r="U15" s="255"/>
      <c r="V15" s="255"/>
      <c r="W15" s="256"/>
      <c r="X15" s="15"/>
    </row>
    <row r="16" spans="2:24" x14ac:dyDescent="0.2">
      <c r="B16" s="407">
        <v>2021</v>
      </c>
      <c r="C16" s="164">
        <f>Oferta!$M$95</f>
        <v>13.201792876727353</v>
      </c>
      <c r="S16" s="15"/>
      <c r="T16" s="254"/>
      <c r="U16" s="255"/>
      <c r="V16" s="255"/>
      <c r="W16" s="256"/>
      <c r="X16" s="15"/>
    </row>
    <row r="17" spans="5:27" ht="19.5" customHeight="1" x14ac:dyDescent="0.2">
      <c r="S17" s="15"/>
      <c r="T17" s="254"/>
      <c r="U17" s="255"/>
      <c r="V17" s="255"/>
      <c r="W17" s="256"/>
      <c r="X17" s="15"/>
    </row>
    <row r="18" spans="5:27" ht="19.5" customHeight="1" x14ac:dyDescent="0.2">
      <c r="E18" s="504" t="s">
        <v>59</v>
      </c>
      <c r="F18" s="504" t="s">
        <v>157</v>
      </c>
      <c r="G18" s="504" t="s">
        <v>158</v>
      </c>
      <c r="H18" s="504" t="s">
        <v>217</v>
      </c>
      <c r="I18" s="510" t="s">
        <v>1013</v>
      </c>
      <c r="J18" s="510" t="s">
        <v>159</v>
      </c>
      <c r="S18" s="15"/>
      <c r="T18" s="254"/>
      <c r="U18" s="255"/>
      <c r="V18" s="255"/>
      <c r="W18" s="256"/>
      <c r="X18" s="15"/>
    </row>
    <row r="19" spans="5:27" ht="19.5" customHeight="1" x14ac:dyDescent="0.2">
      <c r="E19" s="506"/>
      <c r="F19" s="506"/>
      <c r="G19" s="506"/>
      <c r="H19" s="506"/>
      <c r="I19" s="510"/>
      <c r="J19" s="510"/>
      <c r="S19" s="15"/>
      <c r="T19" s="257"/>
      <c r="U19" s="258"/>
      <c r="V19" s="258"/>
      <c r="W19" s="259"/>
      <c r="X19" s="15"/>
    </row>
    <row r="20" spans="5:27" ht="15" customHeight="1" x14ac:dyDescent="0.2">
      <c r="E20" s="228">
        <v>2017</v>
      </c>
      <c r="F20" s="230">
        <f>C4*1000000</f>
        <v>10995800</v>
      </c>
      <c r="G20" s="230">
        <f>C12*1000000</f>
        <v>10611652.017936287</v>
      </c>
      <c r="H20" s="230">
        <f>F20-G20</f>
        <v>384147.98206371255</v>
      </c>
      <c r="I20" s="10">
        <f>$U$20*$X$20*I28</f>
        <v>0.16988400000000001</v>
      </c>
      <c r="J20" s="241">
        <f t="shared" ref="J20:J24" si="0">H20*I20</f>
        <v>65260.595784911748</v>
      </c>
      <c r="T20" s="12" t="s">
        <v>1009</v>
      </c>
      <c r="U20" s="242">
        <v>0.85799999999999998</v>
      </c>
      <c r="W20" s="9" t="s">
        <v>1010</v>
      </c>
      <c r="X20" s="243">
        <v>0.66</v>
      </c>
      <c r="Z20" s="12" t="s">
        <v>1012</v>
      </c>
      <c r="AA20" s="243">
        <v>0.3</v>
      </c>
    </row>
    <row r="21" spans="5:27" ht="15" customHeight="1" x14ac:dyDescent="0.2">
      <c r="E21" s="228">
        <v>2018</v>
      </c>
      <c r="F21" s="230">
        <f>C5*1000000</f>
        <v>11881900.000000002</v>
      </c>
      <c r="G21" s="230">
        <f>C13*1000000</f>
        <v>11207157.586026281</v>
      </c>
      <c r="H21" s="230">
        <f>F21-G21</f>
        <v>674742.41397372074</v>
      </c>
      <c r="I21" s="10">
        <f>$U$20*$X$20*I29</f>
        <v>0.17837820000000001</v>
      </c>
      <c r="J21" s="319">
        <f t="shared" si="0"/>
        <v>120359.33726828717</v>
      </c>
      <c r="K21" s="438"/>
      <c r="T21" s="12" t="s">
        <v>1008</v>
      </c>
      <c r="U21" s="242">
        <v>0.14199999999999999</v>
      </c>
      <c r="W21" s="9" t="s">
        <v>1011</v>
      </c>
      <c r="X21" s="243">
        <f>100%-X20</f>
        <v>0.33999999999999997</v>
      </c>
      <c r="Z21" s="12" t="s">
        <v>342</v>
      </c>
      <c r="AA21" s="243">
        <v>0.7</v>
      </c>
    </row>
    <row r="22" spans="5:27" ht="15" customHeight="1" x14ac:dyDescent="0.2">
      <c r="E22" s="228">
        <v>2019</v>
      </c>
      <c r="F22" s="230">
        <f>C6*1000000</f>
        <v>12867600</v>
      </c>
      <c r="G22" s="230">
        <f>C14*1000000</f>
        <v>11836081.784978535</v>
      </c>
      <c r="H22" s="230">
        <f>F22-G22</f>
        <v>1031518.215021465</v>
      </c>
      <c r="I22" s="10">
        <f>$U$20*$X$20*I30</f>
        <v>0.18687240000000002</v>
      </c>
      <c r="J22" s="319">
        <f t="shared" si="0"/>
        <v>192762.28448477722</v>
      </c>
      <c r="K22" s="438"/>
    </row>
    <row r="23" spans="5:27" ht="15" customHeight="1" x14ac:dyDescent="0.2">
      <c r="E23" s="228">
        <v>2020</v>
      </c>
      <c r="F23" s="230">
        <f>C7*1000000</f>
        <v>13952900</v>
      </c>
      <c r="G23" s="230">
        <f>C15*1000000</f>
        <v>12500300.004291577</v>
      </c>
      <c r="H23" s="230">
        <f>F23-G23</f>
        <v>1452599.9957084227</v>
      </c>
      <c r="I23" s="10">
        <f>$U$20*$X$20*I31</f>
        <v>0.19536660000000003</v>
      </c>
      <c r="J23" s="319">
        <f t="shared" si="0"/>
        <v>283789.52232156921</v>
      </c>
      <c r="K23" s="438"/>
    </row>
    <row r="24" spans="5:27" ht="15" customHeight="1" x14ac:dyDescent="0.2">
      <c r="E24" s="407">
        <v>2021</v>
      </c>
      <c r="F24" s="319">
        <f>C8*1000000</f>
        <v>15137800.000000002</v>
      </c>
      <c r="G24" s="319">
        <f>C16*1000000</f>
        <v>13201792.876727354</v>
      </c>
      <c r="H24" s="319">
        <f>F24-G24</f>
        <v>1936007.1232726481</v>
      </c>
      <c r="I24" s="10">
        <f>$U$20*$X$20*I32</f>
        <v>0.20386080000000004</v>
      </c>
      <c r="J24" s="319">
        <f t="shared" si="0"/>
        <v>394675.96095606074</v>
      </c>
      <c r="K24" s="438"/>
    </row>
    <row r="25" spans="5:27" ht="15" customHeight="1" x14ac:dyDescent="0.2"/>
    <row r="26" spans="5:27" ht="19.5" customHeight="1" x14ac:dyDescent="0.2">
      <c r="E26" s="504" t="s">
        <v>59</v>
      </c>
      <c r="F26" s="504" t="s">
        <v>160</v>
      </c>
      <c r="G26" s="504" t="s">
        <v>159</v>
      </c>
    </row>
    <row r="27" spans="5:27" ht="19.5" customHeight="1" x14ac:dyDescent="0.2">
      <c r="E27" s="506"/>
      <c r="F27" s="506"/>
      <c r="G27" s="506"/>
      <c r="J27" s="260">
        <f>I28*5%</f>
        <v>1.4999999999999999E-2</v>
      </c>
    </row>
    <row r="28" spans="5:27" ht="15" customHeight="1" x14ac:dyDescent="0.2">
      <c r="E28" s="228">
        <v>2017</v>
      </c>
      <c r="F28" s="172">
        <f>K20</f>
        <v>0</v>
      </c>
      <c r="G28" s="241">
        <f>J20</f>
        <v>65260.595784911748</v>
      </c>
      <c r="I28" s="260">
        <v>0.3</v>
      </c>
    </row>
    <row r="29" spans="5:27" ht="15" customHeight="1" x14ac:dyDescent="0.2">
      <c r="E29" s="228">
        <v>2018</v>
      </c>
      <c r="F29" s="172">
        <f t="shared" ref="F29:F32" si="1">K21</f>
        <v>0</v>
      </c>
      <c r="G29" s="241">
        <f>J21</f>
        <v>120359.33726828717</v>
      </c>
      <c r="I29" s="260">
        <f>I28+$J$27</f>
        <v>0.315</v>
      </c>
    </row>
    <row r="30" spans="5:27" ht="15" customHeight="1" x14ac:dyDescent="0.2">
      <c r="E30" s="228">
        <v>2019</v>
      </c>
      <c r="F30" s="172">
        <f t="shared" si="1"/>
        <v>0</v>
      </c>
      <c r="G30" s="241">
        <f>J22</f>
        <v>192762.28448477722</v>
      </c>
      <c r="I30" s="260">
        <f>I29+$J$27</f>
        <v>0.33</v>
      </c>
    </row>
    <row r="31" spans="5:27" ht="15" customHeight="1" x14ac:dyDescent="0.2">
      <c r="E31" s="228">
        <v>2020</v>
      </c>
      <c r="F31" s="172">
        <f t="shared" si="1"/>
        <v>0</v>
      </c>
      <c r="G31" s="241">
        <f>J23</f>
        <v>283789.52232156921</v>
      </c>
      <c r="I31" s="260">
        <f t="shared" ref="I31:I32" si="2">I30+$J$27</f>
        <v>0.34500000000000003</v>
      </c>
    </row>
    <row r="32" spans="5:27" x14ac:dyDescent="0.2">
      <c r="E32" s="407">
        <v>2021</v>
      </c>
      <c r="F32" s="172">
        <f t="shared" si="1"/>
        <v>0</v>
      </c>
      <c r="G32" s="319">
        <f>J24</f>
        <v>394675.96095606074</v>
      </c>
      <c r="I32" s="260">
        <f t="shared" si="2"/>
        <v>0.36000000000000004</v>
      </c>
    </row>
  </sheetData>
  <mergeCells count="17">
    <mergeCell ref="H18:H19"/>
    <mergeCell ref="E26:E27"/>
    <mergeCell ref="F26:F27"/>
    <mergeCell ref="G26:G27"/>
    <mergeCell ref="B2:C2"/>
    <mergeCell ref="B10:C10"/>
    <mergeCell ref="E18:E19"/>
    <mergeCell ref="F18:F19"/>
    <mergeCell ref="G18:G19"/>
    <mergeCell ref="I18:I19"/>
    <mergeCell ref="J18:J19"/>
    <mergeCell ref="R2:R3"/>
    <mergeCell ref="M2:M3"/>
    <mergeCell ref="N2:N3"/>
    <mergeCell ref="O2:O3"/>
    <mergeCell ref="P2:P3"/>
    <mergeCell ref="Q2:Q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57"/>
  <sheetViews>
    <sheetView workbookViewId="0">
      <selection activeCell="E12" sqref="E12"/>
    </sheetView>
  </sheetViews>
  <sheetFormatPr baseColWidth="10" defaultColWidth="10.85546875" defaultRowHeight="14.25" x14ac:dyDescent="0.2"/>
  <cols>
    <col min="1" max="1" width="10.85546875" style="4"/>
    <col min="2" max="2" width="14.140625" style="4" bestFit="1" customWidth="1"/>
    <col min="3" max="5" width="10.85546875" style="4"/>
    <col min="6" max="6" width="17.42578125" style="4" bestFit="1" customWidth="1"/>
    <col min="7" max="7" width="10.85546875" style="4"/>
    <col min="8" max="8" width="24.42578125" style="4" bestFit="1" customWidth="1"/>
    <col min="9" max="9" width="13.85546875" style="4" bestFit="1" customWidth="1"/>
    <col min="10" max="16384" width="10.85546875" style="4"/>
  </cols>
  <sheetData>
    <row r="3" spans="2:9" x14ac:dyDescent="0.2">
      <c r="B3" s="235" t="s">
        <v>165</v>
      </c>
      <c r="C3" s="235" t="s">
        <v>128</v>
      </c>
      <c r="D3" s="235" t="s">
        <v>9</v>
      </c>
      <c r="E3" s="235" t="s">
        <v>170</v>
      </c>
      <c r="F3" s="287" t="s">
        <v>1349</v>
      </c>
      <c r="H3" s="287" t="s">
        <v>1087</v>
      </c>
      <c r="I3" s="287" t="s">
        <v>1352</v>
      </c>
    </row>
    <row r="4" spans="2:9" x14ac:dyDescent="0.2">
      <c r="B4" s="17" t="s">
        <v>166</v>
      </c>
      <c r="C4" s="17" t="s">
        <v>168</v>
      </c>
      <c r="D4" s="17" t="s">
        <v>110</v>
      </c>
      <c r="E4" s="21">
        <v>4.99</v>
      </c>
      <c r="F4" s="288"/>
      <c r="H4" s="288" t="s">
        <v>1355</v>
      </c>
      <c r="I4" s="295">
        <v>0.125</v>
      </c>
    </row>
    <row r="5" spans="2:9" x14ac:dyDescent="0.2">
      <c r="B5" s="17" t="s">
        <v>167</v>
      </c>
      <c r="C5" s="17" t="s">
        <v>118</v>
      </c>
      <c r="D5" s="17" t="s">
        <v>110</v>
      </c>
      <c r="E5" s="21">
        <v>4.9000000000000004</v>
      </c>
      <c r="F5" s="288" t="s">
        <v>1350</v>
      </c>
      <c r="H5" s="288" t="s">
        <v>1356</v>
      </c>
      <c r="I5" s="295">
        <v>0.38350000000000001</v>
      </c>
    </row>
    <row r="6" spans="2:9" x14ac:dyDescent="0.2">
      <c r="B6" s="237" t="s">
        <v>1014</v>
      </c>
      <c r="C6" s="237" t="s">
        <v>1017</v>
      </c>
      <c r="D6" s="237" t="s">
        <v>1015</v>
      </c>
      <c r="E6" s="21">
        <v>1.2</v>
      </c>
      <c r="F6" s="288" t="s">
        <v>1350</v>
      </c>
      <c r="H6" s="288" t="s">
        <v>129</v>
      </c>
      <c r="I6" s="295"/>
    </row>
    <row r="7" spans="2:9" x14ac:dyDescent="0.2">
      <c r="B7" s="237" t="s">
        <v>1014</v>
      </c>
      <c r="C7" s="237" t="s">
        <v>118</v>
      </c>
      <c r="D7" s="237" t="s">
        <v>1016</v>
      </c>
      <c r="E7" s="21">
        <v>1.5</v>
      </c>
      <c r="F7" s="288" t="s">
        <v>1350</v>
      </c>
      <c r="H7" s="288" t="s">
        <v>1353</v>
      </c>
      <c r="I7" s="295"/>
    </row>
    <row r="8" spans="2:9" x14ac:dyDescent="0.2">
      <c r="B8" s="288" t="s">
        <v>1351</v>
      </c>
      <c r="C8" s="288" t="s">
        <v>118</v>
      </c>
      <c r="D8" s="288" t="s">
        <v>169</v>
      </c>
      <c r="E8" s="21">
        <v>3.79</v>
      </c>
      <c r="F8" s="288" t="s">
        <v>1350</v>
      </c>
      <c r="H8" s="288" t="s">
        <v>147</v>
      </c>
      <c r="I8" s="295"/>
    </row>
    <row r="9" spans="2:9" x14ac:dyDescent="0.2">
      <c r="B9" s="288" t="s">
        <v>167</v>
      </c>
      <c r="C9" s="288" t="s">
        <v>118</v>
      </c>
      <c r="D9" s="288" t="s">
        <v>169</v>
      </c>
      <c r="E9" s="21">
        <v>5.99</v>
      </c>
      <c r="F9" s="288"/>
      <c r="H9" s="288" t="s">
        <v>99</v>
      </c>
      <c r="I9" s="295"/>
    </row>
    <row r="10" spans="2:9" x14ac:dyDescent="0.2">
      <c r="B10" s="288" t="s">
        <v>166</v>
      </c>
      <c r="C10" s="288" t="s">
        <v>168</v>
      </c>
      <c r="D10" s="288" t="s">
        <v>171</v>
      </c>
      <c r="E10" s="21">
        <v>12.99</v>
      </c>
      <c r="F10" s="288"/>
      <c r="H10" s="288" t="s">
        <v>1354</v>
      </c>
      <c r="I10" s="295"/>
    </row>
    <row r="11" spans="2:9" x14ac:dyDescent="0.2">
      <c r="H11" s="288" t="s">
        <v>1024</v>
      </c>
      <c r="I11" s="295"/>
    </row>
    <row r="12" spans="2:9" ht="15" x14ac:dyDescent="0.25">
      <c r="F12"/>
      <c r="H12" s="288" t="s">
        <v>1026</v>
      </c>
      <c r="I12" s="295"/>
    </row>
    <row r="13" spans="2:9" x14ac:dyDescent="0.2">
      <c r="B13" s="235" t="s">
        <v>165</v>
      </c>
      <c r="C13" s="235" t="s">
        <v>128</v>
      </c>
      <c r="D13" s="235" t="s">
        <v>9</v>
      </c>
      <c r="E13" s="235" t="s">
        <v>170</v>
      </c>
      <c r="H13" s="288" t="s">
        <v>1023</v>
      </c>
      <c r="I13" s="288"/>
    </row>
    <row r="14" spans="2:9" x14ac:dyDescent="0.2">
      <c r="B14" s="17" t="s">
        <v>172</v>
      </c>
      <c r="C14" s="17" t="s">
        <v>118</v>
      </c>
      <c r="D14" s="17" t="s">
        <v>110</v>
      </c>
      <c r="E14" s="21">
        <v>4.5</v>
      </c>
      <c r="H14" s="288" t="s">
        <v>559</v>
      </c>
      <c r="I14" s="288"/>
    </row>
    <row r="15" spans="2:9" ht="15" x14ac:dyDescent="0.2">
      <c r="B15" s="17" t="s">
        <v>172</v>
      </c>
      <c r="C15" s="17" t="s">
        <v>168</v>
      </c>
      <c r="D15" s="17" t="s">
        <v>171</v>
      </c>
      <c r="E15" s="21">
        <v>10.5</v>
      </c>
      <c r="I15" s="296">
        <f>SUM(I4:I14)</f>
        <v>0.50849999999999995</v>
      </c>
    </row>
    <row r="17" spans="8:9" x14ac:dyDescent="0.2">
      <c r="H17" s="287" t="s">
        <v>1087</v>
      </c>
      <c r="I17" s="287" t="s">
        <v>1352</v>
      </c>
    </row>
    <row r="18" spans="8:9" x14ac:dyDescent="0.2">
      <c r="H18" s="288" t="s">
        <v>1355</v>
      </c>
      <c r="I18" s="295">
        <v>0.125</v>
      </c>
    </row>
    <row r="19" spans="8:9" x14ac:dyDescent="0.2">
      <c r="H19" s="288" t="s">
        <v>1356</v>
      </c>
      <c r="I19" s="295">
        <v>0.38350000000000001</v>
      </c>
    </row>
    <row r="20" spans="8:9" x14ac:dyDescent="0.2">
      <c r="H20" s="288" t="s">
        <v>129</v>
      </c>
      <c r="I20" s="295"/>
    </row>
    <row r="21" spans="8:9" x14ac:dyDescent="0.2">
      <c r="H21" s="288" t="s">
        <v>1353</v>
      </c>
      <c r="I21" s="295"/>
    </row>
    <row r="22" spans="8:9" x14ac:dyDescent="0.2">
      <c r="H22" s="288" t="s">
        <v>148</v>
      </c>
      <c r="I22" s="295"/>
    </row>
    <row r="23" spans="8:9" x14ac:dyDescent="0.2">
      <c r="H23" s="288" t="s">
        <v>99</v>
      </c>
      <c r="I23" s="295"/>
    </row>
    <row r="24" spans="8:9" x14ac:dyDescent="0.2">
      <c r="H24" s="288" t="s">
        <v>1354</v>
      </c>
      <c r="I24" s="295"/>
    </row>
    <row r="25" spans="8:9" x14ac:dyDescent="0.2">
      <c r="H25" s="288" t="s">
        <v>1024</v>
      </c>
      <c r="I25" s="295"/>
    </row>
    <row r="26" spans="8:9" x14ac:dyDescent="0.2">
      <c r="H26" s="288" t="s">
        <v>1026</v>
      </c>
      <c r="I26" s="295"/>
    </row>
    <row r="27" spans="8:9" x14ac:dyDescent="0.2">
      <c r="H27" s="288" t="s">
        <v>1023</v>
      </c>
      <c r="I27" s="288"/>
    </row>
    <row r="28" spans="8:9" x14ac:dyDescent="0.2">
      <c r="H28" s="288" t="s">
        <v>559</v>
      </c>
      <c r="I28" s="288"/>
    </row>
    <row r="29" spans="8:9" ht="15" x14ac:dyDescent="0.2">
      <c r="I29" s="296">
        <f>SUM(I18:I28)</f>
        <v>0.50849999999999995</v>
      </c>
    </row>
    <row r="31" spans="8:9" x14ac:dyDescent="0.2">
      <c r="H31" s="287" t="s">
        <v>1087</v>
      </c>
      <c r="I31" s="287" t="s">
        <v>1352</v>
      </c>
    </row>
    <row r="32" spans="8:9" x14ac:dyDescent="0.2">
      <c r="H32" s="288" t="s">
        <v>1355</v>
      </c>
      <c r="I32" s="295">
        <v>0.125</v>
      </c>
    </row>
    <row r="33" spans="8:9" x14ac:dyDescent="0.2">
      <c r="H33" s="288" t="s">
        <v>1356</v>
      </c>
      <c r="I33" s="295">
        <v>0.38350000000000001</v>
      </c>
    </row>
    <row r="34" spans="8:9" x14ac:dyDescent="0.2">
      <c r="H34" s="288" t="s">
        <v>129</v>
      </c>
      <c r="I34" s="295"/>
    </row>
    <row r="35" spans="8:9" x14ac:dyDescent="0.2">
      <c r="H35" s="288" t="s">
        <v>1353</v>
      </c>
      <c r="I35" s="295"/>
    </row>
    <row r="36" spans="8:9" x14ac:dyDescent="0.2">
      <c r="H36" s="288" t="s">
        <v>730</v>
      </c>
      <c r="I36" s="295"/>
    </row>
    <row r="37" spans="8:9" x14ac:dyDescent="0.2">
      <c r="H37" s="288" t="s">
        <v>99</v>
      </c>
      <c r="I37" s="295"/>
    </row>
    <row r="38" spans="8:9" x14ac:dyDescent="0.2">
      <c r="H38" s="288" t="s">
        <v>1354</v>
      </c>
      <c r="I38" s="295"/>
    </row>
    <row r="39" spans="8:9" x14ac:dyDescent="0.2">
      <c r="H39" s="288" t="s">
        <v>1024</v>
      </c>
      <c r="I39" s="295"/>
    </row>
    <row r="40" spans="8:9" x14ac:dyDescent="0.2">
      <c r="H40" s="288" t="s">
        <v>1026</v>
      </c>
      <c r="I40" s="295"/>
    </row>
    <row r="41" spans="8:9" x14ac:dyDescent="0.2">
      <c r="H41" s="288" t="s">
        <v>1023</v>
      </c>
      <c r="I41" s="288"/>
    </row>
    <row r="42" spans="8:9" x14ac:dyDescent="0.2">
      <c r="H42" s="288" t="s">
        <v>559</v>
      </c>
      <c r="I42" s="288"/>
    </row>
    <row r="43" spans="8:9" ht="15" x14ac:dyDescent="0.2">
      <c r="I43" s="296">
        <f>SUM(I32:I42)</f>
        <v>0.50849999999999995</v>
      </c>
    </row>
    <row r="45" spans="8:9" x14ac:dyDescent="0.2">
      <c r="H45" s="287" t="s">
        <v>1087</v>
      </c>
      <c r="I45" s="287" t="s">
        <v>1352</v>
      </c>
    </row>
    <row r="46" spans="8:9" x14ac:dyDescent="0.2">
      <c r="H46" s="288" t="s">
        <v>1355</v>
      </c>
      <c r="I46" s="295">
        <v>0.125</v>
      </c>
    </row>
    <row r="47" spans="8:9" x14ac:dyDescent="0.2">
      <c r="H47" s="288" t="s">
        <v>1356</v>
      </c>
      <c r="I47" s="295">
        <v>0.38350000000000001</v>
      </c>
    </row>
    <row r="48" spans="8:9" x14ac:dyDescent="0.2">
      <c r="H48" s="288" t="s">
        <v>129</v>
      </c>
      <c r="I48" s="295"/>
    </row>
    <row r="49" spans="8:9" x14ac:dyDescent="0.2">
      <c r="H49" s="288" t="s">
        <v>1353</v>
      </c>
      <c r="I49" s="295"/>
    </row>
    <row r="50" spans="8:9" x14ac:dyDescent="0.2">
      <c r="H50" s="288" t="s">
        <v>144</v>
      </c>
      <c r="I50" s="295"/>
    </row>
    <row r="51" spans="8:9" x14ac:dyDescent="0.2">
      <c r="H51" s="288" t="s">
        <v>99</v>
      </c>
      <c r="I51" s="295"/>
    </row>
    <row r="52" spans="8:9" x14ac:dyDescent="0.2">
      <c r="H52" s="288" t="s">
        <v>1354</v>
      </c>
      <c r="I52" s="295"/>
    </row>
    <row r="53" spans="8:9" x14ac:dyDescent="0.2">
      <c r="H53" s="288" t="s">
        <v>1024</v>
      </c>
      <c r="I53" s="295"/>
    </row>
    <row r="54" spans="8:9" x14ac:dyDescent="0.2">
      <c r="H54" s="288" t="s">
        <v>1026</v>
      </c>
      <c r="I54" s="295"/>
    </row>
    <row r="55" spans="8:9" x14ac:dyDescent="0.2">
      <c r="H55" s="288" t="s">
        <v>1023</v>
      </c>
      <c r="I55" s="288"/>
    </row>
    <row r="56" spans="8:9" x14ac:dyDescent="0.2">
      <c r="H56" s="288" t="s">
        <v>559</v>
      </c>
      <c r="I56" s="288"/>
    </row>
    <row r="57" spans="8:9" ht="15" x14ac:dyDescent="0.2">
      <c r="I57" s="296">
        <f>SUM(I46:I56)</f>
        <v>0.50849999999999995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30</vt:i4>
      </vt:variant>
    </vt:vector>
  </HeadingPairs>
  <TitlesOfParts>
    <vt:vector size="30" baseType="lpstr">
      <vt:lpstr>Análisis Macro Entorno</vt:lpstr>
      <vt:lpstr>Análisis FODA</vt:lpstr>
      <vt:lpstr>El Mercado</vt:lpstr>
      <vt:lpstr>El Producto</vt:lpstr>
      <vt:lpstr>El Consumidor</vt:lpstr>
      <vt:lpstr>Demanda</vt:lpstr>
      <vt:lpstr>Oferta</vt:lpstr>
      <vt:lpstr>Demanda del Proyecto</vt:lpstr>
      <vt:lpstr>Precio</vt:lpstr>
      <vt:lpstr>Macrolocalización</vt:lpstr>
      <vt:lpstr>Microlocalización</vt:lpstr>
      <vt:lpstr>Tamaño de Planta</vt:lpstr>
      <vt:lpstr>Proceso Productivo</vt:lpstr>
      <vt:lpstr>Tiempo Operaciones</vt:lpstr>
      <vt:lpstr>Cronograma de Trabajo</vt:lpstr>
      <vt:lpstr>Requerimientos del Proceso</vt:lpstr>
      <vt:lpstr>Características Físicas</vt:lpstr>
      <vt:lpstr>Dimensionamiento Planta</vt:lpstr>
      <vt:lpstr>Evaluación de IA</vt:lpstr>
      <vt:lpstr>Cronograma del Proyecto</vt:lpstr>
      <vt:lpstr>Estudio Legal</vt:lpstr>
      <vt:lpstr>Estudio Organizacional</vt:lpstr>
      <vt:lpstr>Inversión del Proyecto</vt:lpstr>
      <vt:lpstr>Financiamiento del Proyecto</vt:lpstr>
      <vt:lpstr>Presupuesto</vt:lpstr>
      <vt:lpstr>Punto de Equilibrio</vt:lpstr>
      <vt:lpstr>Estados Financieros</vt:lpstr>
      <vt:lpstr>Estados Financieros (2)</vt:lpstr>
      <vt:lpstr>Evaluación Económica y Financie</vt:lpstr>
      <vt:lpstr>Análisis de Sensibilidad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PC1</dc:creator>
  <cp:lastModifiedBy>Nakary Parra Rangel</cp:lastModifiedBy>
  <dcterms:created xsi:type="dcterms:W3CDTF">2016-09-25T15:14:20Z</dcterms:created>
  <dcterms:modified xsi:type="dcterms:W3CDTF">2019-02-08T13:58:08Z</dcterms:modified>
</cp:coreProperties>
</file>